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E91D0A40-B83D-4C02-A875-85DB0B8147FD}" xr6:coauthVersionLast="36" xr6:coauthVersionMax="36" xr10:uidLastSave="{00000000-0000-0000-0000-000000000000}"/>
  <bookViews>
    <workbookView xWindow="1065" yWindow="1050" windowWidth="15330" windowHeight="108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8"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B6999" i="106" s="1"/>
  <c r="D6999" i="106" s="1"/>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F27" i="108"/>
  <c r="G27" i="108"/>
  <c r="G28" i="108"/>
  <c r="G29" i="108"/>
  <c r="G30"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5"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J22" i="37"/>
  <c r="L22" i="37"/>
  <c r="D24" i="37"/>
  <c r="B4270" i="106" s="1"/>
  <c r="D4270" i="106" s="1"/>
  <c r="B5752" i="106"/>
  <c r="D5752" i="106" s="1"/>
  <c r="D54" i="36" l="1"/>
  <c r="B7074" i="106"/>
  <c r="D7074" i="106" s="1"/>
  <c r="B4211" i="106"/>
  <c r="D4211" i="106" s="1"/>
  <c r="L342" i="29"/>
  <c r="F34" i="34"/>
  <c r="F77" i="4"/>
  <c r="B3255" i="106" s="1"/>
  <c r="D3255" i="106" s="1"/>
  <c r="K184" i="29"/>
  <c r="F13" i="4" s="1"/>
  <c r="B2596" i="106" s="1"/>
  <c r="D2596" i="106" s="1"/>
  <c r="H33" i="118"/>
  <c r="D36" i="108"/>
  <c r="F31" i="108"/>
  <c r="J77" i="4"/>
  <c r="B6262" i="106" s="1"/>
  <c r="D6262" i="106" s="1"/>
  <c r="E29" i="108"/>
  <c r="F36" i="108"/>
  <c r="L5" i="11"/>
  <c r="B2056" i="106" s="1"/>
  <c r="D2056" i="106" s="1"/>
  <c r="H28" i="118"/>
  <c r="F28" i="108"/>
  <c r="B3647" i="106"/>
  <c r="D3647" i="106" s="1"/>
  <c r="C129" i="29"/>
  <c r="B1225" i="106" s="1"/>
  <c r="D1225" i="106" s="1"/>
  <c r="G15" i="145"/>
  <c r="L367" i="29"/>
  <c r="L13" i="11"/>
  <c r="B2060" i="106" s="1"/>
  <c r="D2060"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C114" i="29"/>
  <c r="B757" i="106" s="1"/>
  <c r="D757"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B5778" i="106" l="1"/>
  <c r="D5778" i="106" s="1"/>
  <c r="G6" i="4"/>
  <c r="B2604" i="106" s="1"/>
  <c r="D2604" i="106" s="1"/>
  <c r="D7256" i="106"/>
  <c r="C151" i="29"/>
  <c r="B1226" i="106" s="1"/>
  <c r="D1226" i="106" s="1"/>
  <c r="B5527" i="106"/>
  <c r="D5527" i="106" s="1"/>
  <c r="D41" i="108"/>
  <c r="E43" i="108" s="1"/>
  <c r="K365" i="29"/>
  <c r="B5770" i="106"/>
  <c r="D5770" i="106" s="1"/>
  <c r="L114" i="29"/>
  <c r="D44" i="36"/>
  <c r="L16" i="11"/>
  <c r="B2061" i="106" s="1"/>
  <c r="D2061"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F24" i="37"/>
  <c r="D268" i="5"/>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B6227" i="106" l="1"/>
  <c r="D6227" i="106" s="1"/>
  <c r="F8" i="4"/>
  <c r="J19" i="4"/>
  <c r="B6229" i="106" s="1"/>
  <c r="D6229"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F175"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F8"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<sst xmlns="http://schemas.openxmlformats.org/spreadsheetml/2006/main" count="5105" uniqueCount="2106">
  <si>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</si>
  <si>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</si>
  <si>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</si>
  <si>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</si>
  <si>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</si>
  <si>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</si>
  <si>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</si>
  <si>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</si>
  <si>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</si>
  <si>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</si>
  <si>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</si>
  <si>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</si>
  <si>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</si>
  <si>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</si>
  <si>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</si>
  <si>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</si>
  <si>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</si>
  <si>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</si>
  <si>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</si>
  <si>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</si>
  <si>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</si>
  <si>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</si>
  <si>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</si>
  <si>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</si>
  <si>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</si>
  <si>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</si>
  <si>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</si>
  <si>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</si>
  <si>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</si>
  <si>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</si>
  <si>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</si>
  <si>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</si>
  <si>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</si>
  <si>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</si>
  <si>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</si>
  <si>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</si>
  <si>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</si>
  <si>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</si>
  <si>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</si>
  <si>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</si>
  <si>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</si>
  <si>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</si>
  <si>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</si>
  <si>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</si>
  <si>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</si>
  <si>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</si>
  <si>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</si>
  <si>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</si>
  <si>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</si>
  <si>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</si>
  <si>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</si>
  <si>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</si>
  <si>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</si>
  <si>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</si>
  <si>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</si>
  <si>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</si>
  <si>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</si>
  <si>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</si>
  <si>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</si>
  <si>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</si>
  <si>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</si>
  <si>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</si>
  <si>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</si>
  <si>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</si>
  <si>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</si>
  <si>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</si>
  <si>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</si>
  <si>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</si>
  <si>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</si>
  <si>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</si>
  <si>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</si>
  <si>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</si>
  <si>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</si>
  <si>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</si>
  <si>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</si>
  <si>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</si>
  <si>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</si>
  <si>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</si>
  <si>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</si>
  <si>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</si>
  <si>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</si>
  <si>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</si>
  <si>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</si>
  <si>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</si>
  <si>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</si>
  <si>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</si>
  <si>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</si>
  <si>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</si>
  <si>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</si>
  <si>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</si>
  <si>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</si>
  <si>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</si>
  <si>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</si>
  <si>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</si>
  <si>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</si>
  <si>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</si>
  <si>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</si>
  <si>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</si>
  <si>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</si>
  <si>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</si>
  <si>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</si>
  <si>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</si>
  <si>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</si>
  <si>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</si>
  <si>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</si>
  <si>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</si>
  <si>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</si>
  <si>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</si>
  <si>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</si>
  <si>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</si>
  <si>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</si>
  <si>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</si>
  <si>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</si>
  <si>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</si>
  <si>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</si>
  <si>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</si>
  <si>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</si>
  <si>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</si>
  <si>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</si>
  <si>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</si>
  <si>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</si>
  <si>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</si>
  <si>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</si>
  <si>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</si>
  <si>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</si>
  <si>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</si>
  <si>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</si>
  <si>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</si>
  <si>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</si>
  <si>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</si>
  <si>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</si>
  <si>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</si>
  <si>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</si>
  <si>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</si>
  <si>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</si>
  <si>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</si>
  <si>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</si>
  <si>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</si>
  <si>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</si>
  <si>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</si>
  <si>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</si>
  <si>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</si>
  <si>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</si>
  <si>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</si>
  <si>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</si>
  <si>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</si>
  <si>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</si>
  <si>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</si>
  <si>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</si>
  <si>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</si>
  <si>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</si>
  <si>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</si>
  <si>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</si>
  <si>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</si>
  <si>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</si>
  <si>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</si>
  <si>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</si>
  <si>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</si>
  <si>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</si>
  <si>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</si>
  <si>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</si>
  <si>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</si>
  <si>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</si>
  <si>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</si>
  <si>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</si>
  <si>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</si>
  <si>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</si>
  <si>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</si>
  <si>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</si>
  <si>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</si>
  <si>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</si>
  <si>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</si>
  <si>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</si>
  <si>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</si>
  <si>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</si>
  <si>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</si>
  <si>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</si>
  <si>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</si>
  <si>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</si>
  <si>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</si>
  <si>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</si>
  <si>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</si>
  <si>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</si>
  <si>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</si>
  <si>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</si>
  <si>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</si>
  <si>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</si>
  <si>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</si>
  <si>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</si>
  <si>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</si>
  <si>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</si>
  <si>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</si>
  <si>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</si>
  <si>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</si>
  <si>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</si>
  <si>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</si>
  <si>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</si>
  <si>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</si>
  <si>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</si>
  <si>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</si>
  <si>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</si>
  <si>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</si>
  <si>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</si>
  <si>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</si>
  <si>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</si>
  <si>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</si>
  <si>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</si>
  <si>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</si>
  <si>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</si>
  <si>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</si>
  <si>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</si>
  <si>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</si>
  <si>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</si>
  <si>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</si>
  <si>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</si>
  <si>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</si>
  <si>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</si>
  <si>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</si>
  <si>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</si>
  <si>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</si>
  <si>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</si>
  <si>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</si>
  <si>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</si>
  <si>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</si>
  <si>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</si>
  <si>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</si>
  <si>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</si>
  <si>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</si>
  <si>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</si>
  <si>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</si>
  <si>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</si>
  <si>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</si>
  <si>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</si>
  <si>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</si>
  <si>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</si>
  <si>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</si>
  <si>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</si>
  <si>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</si>
  <si>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</si>
  <si>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</si>
  <si>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</si>
  <si>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</si>
  <si>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</si>
  <si>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</si>
  <si>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</si>
  <si>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</si>
  <si>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</si>
  <si>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</si>
  <si>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</si>
  <si>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</si>
  <si>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</si>
  <si>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</si>
  <si>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</si>
  <si>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</si>
  <si>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</si>
  <si>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</si>
  <si>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</si>
  <si>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</si>
  <si>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</si>
  <si>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</si>
  <si>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</si>
  <si>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</si>
  <si>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</si>
  <si>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</si>
  <si>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</si>
  <si>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</si>
  <si>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</si>
  <si>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</si>
  <si>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</si>
  <si>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</si>
  <si>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</si>
  <si>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</si>
  <si>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</si>
  <si>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</si>
  <si>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</si>
  <si>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</si>
  <si>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</si>
  <si>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</si>
  <si>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</si>
  <si>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</si>
  <si>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</si>
  <si>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</si>
  <si>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</si>
  <si>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</si>
  <si>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</si>
  <si>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</si>
  <si>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</si>
  <si>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</si>
  <si>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</si>
  <si>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</si>
  <si>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</si>
  <si>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</si>
  <si>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</si>
  <si>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</si>
  <si>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</si>
  <si>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</si>
  <si>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</si>
  <si>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</si>
  <si>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</si>
  <si>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</si>
  <si>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</si>
  <si>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</si>
  <si>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</si>
  <si>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</si>
  <si>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</si>
  <si>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</si>
  <si>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</si>
  <si>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</si>
  <si>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</si>
  <si>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</si>
  <si>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</si>
  <si>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</si>
  <si>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</si>
  <si>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</si>
  <si>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</si>
  <si>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</si>
  <si>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</si>
  <si>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</si>
  <si>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</si>
  <si>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</si>
  <si>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</si>
  <si>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</si>
  <si>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</si>
  <si>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</si>
  <si>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</si>
  <si>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</si>
  <si>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</si>
  <si>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</si>
  <si>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</si>
  <si>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</si>
  <si>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</si>
  <si>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</si>
  <si>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</si>
  <si>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</si>
  <si>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</si>
  <si>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</si>
  <si>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</si>
  <si>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</si>
  <si>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</si>
  <si>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</si>
  <si>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</si>
  <si>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</si>
  <si>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</si>
  <si>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</si>
  <si>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</si>
  <si>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</si>
  <si>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</si>
  <si>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</si>
  <si>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</si>
  <si>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</si>
  <si>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</si>
  <si>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</si>
  <si>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</si>
  <si>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</si>
  <si>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</si>
  <si>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</si>
  <si>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</si>
  <si>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</si>
  <si>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</si>
  <si>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</si>
  <si>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</si>
  <si>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</si>
  <si>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</si>
  <si>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</si>
  <si>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</si>
  <si>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</si>
  <si>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</si>
  <si>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</si>
  <si>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</si>
  <si>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</si>
  <si>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</si>
  <si>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</si>
  <si>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</si>
  <si>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</si>
  <si>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</si>
  <si>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</si>
  <si>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</si>
  <si>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</si>
  <si>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</si>
  <si>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</si>
  <si>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</si>
  <si>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</si>
  <si>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</si>
  <si>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</si>
  <si>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</si>
  <si>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</si>
  <si>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</si>
  <si>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</si>
  <si>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</si>
  <si>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</si>
  <si>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</si>
  <si>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</si>
  <si>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</si>
  <si>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</si>
  <si>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</si>
  <si>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</si>
  <si>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</si>
  <si>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</si>
  <si>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</si>
  <si>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</si>
  <si>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</si>
  <si>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</si>
  <si>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</si>
  <si>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</si>
  <si>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</si>
  <si>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</si>
  <si>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</si>
  <si>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</si>
  <si>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</si>
  <si>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</si>
  <si>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</si>
  <si>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</si>
  <si>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</si>
  <si>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</si>
  <si>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</si>
  <si>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</si>
  <si>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</si>
  <si>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</si>
  <si>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</si>
  <si>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</si>
  <si>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</si>
  <si>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</si>
  <si>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</si>
  <si>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</si>
  <si>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</si>
  <si>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</si>
  <si>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</si>
  <si>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</si>
  <si>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</si>
  <si>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</si>
  <si>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</si>
  <si>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</si>
  <si>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</si>
  <si>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</si>
  <si>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</si>
  <si>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</si>
  <si>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</si>
  <si>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</si>
  <si>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</si>
  <si>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</si>
  <si>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</si>
  <si>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</si>
  <si>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</si>
  <si>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</si>
  <si>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</si>
  <si>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</si>
  <si>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</si>
  <si>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</si>
  <si>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</si>
  <si>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</si>
  <si>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</si>
  <si>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</si>
  <si>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</si>
  <si>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</si>
  <si>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</si>
  <si>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</si>
  <si>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</si>
  <si>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</si>
  <si>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</si>
  <si>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</si>
  <si>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</si>
  <si>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</si>
  <si>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</si>
  <si>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</si>
  <si>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</si>
  <si>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</si>
  <si>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</si>
  <si>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</si>
  <si>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</si>
  <si>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</si>
  <si>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</si>
  <si>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</si>
  <si>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</si>
  <si>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</si>
  <si>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</si>
  <si>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</si>
  <si>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</si>
  <si>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</si>
  <si>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</si>
  <si>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</si>
  <si>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</si>
  <si>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</si>
  <si>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</si>
  <si>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</si>
  <si>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</si>
  <si>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</si>
  <si>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</si>
  <si>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</si>
  <si>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</si>
  <si>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</si>
  <si>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</si>
  <si>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</si>
  <si>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</si>
  <si>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</si>
  <si>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</si>
  <si>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</si>
  <si>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</si>
  <si>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</si>
  <si>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</si>
  <si>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</si>
  <si>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</si>
  <si>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</si>
  <si>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</si>
  <si>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</si>
  <si>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</si>
  <si>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</si>
  <si>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</si>
  <si>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</si>
  <si>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</si>
  <si>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</si>
  <si>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</si>
  <si>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</si>
  <si>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</si>
  <si>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</si>
  <si>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</si>
  <si>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</si>
  <si>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</si>
  <si>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</si>
  <si>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</si>
  <si>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</si>
  <si>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</si>
  <si>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</si>
  <si>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</si>
  <si>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</si>
  <si>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</si>
  <si>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</si>
  <si>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</si>
  <si>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</si>
  <si>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</si>
  <si>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</si>
  <si>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</si>
  <si>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</si>
  <si>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</si>
  <si>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</si>
  <si>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</si>
  <si>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</si>
  <si>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</si>
  <si>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</si>
  <si>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</si>
  <si>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</si>
  <si>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</si>
  <si>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</si>
  <si>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</si>
  <si>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</si>
  <si>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</si>
  <si>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</si>
  <si>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</si>
  <si>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</si>
  <si>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</si>
  <si>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</si>
  <si>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</si>
  <si>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</si>
  <si>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</si>
  <si>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</si>
  <si>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</si>
  <si>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</si>
  <si>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</si>
  <si>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</si>
  <si>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</si>
  <si>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</si>
  <si>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</si>
  <si>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</si>
  <si>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</si>
  <si>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</si>
  <si>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</si>
  <si>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</si>
  <si>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</si>
  <si>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</si>
  <si>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</si>
  <si>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</si>
  <si>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</si>
  <si>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</si>
  <si>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</si>
  <si>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</si>
  <si>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</si>
  <si>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</si>
  <si>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</si>
  <si>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</si>
  <si>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</si>
  <si>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</si>
  <si>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</si>
  <si>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</si>
  <si>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</si>
  <si>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</si>
  <si>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</si>
  <si>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</si>
  <si>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</si>
  <si>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</si>
  <si>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</si>
  <si>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</si>
  <si>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</si>
  <si>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</si>
  <si>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</si>
  <si>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</si>
  <si>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</si>
  <si>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</si>
  <si>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</si>
  <si>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</si>
  <si>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</si>
  <si>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</si>
  <si>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</si>
  <si>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</si>
  <si>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</si>
  <si>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</si>
  <si>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</si>
  <si>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</si>
  <si>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</si>
  <si>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</si>
  <si>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</si>
  <si>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</si>
  <si>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</si>
  <si>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</si>
  <si>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</si>
  <si>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</si>
  <si>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</si>
  <si>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</si>
  <si>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</si>
  <si>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</si>
  <si>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</si>
  <si>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</si>
  <si>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</si>
  <si>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</si>
  <si>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</si>
  <si>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</si>
  <si>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</si>
  <si>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</si>
  <si>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</si>
  <si>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</si>
  <si>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</si>
  <si>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</si>
  <si>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</si>
  <si>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</si>
  <si>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</si>
  <si>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</si>
  <si>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</si>
  <si>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</si>
  <si>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</si>
  <si>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</si>
  <si>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</si>
  <si>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</si>
  <si>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</si>
  <si>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</si>
  <si>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</si>
  <si>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</si>
  <si>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</si>
  <si>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</si>
  <si>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</si>
  <si>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</si>
  <si>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</si>
  <si>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</si>
  <si>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</si>
  <si>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</si>
  <si>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</si>
  <si>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</si>
  <si>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</si>
  <si>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</si>
  <si>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</si>
  <si>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</si>
  <si>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</si>
  <si>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</si>
  <si>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</si>
  <si>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</si>
  <si>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</si>
  <si>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</si>
  <si>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</si>
  <si>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</si>
  <si>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</si>
  <si>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</si>
  <si>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</si>
  <si>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</si>
  <si>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</si>
  <si>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</si>
  <si>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</si>
  <si>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</si>
  <si>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</si>
  <si>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</si>
  <si>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</si>
  <si>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</si>
  <si>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</si>
  <si>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</si>
  <si>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</si>
  <si>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</si>
  <si>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</si>
  <si>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</si>
  <si>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</si>
  <si>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</si>
  <si>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</si>
  <si>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</si>
  <si>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</si>
  <si>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</si>
  <si>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</si>
  <si>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</si>
  <si>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</si>
  <si>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</si>
  <si>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</si>
  <si>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</si>
  <si>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</si>
  <si>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</si>
  <si>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</si>
  <si>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</si>
  <si>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</si>
  <si>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</si>
  <si>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</si>
  <si>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</si>
  <si>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</si>
  <si>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</si>
  <si>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</si>
  <si>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</si>
  <si>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</si>
  <si>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</si>
  <si>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</si>
  <si>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</si>
  <si>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</si>
  <si>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</si>
  <si>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</si>
  <si>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</si>
  <si>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</si>
  <si>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</si>
  <si>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</si>
  <si>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</si>
  <si>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</si>
  <si>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</si>
  <si>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</si>
  <si>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</si>
  <si>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</si>
  <si>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</si>
  <si>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</si>
  <si>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</si>
  <si>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</si>
  <si>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</si>
  <si>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</si>
  <si>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</si>
  <si>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</si>
  <si>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</si>
  <si>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</si>
  <si>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</si>
  <si>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</si>
  <si>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</si>
  <si>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</si>
  <si>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</si>
  <si>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</si>
  <si>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</si>
  <si>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</si>
  <si>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</si>
  <si>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</si>
  <si>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</si>
  <si>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</si>
  <si>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</si>
  <si>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</si>
  <si>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</si>
  <si>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</si>
  <si>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</si>
  <si>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</si>
  <si>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</si>
  <si>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</si>
  <si>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</si>
  <si>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</si>
  <si>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</si>
  <si>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</si>
  <si>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</si>
  <si>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</si>
  <si>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</si>
  <si>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</si>
  <si>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</si>
  <si>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</si>
  <si>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</si>
  <si>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</si>
  <si>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</si>
  <si>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</si>
  <si>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</si>
  <si>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</si>
  <si>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</si>
  <si>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</si>
  <si>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</si>
  <si>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</si>
  <si>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</si>
  <si>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</si>
  <si>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</si>
  <si>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</si>
  <si>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</si>
  <si>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</si>
  <si>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</si>
  <si>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</si>
  <si>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</si>
  <si>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</si>
  <si>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</si>
  <si>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</si>
  <si>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</si>
  <si>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</si>
  <si>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</si>
  <si>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</si>
  <si>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</si>
  <si>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</si>
  <si>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</si>
  <si>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</si>
  <si>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</si>
  <si>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</si>
  <si>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</si>
  <si>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</si>
  <si>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</si>
  <si>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</si>
  <si>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</si>
  <si>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</si>
  <si>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</si>
  <si>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</si>
  <si>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</si>
  <si>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</si>
  <si>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</si>
  <si>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</si>
  <si>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</si>
  <si>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</si>
  <si>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</si>
  <si>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</si>
  <si>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</si>
  <si>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</si>
  <si>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</si>
  <si>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</si>
  <si>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</si>
  <si>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</si>
  <si>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</si>
  <si>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</si>
  <si>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</si>
  <si>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</si>
  <si>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</si>
  <si>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</si>
  <si>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</si>
  <si>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</si>
  <si>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</si>
  <si>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</si>
  <si>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</si>
  <si>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</si>
  <si>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</si>
  <si>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</si>
  <si>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</si>
  <si>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</si>
  <si>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</si>
  <si>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</si>
  <si>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</si>
  <si>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</si>
  <si>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</si>
  <si>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</si>
  <si>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</si>
  <si>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</si>
  <si>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</si>
  <si>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</si>
  <si>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</si>
  <si>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</si>
  <si>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</si>
  <si>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</si>
  <si>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</si>
  <si>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</si>
  <si>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</si>
  <si>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</si>
  <si>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</si>
  <si>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</si>
  <si>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</si>
  <si>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</si>
  <si>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</si>
  <si>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</si>
  <si>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</si>
  <si>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</si>
  <si>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</si>
  <si>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</si>
  <si>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</si>
  <si>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</si>
  <si>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</si>
  <si>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</si>
  <si>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</si>
  <si>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</si>
  <si>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</si>
  <si>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</si>
  <si>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</si>
  <si>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</si>
  <si>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</si>
  <si>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</si>
  <si>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</si>
  <si>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</si>
  <si>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</si>
  <si>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</si>
  <si>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</si>
  <si>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</si>
  <si>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</si>
  <si>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</si>
  <si>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</si>
  <si>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</si>
  <si>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</si>
  <si>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</si>
  <si>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</si>
  <si>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</si>
  <si>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</si>
  <si>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</si>
  <si>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</si>
  <si>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</si>
  <si>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</si>
  <si>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</si>
  <si>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</si>
  <si>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</si>
  <si>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</si>
  <si>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</si>
  <si>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</si>
  <si>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</si>
  <si>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</si>
  <si>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</si>
  <si>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</si>
  <si>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</si>
  <si>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</si>
  <si>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</si>
  <si>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</si>
  <si>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</si>
  <si>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</si>
  <si>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</si>
  <si>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</si>
  <si>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</si>
  <si>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</si>
  <si>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</si>
  <si>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</si>
  <si>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</si>
  <si>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</si>
  <si>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</si>
  <si>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</si>
  <si>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</si>
  <si>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</si>
  <si>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</si>
  <si>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</si>
  <si>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</si>
  <si>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</si>
  <si>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</si>
  <si>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</si>
  <si>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</si>
  <si>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</si>
  <si>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</si>
  <si>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</si>
  <si>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</si>
  <si>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</si>
  <si>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</si>
  <si>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</si>
  <si>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</si>
  <si>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</si>
  <si>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</si>
  <si>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</si>
  <si>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</si>
  <si>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</si>
  <si>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</si>
  <si>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</si>
  <si>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</si>
  <si>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</si>
  <si>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</si>
  <si>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</si>
  <si>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</si>
  <si>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</si>
  <si>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</si>
  <si>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</si>
  <si>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</si>
  <si>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</si>
  <si>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</si>
  <si>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</si>
  <si>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</si>
  <si>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</si>
  <si>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</si>
  <si>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</si>
  <si>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</si>
  <si>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</si>
  <si>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</si>
  <si>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</si>
  <si>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</si>
  <si>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</si>
  <si>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</si>
  <si>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</si>
  <si>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</si>
  <si>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</si>
  <si>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</si>
  <si>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</si>
  <si>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</si>
  <si>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</si>
  <si>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</si>
  <si>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</si>
  <si>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</si>
  <si>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</si>
  <si>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</si>
  <si>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</si>
  <si>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</si>
  <si>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</si>
  <si>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</si>
  <si>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</si>
  <si>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</si>
  <si>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</si>
  <si>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</si>
  <si>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</si>
  <si>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</si>
  <si>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</si>
  <si>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</si>
  <si>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</si>
  <si>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</si>
  <si>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</si>
  <si>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</si>
  <si>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</si>
  <si>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</si>
  <si>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</si>
  <si>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</si>
  <si>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</si>
  <si>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</si>
  <si>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</si>
  <si>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</si>
  <si>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</si>
  <si>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</si>
  <si>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</si>
  <si>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</si>
  <si>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</si>
  <si>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</si>
  <si>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</si>
  <si>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</si>
  <si>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</si>
  <si>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</si>
  <si>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</si>
  <si>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</si>
  <si>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</si>
  <si>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</si>
  <si>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</si>
  <si>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</si>
  <si>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</si>
  <si>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</si>
  <si>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</si>
  <si>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</si>
  <si>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</si>
  <si>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</si>
  <si>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</si>
  <si>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</si>
  <si>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</si>
  <si>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</si>
  <si>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</si>
  <si>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</si>
  <si>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</si>
  <si>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</si>
  <si>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</si>
  <si>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</si>
  <si>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</si>
  <si>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</si>
  <si>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</si>
  <si>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</si>
  <si>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</si>
  <si>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</si>
  <si>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</si>
  <si>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</si>
  <si>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</si>
  <si>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</si>
  <si>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</si>
  <si>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</si>
  <si>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</si>
  <si>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</si>
  <si>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</si>
  <si>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</si>
  <si>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</si>
  <si>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</si>
  <si>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</si>
  <si>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</si>
  <si>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</si>
  <si>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</si>
  <si>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</si>
  <si>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</si>
  <si>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</si>
  <si>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</si>
  <si>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</si>
  <si>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</si>
  <si>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</si>
  <si>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</si>
  <si>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</si>
  <si>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</si>
  <si>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</si>
  <si>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</si>
  <si>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</si>
  <si>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</si>
  <si>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</si>
  <si>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</si>
  <si>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</si>
  <si>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</si>
  <si>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</si>
  <si>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</si>
  <si>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</si>
  <si>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</si>
  <si>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</si>
  <si>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</si>
  <si>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</si>
  <si>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</si>
  <si>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</si>
  <si>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</si>
  <si>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</si>
  <si>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</si>
  <si>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</si>
  <si>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</si>
  <si>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</si>
  <si>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</si>
  <si>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</si>
  <si>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</si>
  <si>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</si>
  <si>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</si>
  <si>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</si>
  <si>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</si>
  <si>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</si>
  <si>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</si>
  <si>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</si>
  <si>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</si>
  <si>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</si>
  <si>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</si>
  <si>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</si>
  <si>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</si>
  <si>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</si>
  <si>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</si>
  <si>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</si>
  <si>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</si>
  <si>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</si>
  <si>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</si>
  <si>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</si>
  <si>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</si>
  <si>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</si>
  <si>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</si>
  <si>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</si>
  <si>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</si>
  <si>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</si>
  <si>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</si>
  <si>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</si>
  <si>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</si>
  <si>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</si>
  <si>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</si>
  <si>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</si>
  <si>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</si>
  <si>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</si>
  <si>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</si>
  <si>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</si>
  <si>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</si>
  <si>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</si>
  <si>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</si>
  <si>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</si>
  <si>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</si>
  <si>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</si>
  <si>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</si>
  <si>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</si>
  <si>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</si>
  <si>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</si>
  <si>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</si>
  <si>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</si>
  <si>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</si>
  <si>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</si>
  <si>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</si>
  <si>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</si>
  <si>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</si>
  <si>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</si>
  <si>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</si>
  <si>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</si>
  <si>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</si>
  <si>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</si>
  <si>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</si>
  <si>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</si>
  <si>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</si>
  <si>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</si>
  <si>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</si>
  <si>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</si>
  <si>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</si>
  <si>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</si>
  <si>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</si>
  <si>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</si>
  <si>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</si>
  <si>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</si>
  <si>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</si>
  <si>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</si>
  <si>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</si>
  <si>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</si>
  <si>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</si>
  <si>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</si>
  <si>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</si>
  <si>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</si>
  <si>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</si>
  <si>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</si>
  <si>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</si>
  <si>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</si>
  <si>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</si>
  <si>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</si>
  <si>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</si>
  <si>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</si>
  <si>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</si>
  <si>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</si>
  <si>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</si>
  <si>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</si>
  <si>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</si>
  <si>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</si>
  <si>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</si>
  <si>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</si>
  <si>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</si>
  <si>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</si>
  <si>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</si>
  <si>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</si>
  <si>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</si>
  <si>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</si>
  <si>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</si>
  <si>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</si>
  <si>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</si>
  <si>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</si>
  <si>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</si>
  <si>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</si>
  <si>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</si>
  <si>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</si>
  <si>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</si>
  <si>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</si>
  <si>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</si>
  <si>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</si>
  <si>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</si>
  <si>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</si>
  <si>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</si>
  <si>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</si>
  <si>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</si>
  <si>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</si>
  <si>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</si>
  <si>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</si>
  <si>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</si>
  <si>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</si>
  <si>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</si>
  <si>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</si>
  <si>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</si>
  <si>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</si>
  <si>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</si>
  <si>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</si>
  <si>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</si>
  <si>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</si>
  <si>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</si>
  <si>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</si>
  <si>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</si>
  <si>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</si>
  <si>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</si>
  <si>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</si>
  <si>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</si>
  <si>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</si>
  <si>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</si>
  <si>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</si>
  <si>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</si>
  <si>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</si>
  <si>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</si>
  <si>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</si>
  <si>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</si>
  <si>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</si>
  <si>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</si>
  <si>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</si>
  <si>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</si>
  <si>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</si>
  <si>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</si>
  <si>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</si>
  <si>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</si>
  <si>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</si>
  <si>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</si>
  <si>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</si>
  <si>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</si>
  <si>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</si>
  <si>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</si>
  <si>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</si>
  <si>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</si>
  <si>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</si>
  <si>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</si>
  <si>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</si>
  <si>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</si>
  <si>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</si>
  <si>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</si>
  <si>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</si>
  <si>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</si>
  <si>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</si>
  <si>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</si>
  <si>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</si>
  <si>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</si>
  <si>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</si>
  <si>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</si>
  <si>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</si>
  <si>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</si>
  <si>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</si>
  <si>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</si>
  <si>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</si>
  <si>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</si>
  <si>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</si>
  <si>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</si>
  <si>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</si>
  <si>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</si>
  <si>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</si>
  <si>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</si>
  <si>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</si>
  <si>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</si>
  <si>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</si>
  <si>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</si>
  <si>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</si>
  <si>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</si>
  <si>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</si>
  <si>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</si>
  <si>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</si>
  <si>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</si>
  <si>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</si>
  <si>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</si>
  <si>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</si>
  <si>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</si>
  <si>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</si>
  <si>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</si>
  <si>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</si>
  <si>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</si>
  <si>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</si>
  <si>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</si>
  <si>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</si>
  <si>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</si>
  <si>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</si>
  <si>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</si>
  <si>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</si>
  <si>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</si>
  <si>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</si>
  <si>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</si>
  <si>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</si>
  <si>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</si>
  <si>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</si>
  <si>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</si>
  <si>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</si>
  <si>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</si>
  <si>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</si>
  <si>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</si>
  <si>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</si>
  <si>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</si>
  <si>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</si>
  <si>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</si>
  <si>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</si>
  <si>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</si>
  <si>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</si>
  <si>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</si>
  <si>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</si>
  <si>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</si>
  <si>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</si>
  <si>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</si>
  <si>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</si>
  <si>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</si>
  <si>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</si>
  <si>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</si>
  <si>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</si>
  <si>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</si>
  <si>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</si>
  <si>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</si>
  <si>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</si>
  <si>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</si>
  <si>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</si>
  <si>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</si>
  <si>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</si>
  <si>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</si>
  <si>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</si>
  <si>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</si>
  <si>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</si>
  <si>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</si>
  <si>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</si>
  <si>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</si>
  <si>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</si>
  <si>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</si>
  <si>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</si>
  <si>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</si>
  <si>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</si>
  <si>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</si>
  <si>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</si>
  <si>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</si>
  <si>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</si>
  <si>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</si>
  <si>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</si>
  <si>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</si>
  <si>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</si>
  <si>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</si>
  <si>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</si>
  <si>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</si>
  <si>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</si>
  <si>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</si>
  <si>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</si>
  <si>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</si>
  <si>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</si>
  <si>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</si>
  <si>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</si>
  <si>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</si>
  <si>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</si>
  <si>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</si>
  <si>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</si>
  <si>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</si>
  <si>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</si>
  <si>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</si>
  <si>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</si>
  <si>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</si>
  <si>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</si>
  <si>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</si>
  <si>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</si>
  <si>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</si>
  <si>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</si>
  <si>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</si>
  <si>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</si>
  <si>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</si>
  <si>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</si>
  <si>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</si>
  <si>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</si>
  <si>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</si>
  <si>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</si>
  <si>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</si>
  <si>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</si>
  <si>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</si>
  <si>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</si>
  <si>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</si>
  <si>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</si>
  <si>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</si>
  <si>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</si>
  <si>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</si>
  <si>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</si>
  <si>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</si>
  <si>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</si>
  <si>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</si>
  <si>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</si>
  <si>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</si>
  <si>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</si>
  <si>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</si>
  <si>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</si>
  <si>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</si>
  <si>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</si>
  <si>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</si>
  <si>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</si>
  <si>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</si>
  <si>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</si>
  <si>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</si>
  <si>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</si>
  <si>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</si>
  <si>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</si>
  <si>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</si>
  <si>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</si>
  <si>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</si>
  <si>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</si>
  <si>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</si>
  <si>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</si>
  <si>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</si>
  <si>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</si>
  <si>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</si>
  <si>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</si>
  <si>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</si>
  <si>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</si>
  <si>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</si>
  <si>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</si>
  <si>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</si>
  <si>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</si>
  <si>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</si>
  <si>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</si>
  <si>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</si>
  <si>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</si>
  <si>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</si>
  <si>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</si>
  <si>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</si>
  <si>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</si>
  <si>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</si>
  <si>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</si>
  <si>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</si>
  <si>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</si>
  <si>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</si>
  <si>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</si>
  <si>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</si>
  <si>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</si>
  <si>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</si>
  <si>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</si>
  <si>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</si>
  <si>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</si>
  <si>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</si>
  <si>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</si>
  <si>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</si>
  <si>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</si>
  <si>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</si>
  <si>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</si>
  <si>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</si>
  <si>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</si>
  <si>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</si>
  <si>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</si>
  <si>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</si>
  <si>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</si>
  <si>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</si>
  <si>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</si>
  <si>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</si>
  <si>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</si>
  <si>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</si>
  <si>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</si>
  <si>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</si>
  <si>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</si>
  <si>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</si>
  <si>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</si>
  <si>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</si>
  <si>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</si>
  <si>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</si>
  <si>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</si>
  <si>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</si>
  <si>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</si>
  <si>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</si>
  <si>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</si>
  <si>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</si>
  <si>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</si>
  <si>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</si>
  <si>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</si>
  <si>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</si>
  <si>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</si>
  <si>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</si>
  <si>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</si>
  <si>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</si>
  <si>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</si>
  <si>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</si>
  <si>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</si>
  <si>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</si>
  <si>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</si>
  <si>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</si>
  <si>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</si>
  <si>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</si>
  <si>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</si>
  <si>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</si>
  <si>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</si>
  <si>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</si>
  <si>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</si>
  <si>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</si>
  <si>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</si>
  <si>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</si>
  <si>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</si>
  <si>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</si>
  <si>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</si>
  <si>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</si>
  <si>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</si>
  <si>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</si>
  <si>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</si>
  <si>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</si>
  <si>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</si>
  <si>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</si>
  <si>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</si>
  <si>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</si>
  <si>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</si>
  <si>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</si>
  <si>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</si>
  <si>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</si>
  <si>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</si>
  <si>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</si>
  <si>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</si>
  <si>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</si>
  <si>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</si>
  <si>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</si>
  <si>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</si>
  <si>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</si>
  <si>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</si>
  <si>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</si>
  <si>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</si>
  <si>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</si>
  <si>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</si>
  <si>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</si>
  <si>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</si>
  <si>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</si>
  <si>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</si>
  <si>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</si>
  <si>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</si>
  <si>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</si>
  <si>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</si>
  <si>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</si>
  <si>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</si>
  <si>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</si>
  <si>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</si>
  <si>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</si>
  <si>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</si>
  <si>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</si>
  <si>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</si>
  <si>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</si>
  <si>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</si>
  <si>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</si>
  <si>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</si>
  <si>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</si>
  <si>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</si>
  <si>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</si>
  <si>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</si>
  <si>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</si>
  <si>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</si>
  <si>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</si>
  <si>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</si>
  <si>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</si>
  <si>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</si>
  <si>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</si>
  <si>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</si>
  <si>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</si>
  <si>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</si>
  <si>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</si>
  <si>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</si>
  <si>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</si>
  <si>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</si>
  <si>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</si>
  <si>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</si>
  <si>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</si>
  <si>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</si>
  <si>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</si>
  <si>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</si>
  <si>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</si>
  <si>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</si>
  <si>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</si>
  <si>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</si>
  <si>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</si>
  <si>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</si>
  <si>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</si>
  <si>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</si>
  <si>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</si>
  <si>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</si>
  <si>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</si>
  <si>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</si>
  <si>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</si>
  <si>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</si>
  <si>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</si>
  <si>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</si>
  <si>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</si>
  <si>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</si>
  <si>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</si>
  <si>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</si>
  <si>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</si>
  <si>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</si>
  <si>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</si>
  <si>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</si>
  <si>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</si>
  <si>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</si>
  <si>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</si>
  <si>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</si>
  <si>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</si>
  <si>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</si>
  <si>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</si>
  <si>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</si>
  <si>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</si>
  <si>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</si>
  <si>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</si>
  <si>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</si>
  <si>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</si>
  <si>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</si>
  <si>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</si>
  <si>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</si>
  <si>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</si>
  <si>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</si>
  <si>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</si>
  <si>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</si>
  <si>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</si>
  <si>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</si>
  <si>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</si>
  <si>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</si>
  <si>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</si>
  <si>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</si>
  <si>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</si>
  <si>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</si>
  <si>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</si>
  <si>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</si>
  <si>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</si>
  <si>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</si>
  <si>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</si>
  <si>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</si>
  <si>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</si>
  <si>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</si>
  <si>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</si>
  <si>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</si>
  <si>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</si>
  <si>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</si>
  <si>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</si>
  <si>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</si>
  <si>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</si>
  <si>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</si>
  <si>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</si>
  <si>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</si>
  <si>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</si>
  <si>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</si>
  <si>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</si>
  <si>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</si>
  <si>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</si>
  <si>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</si>
  <si>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</si>
  <si>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</si>
  <si>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</si>
  <si>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</si>
  <si>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</si>
  <si>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</si>
  <si>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</si>
  <si>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</si>
  <si>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</si>
  <si>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</si>
  <si>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</si>
  <si>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</si>
  <si>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</si>
  <si>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</si>
  <si>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</si>
  <si>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</si>
  <si>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</si>
  <si>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</si>
  <si>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</si>
  <si>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</si>
  <si>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</si>
  <si>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</si>
  <si>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</si>
  <si>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</si>
  <si>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</si>
  <si>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</si>
  <si>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</si>
  <si>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</si>
  <si>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</si>
  <si>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</si>
  <si>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</si>
  <si>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</si>
  <si>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</si>
  <si>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</si>
  <si>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</si>
  <si>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</si>
  <si>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</si>
  <si>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</si>
  <si>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</si>
  <si>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</si>
  <si>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</si>
  <si>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</si>
  <si>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</si>
  <si>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</si>
  <si>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</si>
  <si>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</si>
  <si>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</si>
  <si>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</si>
  <si>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</si>
  <si>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</si>
  <si>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</si>
  <si>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</si>
  <si>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</si>
  <si>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</si>
  <si>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</si>
  <si>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</si>
  <si>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</si>
  <si>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</si>
  <si>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</si>
  <si>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</si>
  <si>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</si>
  <si>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</si>
  <si>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</si>
  <si>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</si>
  <si>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</si>
  <si>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</si>
  <si>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</si>
  <si>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</si>
  <si>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</si>
  <si>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</si>
  <si>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</si>
  <si>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</si>
  <si>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</si>
  <si>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</si>
  <si>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</si>
  <si>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</si>
  <si>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</si>
  <si>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</si>
  <si>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</si>
  <si>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</si>
  <si>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</si>
  <si>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</si>
  <si>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</si>
  <si>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</si>
  <si>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</si>
  <si>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</si>
  <si>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</si>
  <si>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</si>
  <si>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</si>
  <si>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</si>
  <si>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</si>
  <si>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</si>
  <si>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</si>
  <si>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</si>
  <si>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</si>
  <si>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</si>
  <si>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</si>
  <si>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</si>
  <si>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</si>
  <si>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</si>
  <si>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</si>
  <si>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</si>
  <si>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</si>
  <si>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</si>
  <si>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</si>
  <si>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</si>
  <si>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</si>
  <si>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</si>
  <si>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</si>
  <si>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</si>
  <si>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</si>
  <si>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</si>
  <si>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</si>
  <si>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</si>
  <si>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</si>
  <si>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</si>
  <si>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</si>
  <si>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</si>
  <si>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</si>
  <si>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</si>
  <si>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</si>
  <si>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</si>
  <si>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</si>
  <si>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</si>
  <si>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</si>
  <si>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</si>
  <si>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</si>
  <si>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</si>
  <si>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</si>
  <si>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</si>
  <si>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</si>
  <si>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</si>
  <si>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</si>
  <si>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</si>
  <si>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</si>
  <si>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</si>
  <si>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</si>
  <si>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</si>
  <si>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</si>
  <si>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</si>
  <si>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</si>
  <si>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</si>
  <si>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</si>
  <si>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</si>
  <si>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</si>
  <si>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</si>
  <si>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</si>
  <si>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</si>
  <si>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</si>
  <si>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</si>
  <si>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</si>
  <si>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</si>
  <si>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</si>
  <si>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</si>
  <si>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</si>
  <si>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</si>
  <si>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</si>
  <si>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</si>
  <si>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</si>
  <si>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</si>
  <si>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</si>
  <si>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</si>
  <si>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</si>
  <si>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</si>
  <si>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</si>
  <si>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</si>
  <si>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</si>
  <si>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</si>
  <si>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</si>
  <si>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</si>
  <si>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</si>
  <si>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</si>
  <si>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</si>
  <si>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</si>
  <si>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</si>
  <si>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</si>
  <si>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</si>
  <si>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</si>
  <si>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</si>
  <si>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</si>
  <si>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</si>
  <si>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</si>
  <si>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</si>
  <si>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</si>
  <si>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</si>
  <si>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</si>
  <si>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</si>
  <si>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</si>
  <si>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</si>
  <si>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</si>
  <si>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</si>
  <si>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</si>
  <si>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</si>
  <si>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</si>
  <si>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</si>
  <si>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</si>
  <si>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</si>
  <si>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</si>
  <si>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</si>
  <si>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</si>
  <si>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</si>
  <si>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</si>
  <si>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</si>
  <si>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</si>
  <si>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</si>
  <si>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</si>
  <si>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</si>
  <si>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</si>
  <si>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</si>
  <si>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</si>
  <si>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</si>
  <si>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</si>
  <si>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</si>
  <si>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</si>
  <si>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</si>
  <si>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</si>
  <si>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</si>
  <si>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</si>
  <si>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</si>
  <si>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</si>
  <si>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</si>
  <si>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</si>
  <si>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</si>
  <si>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</si>
  <si>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</si>
  <si>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</si>
  <si>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</si>
  <si>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</si>
  <si>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</si>
  <si>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</si>
  <si>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</si>
  <si>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</si>
  <si>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</si>
  <si>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</si>
  <si>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</si>
  <si>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</si>
  <si>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</si>
  <si>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</si>
  <si>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</si>
  <si>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</si>
  <si>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</si>
  <si>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</si>
  <si>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</si>
  <si>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</si>
  <si>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</si>
  <si>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</si>
  <si>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</si>
  <si>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</si>
  <si>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</si>
  <si>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</si>
  <si>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</si>
  <si>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</si>
  <si>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</si>
  <si>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</si>
  <si>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</si>
  <si>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</si>
  <si>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</si>
  <si>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</si>
  <si>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</si>
  <si>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</si>
  <si>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</si>
  <si>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</si>
  <si>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</si>
  <si>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</si>
  <si>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</si>
  <si>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</si>
  <si>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</si>
  <si>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</si>
  <si>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</si>
  <si>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</si>
  <si>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</si>
  <si>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</si>
  <si>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</si>
  <si>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</si>
  <si>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</si>
  <si>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</si>
  <si>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</si>
  <si>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</si>
  <si>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</si>
  <si>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</si>
  <si>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</si>
  <si>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</si>
  <si>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</si>
  <si>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</si>
  <si>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</si>
  <si>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</si>
  <si>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</si>
  <si>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</si>
  <si>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</si>
  <si>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</si>
  <si>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</si>
  <si>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</si>
  <si>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</si>
  <si>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</si>
  <si>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</si>
  <si>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</si>
  <si>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</si>
  <si>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</si>
  <si>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</si>
  <si>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</si>
  <si>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</si>
  <si>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</si>
  <si>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</si>
  <si>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</si>
  <si>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</si>
  <si>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</si>
  <si>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</si>
  <si>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</si>
  <si>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</si>
  <si>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</si>
  <si>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</si>
  <si>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</si>
  <si>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</si>
  <si>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</si>
  <si>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</si>
  <si>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</si>
  <si>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</si>
  <si>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</si>
  <si>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</si>
  <si>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</si>
  <si>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</si>
  <si>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</si>
  <si>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</si>
  <si>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</si>
  <si>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</si>
  <si>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</si>
  <si>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</si>
  <si>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</si>
  <si>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</si>
  <si>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</si>
  <si>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</si>
  <si>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</si>
  <si>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</si>
  <si>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</si>
  <si>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</si>
  <si>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</si>
  <si>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</si>
  <si>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</si>
  <si>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</si>
  <si>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</si>
  <si>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</si>
  <si>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</si>
  <si>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</si>
  <si>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</si>
  <si>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</si>
  <si>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</si>
  <si>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</si>
  <si>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</si>
  <si>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</si>
  <si>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</si>
  <si>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</si>
  <si>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</si>
  <si>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</si>
  <si>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</si>
  <si>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</si>
  <si>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</si>
  <si>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</si>
  <si>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</si>
  <si>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</si>
  <si>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</si>
  <si>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</si>
  <si>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</si>
  <si>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</si>
  <si>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</si>
  <si>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</si>
  <si>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</si>
  <si>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</si>
  <si>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</si>
  <si>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</si>
  <si>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</si>
  <si>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</si>
  <si>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</si>
  <si>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</si>
  <si>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</si>
  <si>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</si>
  <si>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</si>
  <si>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</si>
  <si>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</si>
  <si>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</si>
  <si>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</si>
  <si>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</si>
  <si>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</si>
  <si>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</si>
  <si>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</si>
  <si>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</si>
  <si>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</si>
  <si>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</si>
  <si>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</si>
  <si>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</si>
  <si>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</si>
  <si>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</si>
  <si>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</si>
  <si>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</si>
  <si>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</si>
  <si>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</si>
  <si>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</si>
  <si>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</si>
  <si>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</si>
  <si>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</si>
  <si>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</si>
  <si>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</si>
  <si>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</si>
  <si>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</si>
  <si>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</si>
  <si>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</si>
  <si>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Jefferson</t>
  </si>
  <si>
    <t xml:space="preserve">Mt. Vernon </t>
  </si>
  <si>
    <t>11101 N. Wells Bypass</t>
  </si>
  <si>
    <t>618-246-5098</t>
  </si>
  <si>
    <t>618-246-5988</t>
  </si>
  <si>
    <t>Emling &amp; Hoffman, PC</t>
  </si>
  <si>
    <t>Donald L Hoffman</t>
  </si>
  <si>
    <t>1191 West Saint Louis Street</t>
  </si>
  <si>
    <t xml:space="preserve">Nashville </t>
  </si>
  <si>
    <t>IL</t>
  </si>
  <si>
    <t>618-327-4375</t>
  </si>
  <si>
    <t>618-327-4376</t>
  </si>
  <si>
    <t>060-004252</t>
  </si>
  <si>
    <t>donhoffman@emlingcpa.com</t>
  </si>
  <si>
    <t>Ron Daniels</t>
  </si>
  <si>
    <t>618-244-8040</t>
  </si>
  <si>
    <t>See Findings 2019-001 and 2019-002.</t>
  </si>
  <si>
    <t>Emling &amp;Hoffman PC</t>
  </si>
  <si>
    <t>Segregation of Duties</t>
  </si>
  <si>
    <t>Transaction and reporting errors could occur and not be detected in a timely manner.</t>
  </si>
  <si>
    <t>Personnel of the Career Center do not currently possess the skills necessary to draft financial statements and footnotes in accordance with regulatory basis of accounting, which is a basis of accounting other than accounting principles generally accepted in the United States of America.</t>
  </si>
  <si>
    <t>The Career Center does not possess the ability to draft their basic financial statements or footnotes.</t>
  </si>
  <si>
    <t>Current Government Auditing Standards require the Career Center to designate a qualified management level individual to be responsible and accountable for overseeing the drafting of the Career Center's basic financial statements and footnotes in accordance with the regulatory basis of accounting, which is a basis of accounting other than accounting principles generally accepted in the United States of America.</t>
  </si>
  <si>
    <t>The Career Center's management may not be able to detect error ormissions in the application of the regulatory basis of accounting with respect to the Career Center's basic financial statements and footnotes.</t>
  </si>
  <si>
    <t>Lack of formal technical training.</t>
  </si>
  <si>
    <t>Current Government Auditing Standards allow the Career Center to continue to request the auditor to prepare the  basic financial statements and footnote disclosures.  However, the Career Center is still responsible for having a qualified person capable of understanding the complete drafting of the basic financial statements and footnote disclosures as well as having the capability of making sure that all adjusting entries, having a material effect on the basic financial statements, are properly posted prior to the audit being performed.  The Career Center should consider providing additional training for its staff.</t>
  </si>
  <si>
    <t>Management agrees with the finding, however, the Illinois State Board of Education requires the District Auditor prepare the Annual Financial Report.</t>
  </si>
  <si>
    <t>There is limited segregation of duties over cash receipts and disbursements, receiving and purchasing, recording of transactions and reconciliation of the bank accounts.  The Career Center employs few individuals to perform all of the above mentioned functions.</t>
  </si>
  <si>
    <t>The Career Center does not have adequate segregation of duties.</t>
  </si>
  <si>
    <t>The cost versus the benefit of hiring additional staff is not conducive for the Career Center.</t>
  </si>
  <si>
    <t>The Career Center should segregate or rotate duties so that no one individual handles a transacton from its inception to its completion.  While the Career Center's current staffing arrangement may not permit an adequate segregation of duties in all respects for an effective system of internal control procedures, it is important that personnel and management is aware of this condition.</t>
  </si>
  <si>
    <t>The Career Center is aware of this condition.  They will review their staffing arrangement, assignment of duties, and employee bonding.</t>
  </si>
  <si>
    <t>2018-001</t>
  </si>
  <si>
    <t>2018-002</t>
  </si>
  <si>
    <t>Qualified Personnel</t>
  </si>
  <si>
    <t>Not implemented due to limited resources</t>
  </si>
  <si>
    <t>Kara Andrews</t>
  </si>
  <si>
    <t>rdaniels@roe13.org</t>
  </si>
  <si>
    <t>Mt Vernon Township High School #201</t>
  </si>
  <si>
    <t>kandrews.mvths.org</t>
  </si>
  <si>
    <t>Mt Vernon Area Voc Center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</si>
</sst>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4" fillId="0" borderId="157" xfId="17" applyFont="1" applyBorder="1" applyAlignment="1" applyProtection="1">
      <alignment horizontal="left" vertical="top" wrapText="1"/>
      <protection locked="0"/>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 fontId="64" fillId="0" borderId="22" xfId="3" applyNumberFormat="1" applyFont="1" applyBorder="1" applyAlignment="1" applyProtection="1">
      <alignment horizontal="left" vertical="center" wrapText="1"/>
      <protection locked="0"/>
    </xf>
    <xf numFmtId="0" fontId="54" fillId="0" borderId="0" xfId="3" applyFont="1" applyAlignment="1" applyProtection="1">
      <alignment horizontal="center" vertical="center"/>
    </xf>
    <xf numFmtId="49" fontId="1" fillId="0" borderId="157" xfId="17" applyNumberFormat="1" applyFont="1" applyBorder="1" applyAlignment="1" applyProtection="1">
      <alignment horizontal="center"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8" fontId="55"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1181100</xdr:colOff>
          <xdr:row>3</xdr:row>
          <xdr:rowOff>142875</xdr:rowOff>
        </xdr:from>
        <xdr:to>
          <xdr:col>1</xdr:col>
          <xdr:colOff>2095500</xdr:colOff>
          <xdr:row>8</xdr:row>
          <xdr:rowOff>9525</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2276475</xdr:colOff>
          <xdr:row>3</xdr:row>
          <xdr:rowOff>142875</xdr:rowOff>
        </xdr:from>
        <xdr:to>
          <xdr:col>1</xdr:col>
          <xdr:colOff>3190875</xdr:colOff>
          <xdr:row>8</xdr:row>
          <xdr:rowOff>19050</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1400-000003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3396961</xdr:colOff>
          <xdr:row>4</xdr:row>
          <xdr:rowOff>4330</xdr:rowOff>
        </xdr:from>
        <xdr:to>
          <xdr:col>2</xdr:col>
          <xdr:colOff>328179</xdr:colOff>
          <xdr:row>8</xdr:row>
          <xdr:rowOff>42429</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1400-000004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C79D9F9E-197A-41CF-B434-28A19831EB4C}"/>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D30902F8-7515-4CCC-AC17-FC754F0196DA}"/>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view="pageBreakPreview" zoomScaleNormal="82" zoomScaleSheetLayoutView="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87" t="s">
        <v>405</v>
      </c>
      <c r="J1" s="1988"/>
      <c r="K1" s="1988"/>
      <c r="L1" s="1988"/>
      <c r="M1" s="1988"/>
      <c r="N1" s="1988"/>
      <c r="O1" s="1988"/>
      <c r="P1" s="1988"/>
      <c r="Q1" s="1988"/>
      <c r="R1" s="1988"/>
      <c r="S1" s="1988"/>
    </row>
    <row r="2" spans="1:28" ht="12" customHeight="1" x14ac:dyDescent="0.2">
      <c r="A2" s="47" t="s">
        <v>1990</v>
      </c>
      <c r="D2" s="48"/>
      <c r="I2" s="1989" t="s">
        <v>979</v>
      </c>
      <c r="J2" s="1988"/>
      <c r="K2" s="1988"/>
      <c r="L2" s="1988"/>
      <c r="M2" s="1988"/>
      <c r="N2" s="1988"/>
      <c r="O2" s="1988"/>
      <c r="P2" s="1988"/>
      <c r="Q2" s="1988"/>
      <c r="R2" s="1988"/>
      <c r="S2" s="1988"/>
    </row>
    <row r="3" spans="1:28" ht="12" customHeight="1" x14ac:dyDescent="0.2">
      <c r="A3" s="155" t="s">
        <v>1942</v>
      </c>
      <c r="B3" s="156"/>
      <c r="C3" s="156"/>
      <c r="D3" s="157"/>
      <c r="I3" s="1989" t="s">
        <v>52</v>
      </c>
      <c r="J3" s="1988"/>
      <c r="K3" s="1988"/>
      <c r="L3" s="1988"/>
      <c r="M3" s="1988"/>
      <c r="N3" s="1988"/>
      <c r="O3" s="1988"/>
      <c r="P3" s="1988"/>
      <c r="Q3" s="1988"/>
      <c r="R3" s="1988"/>
      <c r="S3" s="1988"/>
    </row>
    <row r="4" spans="1:28" ht="12" customHeight="1" x14ac:dyDescent="0.2">
      <c r="A4" s="37"/>
      <c r="I4" s="1989" t="s">
        <v>524</v>
      </c>
      <c r="J4" s="1988"/>
      <c r="K4" s="1988"/>
      <c r="L4" s="1988"/>
      <c r="M4" s="1988"/>
      <c r="N4" s="1988"/>
      <c r="O4" s="1988"/>
      <c r="P4" s="1988"/>
      <c r="Q4" s="1988"/>
      <c r="R4" s="1988"/>
      <c r="S4" s="1988"/>
    </row>
    <row r="5" spans="1:28" ht="14.1" customHeight="1" x14ac:dyDescent="0.2">
      <c r="B5" s="104"/>
      <c r="C5" s="26" t="s">
        <v>910</v>
      </c>
      <c r="D5" s="84"/>
      <c r="E5" s="84"/>
      <c r="H5" s="38"/>
      <c r="I5" s="1997" t="s">
        <v>680</v>
      </c>
      <c r="J5" s="1996"/>
      <c r="K5" s="1996"/>
      <c r="L5" s="1996"/>
      <c r="M5" s="1996"/>
      <c r="N5" s="1996"/>
      <c r="O5" s="1996"/>
      <c r="P5" s="1996"/>
      <c r="Q5" s="1996"/>
      <c r="R5" s="1996"/>
      <c r="S5" s="1996"/>
    </row>
    <row r="6" spans="1:28" ht="14.1" customHeight="1" x14ac:dyDescent="0.2">
      <c r="B6" s="104" t="s">
        <v>2064</v>
      </c>
      <c r="C6" s="26" t="s">
        <v>911</v>
      </c>
      <c r="D6" s="84"/>
      <c r="E6" s="84"/>
      <c r="I6" s="1995" t="s">
        <v>883</v>
      </c>
      <c r="J6" s="1996"/>
      <c r="K6" s="1996"/>
      <c r="L6" s="1996"/>
      <c r="M6" s="1996"/>
      <c r="N6" s="1996"/>
      <c r="O6" s="1996"/>
      <c r="P6" s="1996"/>
      <c r="Q6" s="1996"/>
      <c r="R6" s="1996"/>
      <c r="S6" s="1996"/>
    </row>
    <row r="7" spans="1:28" ht="12.2" customHeight="1" x14ac:dyDescent="0.2">
      <c r="I7" s="1990">
        <v>43646</v>
      </c>
      <c r="J7" s="1991"/>
      <c r="K7" s="1991"/>
      <c r="L7" s="1991"/>
      <c r="M7" s="1991"/>
      <c r="N7" s="1991"/>
      <c r="O7" s="1991"/>
      <c r="P7" s="1991"/>
      <c r="Q7" s="1991"/>
      <c r="R7" s="1991"/>
      <c r="S7" s="199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2" t="s">
        <v>674</v>
      </c>
      <c r="J9" s="1993"/>
      <c r="K9" s="1993"/>
      <c r="L9" s="1993"/>
      <c r="M9" s="1993"/>
      <c r="N9" s="1993"/>
      <c r="O9" s="1993"/>
      <c r="P9" s="1993"/>
      <c r="Q9" s="1993"/>
      <c r="R9" s="1993"/>
      <c r="S9" s="1994"/>
      <c r="T9" s="2008" t="s">
        <v>533</v>
      </c>
      <c r="U9" s="2009"/>
      <c r="V9" s="2009"/>
      <c r="W9" s="2009"/>
      <c r="X9" s="2009"/>
      <c r="Y9" s="2009"/>
      <c r="Z9" s="2009"/>
      <c r="AA9" s="2010"/>
    </row>
    <row r="10" spans="1:28" ht="13.5" customHeight="1" x14ac:dyDescent="0.2">
      <c r="A10" s="2015" t="s">
        <v>675</v>
      </c>
      <c r="B10" s="2016"/>
      <c r="C10" s="2016"/>
      <c r="D10" s="2016"/>
      <c r="E10" s="2016"/>
      <c r="F10" s="2016"/>
      <c r="G10" s="2016"/>
      <c r="H10" s="2017"/>
      <c r="I10" s="29"/>
      <c r="J10" s="30"/>
      <c r="K10" s="28"/>
      <c r="R10" s="30"/>
      <c r="S10" s="30"/>
      <c r="T10" s="2011"/>
      <c r="U10" s="1996"/>
      <c r="V10" s="1996"/>
      <c r="W10" s="1996"/>
      <c r="X10" s="1996"/>
      <c r="Y10" s="1996"/>
      <c r="Z10" s="1996"/>
      <c r="AA10" s="2002"/>
    </row>
    <row r="11" spans="1:28" ht="14.25" customHeight="1" x14ac:dyDescent="0.2">
      <c r="A11" s="2018" t="s">
        <v>955</v>
      </c>
      <c r="B11" s="2019"/>
      <c r="C11" s="2019"/>
      <c r="D11" s="2019"/>
      <c r="E11" s="2019"/>
      <c r="F11" s="2019"/>
      <c r="G11" s="2019"/>
      <c r="H11" s="2020"/>
      <c r="I11" s="27"/>
      <c r="J11" s="74"/>
      <c r="K11" s="27"/>
      <c r="O11" s="148" t="s">
        <v>2064</v>
      </c>
      <c r="P11" s="100" t="s">
        <v>201</v>
      </c>
      <c r="Q11" s="30"/>
      <c r="R11" s="28"/>
      <c r="S11" s="27"/>
      <c r="T11" s="2012"/>
      <c r="U11" s="2013"/>
      <c r="V11" s="2013"/>
      <c r="W11" s="2013"/>
      <c r="X11" s="2013"/>
      <c r="Y11" s="2013"/>
      <c r="Z11" s="2013"/>
      <c r="AA11" s="201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2">
        <v>13000000041</v>
      </c>
      <c r="B13" s="2023"/>
      <c r="C13" s="2023"/>
      <c r="D13" s="2023"/>
      <c r="E13" s="2023"/>
      <c r="F13" s="2023"/>
      <c r="G13" s="2023"/>
      <c r="H13" s="2024"/>
      <c r="I13" s="31"/>
      <c r="J13" s="30"/>
      <c r="K13" s="28"/>
      <c r="L13" s="30"/>
      <c r="M13" s="30"/>
      <c r="N13" s="30"/>
      <c r="O13" s="30"/>
      <c r="P13" s="30"/>
      <c r="Q13" s="30"/>
      <c r="R13" s="30"/>
      <c r="S13" s="30"/>
      <c r="T13" s="2027" t="s">
        <v>2070</v>
      </c>
      <c r="U13" s="2028"/>
      <c r="V13" s="2028"/>
      <c r="W13" s="2028"/>
      <c r="X13" s="2028"/>
      <c r="Y13" s="2029"/>
      <c r="Z13" s="2029"/>
      <c r="AA13" s="203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1" t="s">
        <v>2065</v>
      </c>
      <c r="B15" s="2025"/>
      <c r="C15" s="2025"/>
      <c r="D15" s="2025"/>
      <c r="E15" s="2025"/>
      <c r="F15" s="2025"/>
      <c r="G15" s="2025"/>
      <c r="H15" s="2026"/>
      <c r="T15" s="2031" t="s">
        <v>2071</v>
      </c>
      <c r="U15" s="1975"/>
      <c r="V15" s="1975"/>
      <c r="W15" s="1975"/>
      <c r="X15" s="1975"/>
      <c r="Y15" s="2032"/>
      <c r="Z15" s="2032"/>
      <c r="AA15" s="203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1" t="s">
        <v>2105</v>
      </c>
      <c r="B17" s="1982"/>
      <c r="C17" s="1982"/>
      <c r="D17" s="1982"/>
      <c r="E17" s="1982"/>
      <c r="F17" s="1982"/>
      <c r="G17" s="1982"/>
      <c r="H17" s="2007"/>
      <c r="T17" s="2038" t="s">
        <v>2072</v>
      </c>
      <c r="U17" s="2039"/>
      <c r="V17" s="2039"/>
      <c r="W17" s="2039"/>
      <c r="X17" s="2039"/>
      <c r="Y17" s="2039"/>
      <c r="Z17" s="2039"/>
      <c r="AA17" s="2040"/>
    </row>
    <row r="18" spans="1:27" ht="13.5" customHeight="1" x14ac:dyDescent="0.2">
      <c r="A18" s="85" t="s">
        <v>530</v>
      </c>
      <c r="B18" s="76"/>
      <c r="C18" s="72"/>
      <c r="D18" s="76"/>
      <c r="E18" s="76"/>
      <c r="F18" s="76"/>
      <c r="G18" s="76"/>
      <c r="H18" s="56"/>
      <c r="I18" s="2006" t="s">
        <v>676</v>
      </c>
      <c r="J18" s="1957"/>
      <c r="K18" s="1957"/>
      <c r="L18" s="1957"/>
      <c r="M18" s="1957"/>
      <c r="N18" s="1957"/>
      <c r="O18" s="1957"/>
      <c r="P18" s="1957"/>
      <c r="Q18" s="1957"/>
      <c r="R18" s="1957"/>
      <c r="S18" s="1958"/>
      <c r="T18" s="85" t="s">
        <v>711</v>
      </c>
      <c r="U18" s="51"/>
      <c r="V18" s="72"/>
      <c r="W18" s="50"/>
      <c r="X18" s="85" t="s">
        <v>266</v>
      </c>
      <c r="Y18" s="81"/>
      <c r="Z18" s="159" t="s">
        <v>677</v>
      </c>
      <c r="AA18" s="46"/>
    </row>
    <row r="19" spans="1:27" ht="13.5" customHeight="1" x14ac:dyDescent="0.2">
      <c r="A19" s="2021" t="s">
        <v>2067</v>
      </c>
      <c r="B19" s="1967"/>
      <c r="C19" s="1967"/>
      <c r="D19" s="1967"/>
      <c r="E19" s="1967"/>
      <c r="F19" s="1967"/>
      <c r="G19" s="1967"/>
      <c r="H19" s="1947"/>
      <c r="I19" s="30"/>
      <c r="J19" s="99"/>
      <c r="K19" s="40"/>
      <c r="L19" s="38"/>
      <c r="M19" s="112" t="s">
        <v>315</v>
      </c>
      <c r="P19" s="27"/>
      <c r="Q19" s="27"/>
      <c r="R19" s="27"/>
      <c r="S19" s="31"/>
      <c r="T19" s="2021" t="s">
        <v>2073</v>
      </c>
      <c r="U19" s="1946"/>
      <c r="V19" s="1946"/>
      <c r="W19" s="1947"/>
      <c r="X19" s="2036" t="s">
        <v>2074</v>
      </c>
      <c r="Y19" s="2037"/>
      <c r="Z19" s="2034">
        <v>62263</v>
      </c>
      <c r="AA19" s="203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5" t="s">
        <v>2066</v>
      </c>
      <c r="B21" s="1946"/>
      <c r="C21" s="1946"/>
      <c r="D21" s="1946"/>
      <c r="E21" s="1946"/>
      <c r="F21" s="1946"/>
      <c r="G21" s="1946"/>
      <c r="H21" s="1947"/>
      <c r="I21" s="2001" t="s">
        <v>678</v>
      </c>
      <c r="J21" s="1996"/>
      <c r="K21" s="1996"/>
      <c r="L21" s="1996"/>
      <c r="M21" s="1996"/>
      <c r="N21" s="1996"/>
      <c r="O21" s="1996"/>
      <c r="P21" s="1996"/>
      <c r="Q21" s="1996"/>
      <c r="R21" s="1996"/>
      <c r="S21" s="2002"/>
      <c r="T21" s="2045" t="s">
        <v>2075</v>
      </c>
      <c r="U21" s="2046"/>
      <c r="V21" s="2046"/>
      <c r="W21" s="2046"/>
      <c r="X21" s="2051" t="s">
        <v>2076</v>
      </c>
      <c r="Y21" s="2052"/>
      <c r="Z21" s="2052"/>
      <c r="AA21" s="2053"/>
    </row>
    <row r="22" spans="1:27" ht="13.5" customHeight="1" x14ac:dyDescent="0.2">
      <c r="A22" s="87" t="s">
        <v>531</v>
      </c>
      <c r="B22" s="59"/>
      <c r="C22" s="59"/>
      <c r="D22" s="59"/>
      <c r="E22" s="59"/>
      <c r="F22" s="59"/>
      <c r="G22" s="59"/>
      <c r="H22" s="60"/>
      <c r="I22" s="2003" t="s">
        <v>1429</v>
      </c>
      <c r="J22" s="2004"/>
      <c r="K22" s="2004"/>
      <c r="L22" s="2004"/>
      <c r="M22" s="2004"/>
      <c r="N22" s="2004"/>
      <c r="O22" s="2004"/>
      <c r="P22" s="2004"/>
      <c r="Q22" s="2004"/>
      <c r="R22" s="2004"/>
      <c r="S22" s="2005"/>
      <c r="T22" s="85" t="s">
        <v>1516</v>
      </c>
      <c r="U22" s="51"/>
      <c r="V22" s="72"/>
      <c r="W22" s="51"/>
      <c r="X22" s="160" t="s">
        <v>1318</v>
      </c>
      <c r="Z22" s="45"/>
      <c r="AA22" s="46"/>
    </row>
    <row r="23" spans="1:27" ht="13.5" customHeight="1" x14ac:dyDescent="0.2">
      <c r="A23" s="1998"/>
      <c r="B23" s="1999"/>
      <c r="C23" s="1999"/>
      <c r="D23" s="1999"/>
      <c r="E23" s="1999"/>
      <c r="F23" s="1999"/>
      <c r="G23" s="1999"/>
      <c r="H23" s="2000"/>
      <c r="T23" s="1981" t="s">
        <v>2077</v>
      </c>
      <c r="U23" s="2044"/>
      <c r="V23" s="2044"/>
      <c r="W23" s="2044"/>
      <c r="X23" s="2048">
        <v>43831</v>
      </c>
      <c r="Y23" s="2049"/>
      <c r="Z23" s="2049"/>
      <c r="AA23" s="2050"/>
    </row>
    <row r="24" spans="1:27" ht="14.1" customHeight="1" x14ac:dyDescent="0.2">
      <c r="A24" s="88" t="s">
        <v>677</v>
      </c>
      <c r="B24" s="49"/>
      <c r="C24" s="49"/>
      <c r="D24" s="49"/>
      <c r="E24" s="49"/>
      <c r="F24" s="49"/>
      <c r="G24" s="49"/>
      <c r="H24" s="61"/>
      <c r="J24" s="1968" t="str">
        <f>IF(B5="x",IF(AUDITCHECK!D29="AFR form Incomplete.","",IF(AUDITCHECK!D29="Deficit reduction plan is required.","School District must complete a deficit reduction plan in the 2019-2020 Budget",)),"")</f>
        <v/>
      </c>
      <c r="K24" s="1968"/>
      <c r="L24" s="1968"/>
      <c r="M24" s="1968"/>
      <c r="N24" s="1968"/>
      <c r="O24" s="1968"/>
      <c r="P24" s="1968"/>
      <c r="Q24" s="1968"/>
      <c r="R24" s="1968"/>
      <c r="S24" s="1969"/>
      <c r="T24" s="105" t="s">
        <v>531</v>
      </c>
      <c r="U24" s="106"/>
      <c r="V24" s="106"/>
      <c r="W24" s="106"/>
      <c r="X24" s="107"/>
      <c r="Y24" s="107"/>
      <c r="Z24" s="107"/>
      <c r="AA24" s="108"/>
    </row>
    <row r="25" spans="1:27" ht="14.1" customHeight="1" x14ac:dyDescent="0.2">
      <c r="A25" s="1945">
        <v>62864</v>
      </c>
      <c r="B25" s="1946"/>
      <c r="C25" s="1946"/>
      <c r="D25" s="1946"/>
      <c r="E25" s="1946"/>
      <c r="F25" s="1946"/>
      <c r="G25" s="1946"/>
      <c r="H25" s="1947"/>
      <c r="I25" s="113"/>
      <c r="J25" s="1970"/>
      <c r="K25" s="1970"/>
      <c r="L25" s="1970"/>
      <c r="M25" s="1970"/>
      <c r="N25" s="1970"/>
      <c r="O25" s="1970"/>
      <c r="P25" s="1970"/>
      <c r="Q25" s="1970"/>
      <c r="R25" s="1970"/>
      <c r="S25" s="1971"/>
      <c r="T25" s="2041" t="s">
        <v>2078</v>
      </c>
      <c r="U25" s="2042"/>
      <c r="V25" s="2042"/>
      <c r="W25" s="2042"/>
      <c r="X25" s="2042"/>
      <c r="Y25" s="2042"/>
      <c r="Z25" s="2042"/>
      <c r="AA25" s="20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6" t="s">
        <v>1511</v>
      </c>
      <c r="J27" s="1957"/>
      <c r="K27" s="1957"/>
      <c r="L27" s="1957"/>
      <c r="M27" s="1957"/>
      <c r="N27" s="1957"/>
      <c r="O27" s="1957"/>
      <c r="P27" s="1957"/>
      <c r="Q27" s="1957"/>
      <c r="R27" s="1957"/>
      <c r="S27" s="195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48" t="s">
        <v>2064</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7"/>
      <c r="Q35" s="1946"/>
      <c r="R35" s="19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1" t="s">
        <v>2101</v>
      </c>
      <c r="B38" s="1982"/>
      <c r="C38" s="1982"/>
      <c r="D38" s="1982"/>
      <c r="E38" s="1982"/>
      <c r="F38" s="1946"/>
      <c r="G38" s="1946"/>
      <c r="H38" s="1947"/>
      <c r="I38" s="1974"/>
      <c r="J38" s="1975"/>
      <c r="K38" s="1975"/>
      <c r="L38" s="1975"/>
      <c r="M38" s="1975"/>
      <c r="N38" s="1975"/>
      <c r="O38" s="1975"/>
      <c r="P38" s="1976"/>
      <c r="Q38" s="1976"/>
      <c r="R38" s="1976"/>
      <c r="S38" s="1977"/>
      <c r="T38" s="2031" t="s">
        <v>2079</v>
      </c>
      <c r="U38" s="1975"/>
      <c r="V38" s="1975"/>
      <c r="W38" s="1975"/>
      <c r="X38" s="1976"/>
      <c r="Y38" s="1976"/>
      <c r="Z38" s="1976"/>
      <c r="AA38" s="1977"/>
    </row>
    <row r="39" spans="1:27" ht="12" customHeight="1" x14ac:dyDescent="0.2">
      <c r="A39" s="1951" t="s">
        <v>531</v>
      </c>
      <c r="B39" s="1952"/>
      <c r="C39" s="72"/>
      <c r="D39" s="69"/>
      <c r="E39" s="69"/>
      <c r="F39" s="79"/>
      <c r="G39" s="69"/>
      <c r="H39" s="56"/>
      <c r="I39" s="1951" t="s">
        <v>531</v>
      </c>
      <c r="J39" s="1952"/>
      <c r="K39" s="1952"/>
      <c r="L39" s="1952"/>
      <c r="M39" s="1952"/>
      <c r="N39" s="67"/>
      <c r="O39" s="72"/>
      <c r="P39" s="72"/>
      <c r="Q39" s="78"/>
      <c r="R39" s="72"/>
      <c r="S39" s="56"/>
      <c r="T39" s="72" t="s">
        <v>531</v>
      </c>
      <c r="U39" s="51"/>
      <c r="V39" s="72"/>
      <c r="W39" s="50"/>
      <c r="X39" s="78"/>
      <c r="Y39" s="45"/>
      <c r="Z39" s="45"/>
      <c r="AA39" s="46"/>
    </row>
    <row r="40" spans="1:27" ht="13.5" customHeight="1" x14ac:dyDescent="0.2">
      <c r="A40" s="1959" t="s">
        <v>2104</v>
      </c>
      <c r="B40" s="1960"/>
      <c r="C40" s="1961"/>
      <c r="D40" s="1961"/>
      <c r="E40" s="1961"/>
      <c r="F40" s="1962"/>
      <c r="G40" s="1962"/>
      <c r="H40" s="1963"/>
      <c r="I40" s="1984"/>
      <c r="J40" s="1985"/>
      <c r="K40" s="1985"/>
      <c r="L40" s="1985"/>
      <c r="M40" s="1985"/>
      <c r="N40" s="1985"/>
      <c r="O40" s="1985"/>
      <c r="P40" s="1985"/>
      <c r="Q40" s="1985"/>
      <c r="R40" s="1985"/>
      <c r="S40" s="1986"/>
      <c r="T40" s="1984" t="s">
        <v>2102</v>
      </c>
      <c r="U40" s="2047"/>
      <c r="V40" s="1985"/>
      <c r="W40" s="1985"/>
      <c r="X40" s="1985"/>
      <c r="Y40" s="1985"/>
      <c r="Z40" s="1985"/>
      <c r="AA40" s="198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3" t="s">
        <v>2068</v>
      </c>
      <c r="B42" s="1965"/>
      <c r="C42" s="1966"/>
      <c r="D42" s="1964" t="s">
        <v>2069</v>
      </c>
      <c r="E42" s="1965"/>
      <c r="F42" s="1965"/>
      <c r="G42" s="1965"/>
      <c r="H42" s="1966"/>
      <c r="I42" s="1948"/>
      <c r="J42" s="1949"/>
      <c r="K42" s="1949"/>
      <c r="L42" s="1949"/>
      <c r="M42" s="1949"/>
      <c r="N42" s="1949"/>
      <c r="O42" s="1950"/>
      <c r="P42" s="1983"/>
      <c r="Q42" s="1949"/>
      <c r="R42" s="1949"/>
      <c r="S42" s="1950"/>
      <c r="T42" s="1948" t="s">
        <v>2080</v>
      </c>
      <c r="U42" s="1949"/>
      <c r="V42" s="1949"/>
      <c r="W42" s="1950"/>
      <c r="X42" s="1983"/>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8"/>
      <c r="B44" s="1979"/>
      <c r="C44" s="1979"/>
      <c r="D44" s="1979"/>
      <c r="E44" s="1979"/>
      <c r="F44" s="1979"/>
      <c r="G44" s="1979"/>
      <c r="H44" s="1980"/>
      <c r="I44" s="1953"/>
      <c r="J44" s="1954"/>
      <c r="K44" s="1954"/>
      <c r="L44" s="1954"/>
      <c r="M44" s="1954"/>
      <c r="N44" s="1954"/>
      <c r="O44" s="1954"/>
      <c r="P44" s="1954"/>
      <c r="Q44" s="1954"/>
      <c r="R44" s="1954"/>
      <c r="S44" s="1955"/>
      <c r="T44" s="1953"/>
      <c r="U44" s="1972"/>
      <c r="V44" s="1972"/>
      <c r="W44" s="1972"/>
      <c r="X44" s="1972"/>
      <c r="Y44" s="1972"/>
      <c r="Z44" s="1954"/>
      <c r="AA44" s="195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G31" sqref="G3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7" t="s">
        <v>1801</v>
      </c>
      <c r="B2" s="1528" t="s">
        <v>1948</v>
      </c>
      <c r="C2" s="714" t="s">
        <v>1949</v>
      </c>
      <c r="D2" s="714" t="s">
        <v>1950</v>
      </c>
      <c r="E2" s="714" t="s">
        <v>1951</v>
      </c>
      <c r="F2" s="714" t="s">
        <v>1952</v>
      </c>
    </row>
    <row r="3" spans="1:6" ht="12" customHeight="1" x14ac:dyDescent="0.2">
      <c r="A3" s="2188"/>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1807</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7" colorId="8" zoomScale="110" zoomScaleNormal="110" workbookViewId="0">
      <selection activeCell="G31" sqref="G3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629</v>
      </c>
      <c r="B1" s="2207"/>
      <c r="C1" s="721"/>
    </row>
    <row r="2" spans="1:7" ht="33.75" x14ac:dyDescent="0.2">
      <c r="A2" s="2214" t="s">
        <v>1801</v>
      </c>
      <c r="B2" s="2215"/>
      <c r="C2" s="1884" t="s">
        <v>1953</v>
      </c>
      <c r="D2" s="723" t="s">
        <v>1954</v>
      </c>
      <c r="E2" s="723" t="s">
        <v>1955</v>
      </c>
      <c r="F2" s="1884" t="s">
        <v>1956</v>
      </c>
    </row>
    <row r="3" spans="1:7" ht="15.75" customHeight="1" x14ac:dyDescent="0.2">
      <c r="A3" s="2216" t="s">
        <v>1114</v>
      </c>
      <c r="B3" s="2217"/>
      <c r="C3" s="2210"/>
      <c r="D3" s="2211"/>
      <c r="E3" s="2211"/>
      <c r="F3" s="2212"/>
    </row>
    <row r="4" spans="1:7" ht="12.75" customHeight="1" thickBot="1" x14ac:dyDescent="0.25">
      <c r="A4" s="2204" t="s">
        <v>630</v>
      </c>
      <c r="B4" s="2205"/>
      <c r="C4" s="581"/>
      <c r="D4" s="581"/>
      <c r="E4" s="581"/>
      <c r="F4" s="1755">
        <f>SUM(C4+D4)-E4</f>
        <v>0</v>
      </c>
    </row>
    <row r="5" spans="1:7" ht="15.75" customHeight="1" thickTop="1" x14ac:dyDescent="0.2">
      <c r="A5" s="2208" t="s">
        <v>1110</v>
      </c>
      <c r="B5" s="2203"/>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0" t="s">
        <v>631</v>
      </c>
      <c r="B15" s="2201"/>
      <c r="C15" s="1755">
        <f>SUM(C6:C14)</f>
        <v>0</v>
      </c>
      <c r="D15" s="1755">
        <f>SUM(D6:D14)</f>
        <v>0</v>
      </c>
      <c r="E15" s="1755">
        <f>SUM(E6:E14)</f>
        <v>0</v>
      </c>
      <c r="F15" s="1755">
        <f>SUM(F6:F14)</f>
        <v>0</v>
      </c>
      <c r="G15" s="552"/>
    </row>
    <row r="16" spans="1:7" s="202" customFormat="1" ht="15.75" customHeight="1" thickTop="1" x14ac:dyDescent="0.2">
      <c r="A16" s="2213" t="s">
        <v>1111</v>
      </c>
      <c r="B16" s="2203"/>
      <c r="C16" s="2197"/>
      <c r="D16" s="2198"/>
      <c r="E16" s="2198"/>
      <c r="F16" s="2199"/>
    </row>
    <row r="17" spans="1:11" ht="12.75" customHeight="1" thickBot="1" x14ac:dyDescent="0.25">
      <c r="A17" s="2195" t="s">
        <v>64</v>
      </c>
      <c r="B17" s="2196"/>
      <c r="C17" s="726"/>
      <c r="D17" s="585"/>
      <c r="E17" s="726"/>
      <c r="F17" s="1755">
        <f>SUM(C17+D17)-E17</f>
        <v>0</v>
      </c>
    </row>
    <row r="18" spans="1:11" ht="12.75" customHeight="1" thickTop="1" thickBot="1" x14ac:dyDescent="0.25">
      <c r="A18" s="2195" t="s">
        <v>6</v>
      </c>
      <c r="B18" s="2196"/>
      <c r="C18" s="726"/>
      <c r="D18" s="585"/>
      <c r="E18" s="726"/>
      <c r="F18" s="1755">
        <f>SUM(C18+D18)-E18</f>
        <v>0</v>
      </c>
    </row>
    <row r="19" spans="1:11" ht="12.75" customHeight="1" thickTop="1" thickBot="1" x14ac:dyDescent="0.25">
      <c r="A19" s="2195" t="s">
        <v>388</v>
      </c>
      <c r="B19" s="2196"/>
      <c r="C19" s="726"/>
      <c r="D19" s="585"/>
      <c r="E19" s="726"/>
      <c r="F19" s="1755">
        <f>SUM(C19+D19)-E19</f>
        <v>0</v>
      </c>
    </row>
    <row r="20" spans="1:11" ht="12.75" customHeight="1" thickTop="1" thickBot="1" x14ac:dyDescent="0.25">
      <c r="A20" s="2195" t="s">
        <v>448</v>
      </c>
      <c r="B20" s="2196"/>
      <c r="C20" s="726"/>
      <c r="D20" s="585"/>
      <c r="E20" s="726"/>
      <c r="F20" s="1755">
        <f>SUM(C20+D20)-E20</f>
        <v>0</v>
      </c>
    </row>
    <row r="21" spans="1:11" ht="14.25" thickTop="1" thickBot="1" x14ac:dyDescent="0.25">
      <c r="A21" s="2200" t="s">
        <v>632</v>
      </c>
      <c r="B21" s="2201"/>
      <c r="C21" s="1755">
        <f>SUM(C17:C20)</f>
        <v>0</v>
      </c>
      <c r="D21" s="1755">
        <f>SUM(D17:D20)</f>
        <v>0</v>
      </c>
      <c r="E21" s="1755">
        <f>SUM(E17:E20)</f>
        <v>0</v>
      </c>
      <c r="F21" s="1755">
        <f>SUM(F17:F20)</f>
        <v>0</v>
      </c>
      <c r="G21" s="552"/>
    </row>
    <row r="22" spans="1:11" ht="15.75" customHeight="1" thickTop="1" x14ac:dyDescent="0.2">
      <c r="A22" s="2202" t="s">
        <v>1112</v>
      </c>
      <c r="B22" s="2203"/>
      <c r="C22" s="2197"/>
      <c r="D22" s="2198"/>
      <c r="E22" s="2198"/>
      <c r="F22" s="2199"/>
    </row>
    <row r="23" spans="1:11" ht="13.5" thickBot="1" x14ac:dyDescent="0.25">
      <c r="A23" s="2204" t="s">
        <v>633</v>
      </c>
      <c r="B23" s="2205"/>
      <c r="C23" s="581"/>
      <c r="D23" s="581"/>
      <c r="E23" s="581"/>
      <c r="F23" s="1755">
        <f>SUM(C23+D23)-E23</f>
        <v>0</v>
      </c>
      <c r="G23" s="552"/>
    </row>
    <row r="24" spans="1:11" ht="15.75" customHeight="1" thickTop="1" x14ac:dyDescent="0.2">
      <c r="A24" s="2202" t="s">
        <v>1113</v>
      </c>
      <c r="B24" s="2203"/>
      <c r="C24" s="2197"/>
      <c r="D24" s="2198"/>
      <c r="E24" s="2198"/>
      <c r="F24" s="2199"/>
    </row>
    <row r="25" spans="1:11" ht="13.5" thickBot="1" x14ac:dyDescent="0.25">
      <c r="A25" s="2204" t="s">
        <v>634</v>
      </c>
      <c r="B25" s="2205"/>
      <c r="C25" s="581"/>
      <c r="D25" s="581"/>
      <c r="E25" s="581"/>
      <c r="F25" s="1755">
        <f>SUM(C25+D25)-E25</f>
        <v>0</v>
      </c>
      <c r="G25" s="552"/>
    </row>
    <row r="26" spans="1:11" ht="15.75" customHeight="1" thickTop="1" x14ac:dyDescent="0.2">
      <c r="A26" s="2208" t="s">
        <v>657</v>
      </c>
      <c r="B26" s="2203"/>
      <c r="C26" s="727"/>
      <c r="D26" s="727"/>
      <c r="E26" s="727"/>
      <c r="F26" s="728"/>
    </row>
    <row r="27" spans="1:11" ht="13.5" thickBot="1" x14ac:dyDescent="0.25">
      <c r="A27" s="2200" t="s">
        <v>1070</v>
      </c>
      <c r="B27" s="2201"/>
      <c r="C27" s="585"/>
      <c r="D27" s="585"/>
      <c r="E27" s="585"/>
      <c r="F27" s="1755">
        <f>SUM(C27+D27)-E27</f>
        <v>0</v>
      </c>
      <c r="G27" s="552"/>
    </row>
    <row r="28" spans="1:11" ht="7.5" customHeight="1" thickTop="1" x14ac:dyDescent="0.2">
      <c r="A28" s="593"/>
    </row>
    <row r="29" spans="1:11" ht="23.25" customHeight="1" x14ac:dyDescent="0.2">
      <c r="A29" s="2206" t="s">
        <v>582</v>
      </c>
      <c r="B29" s="2207"/>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1909</v>
      </c>
      <c r="H30" s="1885" t="s">
        <v>1959</v>
      </c>
      <c r="I30" s="1885" t="s">
        <v>1960</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912</v>
      </c>
      <c r="B52" s="2189" t="s">
        <v>584</v>
      </c>
      <c r="C52" s="2190"/>
      <c r="D52" s="2190"/>
      <c r="E52" s="749" t="s">
        <v>845</v>
      </c>
      <c r="F52" s="2191"/>
      <c r="G52" s="2192"/>
      <c r="H52" s="736"/>
      <c r="I52" s="736"/>
      <c r="J52" s="746"/>
    </row>
    <row r="53" spans="1:11" ht="11.25" customHeight="1" x14ac:dyDescent="0.2">
      <c r="A53" s="750" t="s">
        <v>913</v>
      </c>
      <c r="B53" s="751" t="s">
        <v>951</v>
      </c>
      <c r="C53" s="746"/>
      <c r="D53" s="737"/>
      <c r="E53" s="749" t="s">
        <v>497</v>
      </c>
      <c r="F53" s="2193"/>
      <c r="G53" s="2194"/>
      <c r="H53" s="736"/>
      <c r="I53" s="736"/>
      <c r="J53" s="746"/>
    </row>
    <row r="54" spans="1:11" ht="11.25" customHeight="1" x14ac:dyDescent="0.2">
      <c r="A54" s="752" t="s">
        <v>914</v>
      </c>
      <c r="B54" s="747" t="s">
        <v>952</v>
      </c>
      <c r="C54" s="746"/>
      <c r="D54" s="737"/>
      <c r="E54" s="749" t="s">
        <v>498</v>
      </c>
      <c r="F54" s="2193"/>
      <c r="G54" s="219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6" zoomScaleNormal="116" workbookViewId="0">
      <selection activeCell="G31" sqref="G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8" t="s">
        <v>856</v>
      </c>
      <c r="B1" s="2219"/>
      <c r="C1" s="2219"/>
      <c r="D1" s="2219"/>
      <c r="E1" s="2219"/>
      <c r="F1" s="2219"/>
      <c r="G1" s="2220"/>
      <c r="H1" s="1530"/>
      <c r="I1" s="760"/>
      <c r="J1" s="433"/>
    </row>
    <row r="2" spans="1:11" ht="26.25" x14ac:dyDescent="0.2">
      <c r="A2" s="2237" t="s">
        <v>1677</v>
      </c>
      <c r="B2" s="2238"/>
      <c r="C2" s="2238"/>
      <c r="D2" s="2238"/>
      <c r="E2" s="2239"/>
      <c r="F2" s="761" t="s">
        <v>904</v>
      </c>
      <c r="G2" s="762" t="s">
        <v>1674</v>
      </c>
      <c r="H2" s="762" t="s">
        <v>410</v>
      </c>
      <c r="I2" s="762" t="s">
        <v>1158</v>
      </c>
      <c r="J2" s="762" t="s">
        <v>1811</v>
      </c>
      <c r="K2" s="762" t="s">
        <v>138</v>
      </c>
    </row>
    <row r="3" spans="1:11" x14ac:dyDescent="0.2">
      <c r="A3" s="2240" t="s">
        <v>1961</v>
      </c>
      <c r="B3" s="2241"/>
      <c r="C3" s="2241"/>
      <c r="D3" s="2241"/>
      <c r="E3" s="2242"/>
      <c r="F3" s="763"/>
      <c r="G3" s="764"/>
      <c r="H3" s="764"/>
      <c r="I3" s="764"/>
      <c r="J3" s="765"/>
      <c r="K3" s="765"/>
    </row>
    <row r="4" spans="1:11" x14ac:dyDescent="0.2">
      <c r="A4" s="2243" t="s">
        <v>369</v>
      </c>
      <c r="B4" s="2244"/>
      <c r="C4" s="2244"/>
      <c r="D4" s="2244"/>
      <c r="E4" s="2190"/>
      <c r="F4" s="766"/>
      <c r="G4" s="767"/>
      <c r="H4" s="768"/>
      <c r="I4" s="767"/>
      <c r="J4" s="769"/>
      <c r="K4" s="769"/>
    </row>
    <row r="5" spans="1:11" x14ac:dyDescent="0.2">
      <c r="A5" s="2221" t="s">
        <v>1069</v>
      </c>
      <c r="B5" s="2222"/>
      <c r="C5" s="2222"/>
      <c r="D5" s="2222"/>
      <c r="E5" s="2223"/>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1" t="s">
        <v>1812</v>
      </c>
      <c r="B10" s="2222"/>
      <c r="C10" s="2222"/>
      <c r="D10" s="2222"/>
      <c r="E10" s="2224"/>
      <c r="F10" s="783" t="s">
        <v>862</v>
      </c>
      <c r="G10" s="782"/>
      <c r="H10" s="784"/>
      <c r="I10" s="764"/>
      <c r="J10" s="765"/>
      <c r="K10" s="765"/>
    </row>
    <row r="11" spans="1:11" x14ac:dyDescent="0.2">
      <c r="A11" s="2221" t="s">
        <v>160</v>
      </c>
      <c r="B11" s="2222"/>
      <c r="C11" s="2222"/>
      <c r="D11" s="2222"/>
      <c r="E11" s="2223"/>
      <c r="F11" s="770" t="s">
        <v>852</v>
      </c>
      <c r="G11" s="771"/>
      <c r="H11" s="764"/>
      <c r="I11" s="764"/>
      <c r="J11" s="765"/>
      <c r="K11" s="773"/>
    </row>
    <row r="12" spans="1:11" ht="13.5" thickBot="1" x14ac:dyDescent="0.25">
      <c r="A12" s="2248" t="s">
        <v>905</v>
      </c>
      <c r="B12" s="2249"/>
      <c r="C12" s="2249"/>
      <c r="D12" s="2249"/>
      <c r="E12" s="2250"/>
      <c r="F12" s="1757"/>
      <c r="G12" s="1758">
        <f>SUM(G5:G11)</f>
        <v>0</v>
      </c>
      <c r="H12" s="1758">
        <f>SUM(H5:H11)</f>
        <v>0</v>
      </c>
      <c r="I12" s="1758">
        <f>SUM(I5:I11)</f>
        <v>0</v>
      </c>
      <c r="J12" s="1758">
        <f>SUM(J5:J11)</f>
        <v>0</v>
      </c>
      <c r="K12" s="1758">
        <f>SUM(K5:K11)</f>
        <v>0</v>
      </c>
    </row>
    <row r="13" spans="1:11" ht="13.5" thickTop="1" x14ac:dyDescent="0.2">
      <c r="A13" s="2245" t="s">
        <v>370</v>
      </c>
      <c r="B13" s="2246"/>
      <c r="C13" s="2246"/>
      <c r="D13" s="2246"/>
      <c r="E13" s="2247"/>
      <c r="F13" s="785"/>
      <c r="G13" s="786"/>
      <c r="H13" s="787"/>
      <c r="I13" s="788"/>
      <c r="J13" s="788"/>
      <c r="K13" s="788"/>
    </row>
    <row r="14" spans="1:11" x14ac:dyDescent="0.2">
      <c r="A14" s="2228" t="s">
        <v>456</v>
      </c>
      <c r="B14" s="2228"/>
      <c r="C14" s="2228"/>
      <c r="D14" s="2228"/>
      <c r="E14" s="2229"/>
      <c r="F14" s="789" t="s">
        <v>854</v>
      </c>
      <c r="G14" s="782"/>
      <c r="H14" s="764"/>
      <c r="I14" s="771"/>
      <c r="J14" s="773"/>
      <c r="K14" s="765"/>
    </row>
    <row r="15" spans="1:11" x14ac:dyDescent="0.2">
      <c r="A15" s="2222" t="s">
        <v>4</v>
      </c>
      <c r="B15" s="2222"/>
      <c r="C15" s="2222"/>
      <c r="D15" s="2222"/>
      <c r="E15" s="2223"/>
      <c r="F15" s="789" t="s">
        <v>855</v>
      </c>
      <c r="G15" s="771"/>
      <c r="H15" s="764"/>
      <c r="I15" s="764"/>
      <c r="J15" s="765"/>
      <c r="K15" s="765"/>
    </row>
    <row r="16" spans="1:11" x14ac:dyDescent="0.2">
      <c r="A16" s="2222" t="s">
        <v>298</v>
      </c>
      <c r="B16" s="2222"/>
      <c r="C16" s="2222"/>
      <c r="D16" s="2222"/>
      <c r="E16" s="2223"/>
      <c r="F16" s="789" t="s">
        <v>923</v>
      </c>
      <c r="G16" s="772"/>
      <c r="H16" s="767"/>
      <c r="I16" s="767"/>
      <c r="J16" s="769"/>
      <c r="K16" s="769"/>
    </row>
    <row r="17" spans="1:11" x14ac:dyDescent="0.2">
      <c r="A17" s="2253" t="s">
        <v>935</v>
      </c>
      <c r="B17" s="2253"/>
      <c r="C17" s="2253"/>
      <c r="D17" s="2253"/>
      <c r="E17" s="2254"/>
      <c r="F17" s="790"/>
      <c r="G17" s="791"/>
      <c r="H17" s="792"/>
      <c r="I17" s="792"/>
      <c r="J17" s="793"/>
      <c r="K17" s="794"/>
    </row>
    <row r="18" spans="1:11" x14ac:dyDescent="0.2">
      <c r="A18" s="2232" t="s">
        <v>368</v>
      </c>
      <c r="B18" s="2233"/>
      <c r="C18" s="2233"/>
      <c r="D18" s="2233"/>
      <c r="E18" s="2234"/>
      <c r="F18" s="789" t="s">
        <v>932</v>
      </c>
      <c r="G18" s="782"/>
      <c r="H18" s="782"/>
      <c r="I18" s="782"/>
      <c r="J18" s="765"/>
      <c r="K18" s="795"/>
    </row>
    <row r="19" spans="1:11" ht="21.75" customHeight="1" x14ac:dyDescent="0.2">
      <c r="A19" s="2230" t="s">
        <v>1808</v>
      </c>
      <c r="B19" s="2230"/>
      <c r="C19" s="2230"/>
      <c r="D19" s="2230"/>
      <c r="E19" s="2231"/>
      <c r="F19" s="789" t="s">
        <v>933</v>
      </c>
      <c r="G19" s="782"/>
      <c r="H19" s="782"/>
      <c r="I19" s="782"/>
      <c r="J19" s="765"/>
      <c r="K19" s="795"/>
    </row>
    <row r="20" spans="1:11" x14ac:dyDescent="0.2">
      <c r="A20" s="2232" t="s">
        <v>1813</v>
      </c>
      <c r="B20" s="2233"/>
      <c r="C20" s="2233"/>
      <c r="D20" s="2233"/>
      <c r="E20" s="2234"/>
      <c r="F20" s="789" t="s">
        <v>934</v>
      </c>
      <c r="G20" s="782"/>
      <c r="H20" s="782"/>
      <c r="I20" s="782"/>
      <c r="J20" s="765"/>
      <c r="K20" s="795"/>
    </row>
    <row r="21" spans="1:11" ht="13.5" thickBot="1" x14ac:dyDescent="0.25">
      <c r="A21" s="2251" t="s">
        <v>638</v>
      </c>
      <c r="B21" s="2251"/>
      <c r="C21" s="2251"/>
      <c r="D21" s="2251"/>
      <c r="E21" s="2251"/>
      <c r="F21" s="1759"/>
      <c r="G21" s="792"/>
      <c r="H21" s="796"/>
      <c r="I21" s="796"/>
      <c r="J21" s="1760">
        <f>SUM(J18:J20)</f>
        <v>0</v>
      </c>
      <c r="K21" s="793"/>
    </row>
    <row r="22" spans="1:11" ht="13.5" thickTop="1" x14ac:dyDescent="0.2">
      <c r="A22" s="2222" t="s">
        <v>1814</v>
      </c>
      <c r="B22" s="2222"/>
      <c r="C22" s="2222"/>
      <c r="D22" s="2222"/>
      <c r="E22" s="2223"/>
      <c r="F22" s="789" t="s">
        <v>862</v>
      </c>
      <c r="G22" s="782"/>
      <c r="H22" s="764"/>
      <c r="I22" s="764"/>
      <c r="J22" s="797"/>
      <c r="K22" s="765"/>
    </row>
    <row r="23" spans="1:11" ht="13.5" thickBot="1" x14ac:dyDescent="0.25">
      <c r="A23" s="2252" t="s">
        <v>906</v>
      </c>
      <c r="B23" s="2251"/>
      <c r="C23" s="2251"/>
      <c r="D23" s="2251"/>
      <c r="E23" s="2251"/>
      <c r="F23" s="1761"/>
      <c r="G23" s="1758">
        <f>SUM(G14:G16,G21,G22)</f>
        <v>0</v>
      </c>
      <c r="H23" s="1758">
        <f>SUM(H14:H16,H21,H22)</f>
        <v>0</v>
      </c>
      <c r="I23" s="1758">
        <f>SUM(I14:I16,I21,I22)</f>
        <v>0</v>
      </c>
      <c r="J23" s="1758">
        <f>SUM(J14:J16,J21,J22)</f>
        <v>0</v>
      </c>
      <c r="K23" s="1758">
        <f>SUM(K14:K16,K21,K22)</f>
        <v>0</v>
      </c>
    </row>
    <row r="24" spans="1:11" ht="14.25" thickTop="1" thickBot="1" x14ac:dyDescent="0.25">
      <c r="A24" s="2252" t="s">
        <v>1962</v>
      </c>
      <c r="B24" s="2251"/>
      <c r="C24" s="2251"/>
      <c r="D24" s="2251"/>
      <c r="E24" s="2251"/>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1908</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5"/>
      <c r="I31" s="2226"/>
      <c r="J31" s="2226"/>
      <c r="K31" s="2226"/>
    </row>
    <row r="32" spans="1:11" x14ac:dyDescent="0.2">
      <c r="A32" s="809"/>
      <c r="B32" s="237"/>
      <c r="C32" s="237"/>
      <c r="D32" s="237"/>
      <c r="E32" s="805"/>
      <c r="F32" s="811" t="s">
        <v>540</v>
      </c>
      <c r="G32" s="764"/>
      <c r="H32" s="2227"/>
      <c r="I32" s="2226"/>
      <c r="J32" s="2226"/>
      <c r="K32" s="2226"/>
    </row>
    <row r="33" spans="1:11" ht="1.5" customHeight="1" x14ac:dyDescent="0.2">
      <c r="A33" s="812" t="s">
        <v>1169</v>
      </c>
      <c r="B33" s="364"/>
      <c r="C33" s="364"/>
      <c r="D33" s="364"/>
      <c r="E33" s="364"/>
      <c r="F33" s="364"/>
      <c r="G33" s="813"/>
      <c r="H33" s="2227"/>
      <c r="I33" s="2226"/>
      <c r="J33" s="2226"/>
      <c r="K33" s="2226"/>
    </row>
    <row r="34" spans="1:11" x14ac:dyDescent="0.2">
      <c r="A34" s="814" t="s">
        <v>1815</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2" t="s">
        <v>541</v>
      </c>
      <c r="B41" s="2235"/>
      <c r="C41" s="2235"/>
      <c r="D41" s="2235"/>
      <c r="E41" s="2235"/>
      <c r="F41" s="223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1809</v>
      </c>
      <c r="B46" s="408" t="s">
        <v>1675</v>
      </c>
    </row>
    <row r="47" spans="1:11" s="823" customFormat="1" ht="12.75" customHeight="1" x14ac:dyDescent="0.2">
      <c r="A47" s="821"/>
      <c r="B47" s="822" t="s">
        <v>1676</v>
      </c>
      <c r="E47" s="822"/>
      <c r="K47" s="824"/>
    </row>
    <row r="48" spans="1:11" ht="12.75" customHeight="1" x14ac:dyDescent="0.2">
      <c r="A48" s="1532" t="s">
        <v>1810</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82" zoomScaleNormal="82" workbookViewId="0">
      <selection activeCell="J7" sqref="J7"/>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1907</v>
      </c>
      <c r="B1" s="2258"/>
      <c r="C1" s="2259"/>
      <c r="D1" s="826"/>
      <c r="E1" s="827"/>
      <c r="F1" s="827"/>
      <c r="G1" s="828"/>
      <c r="H1" s="829"/>
      <c r="I1" s="830"/>
      <c r="J1" s="2255"/>
      <c r="K1" s="2256"/>
      <c r="L1" s="2256"/>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199646</v>
      </c>
      <c r="D12" s="844">
        <v>18228</v>
      </c>
      <c r="E12" s="844"/>
      <c r="F12" s="1760">
        <f>(C12+D12)-E12</f>
        <v>217874</v>
      </c>
      <c r="G12" s="843">
        <v>10</v>
      </c>
      <c r="H12" s="765">
        <v>103659</v>
      </c>
      <c r="I12" s="765">
        <v>14935</v>
      </c>
      <c r="J12" s="765"/>
      <c r="K12" s="1769">
        <f>(H12+I12)-J12</f>
        <v>118594</v>
      </c>
      <c r="L12" s="1769">
        <f>F12-K12</f>
        <v>99280</v>
      </c>
    </row>
    <row r="13" spans="1:14" ht="14.25" thickTop="1" thickBot="1" x14ac:dyDescent="0.25">
      <c r="A13" s="848" t="s">
        <v>1122</v>
      </c>
      <c r="B13" s="840">
        <v>252</v>
      </c>
      <c r="C13" s="844">
        <v>35396</v>
      </c>
      <c r="D13" s="844"/>
      <c r="E13" s="844"/>
      <c r="F13" s="1760">
        <f>(C13+D13)-E13</f>
        <v>35396</v>
      </c>
      <c r="G13" s="843">
        <v>5</v>
      </c>
      <c r="H13" s="765">
        <v>31856</v>
      </c>
      <c r="I13" s="765">
        <v>3540</v>
      </c>
      <c r="J13" s="765"/>
      <c r="K13" s="1769">
        <f>(H13+I13)-J13</f>
        <v>35396</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235042</v>
      </c>
      <c r="D16" s="1760">
        <f>SUM(D3,D5:D6,D8:D10,D12:D15)</f>
        <v>18228</v>
      </c>
      <c r="E16" s="1760">
        <f>SUM(E3,E5:E6,E8:E10,E12:E15)</f>
        <v>0</v>
      </c>
      <c r="F16" s="1760">
        <f>SUM(F3,F5:F6,F8:F10,F12:F15)</f>
        <v>253270</v>
      </c>
      <c r="G16" s="843"/>
      <c r="H16" s="1760">
        <f>SUM(H3,H6,H8:H10,H12:H14,)</f>
        <v>135515</v>
      </c>
      <c r="I16" s="1760">
        <f>SUM(I3,I6,I8:I10,I12:I14,)</f>
        <v>18475</v>
      </c>
      <c r="J16" s="1760">
        <f>SUM(J3,J6,J8:J10,J12:J14,)</f>
        <v>0</v>
      </c>
      <c r="K16" s="1760">
        <f>(H16+I16)-J16</f>
        <v>153990</v>
      </c>
      <c r="L16" s="1760">
        <f>F16-K16</f>
        <v>99280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18475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1"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36" activePane="bottomLeft" state="frozen"/>
      <selection activeCell="G31" sqref="G31"/>
      <selection pane="bottomLeft" activeCell="G31" sqref="G3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1972</v>
      </c>
      <c r="B1" s="2264"/>
      <c r="C1" s="2264"/>
      <c r="D1" s="2264"/>
      <c r="E1" s="2264"/>
      <c r="F1" s="2265"/>
      <c r="G1" s="855"/>
    </row>
    <row r="2" spans="1:7" ht="15" customHeight="1" thickBot="1" x14ac:dyDescent="0.25">
      <c r="A2" s="2266" t="s">
        <v>477</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476072</v>
      </c>
      <c r="G8" s="865"/>
    </row>
    <row r="9" spans="1:7" x14ac:dyDescent="0.2">
      <c r="A9" s="869" t="s">
        <v>460</v>
      </c>
      <c r="B9" s="870" t="s">
        <v>1875</v>
      </c>
      <c r="C9" s="871"/>
      <c r="D9" s="869" t="s">
        <v>501</v>
      </c>
      <c r="E9" s="868"/>
      <c r="F9" s="1909">
        <f>'Expenditures 15-22'!K151</f>
        <v>0</v>
      </c>
      <c r="G9" s="872"/>
    </row>
    <row r="10" spans="1:7" x14ac:dyDescent="0.2">
      <c r="A10" s="869" t="s">
        <v>499</v>
      </c>
      <c r="B10" s="870" t="s">
        <v>1876</v>
      </c>
      <c r="C10" s="871"/>
      <c r="D10" s="869" t="s">
        <v>501</v>
      </c>
      <c r="E10" s="868"/>
      <c r="F10" s="1909">
        <f>'Expenditures 15-22'!K174</f>
        <v>0</v>
      </c>
      <c r="G10" s="872"/>
    </row>
    <row r="11" spans="1:7" x14ac:dyDescent="0.2">
      <c r="A11" s="869" t="s">
        <v>461</v>
      </c>
      <c r="B11" s="870" t="s">
        <v>1877</v>
      </c>
      <c r="C11" s="871"/>
      <c r="D11" s="869" t="s">
        <v>501</v>
      </c>
      <c r="E11" s="868"/>
      <c r="F11" s="1909">
        <f>'Expenditures 15-22'!K210</f>
        <v>0</v>
      </c>
      <c r="G11" s="872"/>
    </row>
    <row r="12" spans="1:7" x14ac:dyDescent="0.2">
      <c r="A12" s="869" t="s">
        <v>462</v>
      </c>
      <c r="B12" s="870" t="s">
        <v>1878</v>
      </c>
      <c r="C12" s="871"/>
      <c r="D12" s="869" t="s">
        <v>501</v>
      </c>
      <c r="E12" s="868"/>
      <c r="F12" s="1909">
        <f>'Expenditures 15-22'!K295</f>
        <v>0</v>
      </c>
      <c r="G12" s="872"/>
    </row>
    <row r="13" spans="1:7" x14ac:dyDescent="0.2">
      <c r="A13" s="869" t="s">
        <v>106</v>
      </c>
      <c r="B13" s="870" t="s">
        <v>1879</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476072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0</v>
      </c>
      <c r="G53" s="865"/>
    </row>
    <row r="54" spans="1:7" x14ac:dyDescent="0.2">
      <c r="A54" s="869" t="s">
        <v>459</v>
      </c>
      <c r="B54" s="869" t="s">
        <v>1476</v>
      </c>
      <c r="C54" s="889" t="s">
        <v>982</v>
      </c>
      <c r="D54" s="885" t="s">
        <v>1095</v>
      </c>
      <c r="E54" s="868"/>
      <c r="F54" s="1913">
        <f>'Expenditures 15-22'!G114</f>
        <v>18228</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1880</v>
      </c>
      <c r="C57" s="889">
        <f>'Expenditures 15-22'!B139</f>
        <v>4000</v>
      </c>
      <c r="D57" s="887" t="str">
        <f>'Expenditures 15-22'!A139</f>
        <v>Total Payments to Other Govt Units</v>
      </c>
      <c r="E57" s="868"/>
      <c r="F57" s="1913">
        <f>'Expenditures 15-22'!K139</f>
        <v>0</v>
      </c>
      <c r="G57" s="865"/>
    </row>
    <row r="58" spans="1:7" x14ac:dyDescent="0.2">
      <c r="A58" s="869" t="s">
        <v>460</v>
      </c>
      <c r="B58" s="869" t="s">
        <v>1881</v>
      </c>
      <c r="C58" s="886" t="s">
        <v>982</v>
      </c>
      <c r="D58" s="885" t="s">
        <v>1095</v>
      </c>
      <c r="E58" s="868"/>
      <c r="F58" s="1915">
        <f>'Expenditures 15-22'!G151</f>
        <v>0</v>
      </c>
      <c r="G58" s="865"/>
    </row>
    <row r="59" spans="1:7" x14ac:dyDescent="0.2">
      <c r="A59" s="893" t="s">
        <v>460</v>
      </c>
      <c r="B59" s="856" t="s">
        <v>1882</v>
      </c>
      <c r="C59" s="894" t="s">
        <v>982</v>
      </c>
      <c r="D59" s="856" t="s">
        <v>291</v>
      </c>
      <c r="F59" s="1916">
        <f>'Expenditures 15-22'!I151</f>
        <v>0</v>
      </c>
      <c r="G59" s="865"/>
    </row>
    <row r="60" spans="1:7" x14ac:dyDescent="0.2">
      <c r="A60" s="893" t="s">
        <v>499</v>
      </c>
      <c r="B60" s="856" t="s">
        <v>1883</v>
      </c>
      <c r="C60" s="894">
        <v>4000</v>
      </c>
      <c r="D60" s="856" t="s">
        <v>312</v>
      </c>
      <c r="F60" s="1914">
        <f>'Expenditures 15-22'!K160</f>
        <v>0</v>
      </c>
      <c r="G60" s="865"/>
    </row>
    <row r="61" spans="1:7" x14ac:dyDescent="0.2">
      <c r="A61" s="895" t="s">
        <v>499</v>
      </c>
      <c r="B61" s="895" t="s">
        <v>1884</v>
      </c>
      <c r="C61" s="896" t="str">
        <f>'Expenditures 15-22'!B170</f>
        <v>5300</v>
      </c>
      <c r="D61" s="897" t="s">
        <v>311</v>
      </c>
      <c r="E61" s="879"/>
      <c r="F61" s="1913">
        <f>'Expenditures 15-22'!K170</f>
        <v>0</v>
      </c>
      <c r="G61" s="865"/>
    </row>
    <row r="62" spans="1:7" x14ac:dyDescent="0.2">
      <c r="A62" s="869" t="s">
        <v>461</v>
      </c>
      <c r="B62" s="869" t="s">
        <v>1885</v>
      </c>
      <c r="C62" s="886">
        <f>'Expenditures 15-22'!B185</f>
        <v>3000</v>
      </c>
      <c r="D62" s="876" t="s">
        <v>449</v>
      </c>
      <c r="E62" s="868"/>
      <c r="F62" s="1913">
        <f>'Expenditures 15-22'!K185-SUM('Expenditures 15-22'!G185,'Expenditures 15-22'!I185)</f>
        <v>0</v>
      </c>
      <c r="G62" s="865"/>
    </row>
    <row r="63" spans="1:7" x14ac:dyDescent="0.2">
      <c r="A63" s="869" t="s">
        <v>461</v>
      </c>
      <c r="B63" s="869" t="s">
        <v>1886</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1887</v>
      </c>
      <c r="C64" s="896" t="str">
        <f>'Expenditures 15-22'!B206</f>
        <v>5300</v>
      </c>
      <c r="D64" s="892" t="s">
        <v>311</v>
      </c>
      <c r="E64" s="868"/>
      <c r="F64" s="1913">
        <f>'Expenditures 15-22'!K206</f>
        <v>0</v>
      </c>
      <c r="G64" s="865"/>
    </row>
    <row r="65" spans="1:8" x14ac:dyDescent="0.2">
      <c r="A65" s="869" t="s">
        <v>461</v>
      </c>
      <c r="B65" s="869" t="s">
        <v>1888</v>
      </c>
      <c r="C65" s="886" t="s">
        <v>982</v>
      </c>
      <c r="D65" s="885" t="s">
        <v>1095</v>
      </c>
      <c r="E65" s="868"/>
      <c r="F65" s="1913">
        <f>'Expenditures 15-22'!G210</f>
        <v>0</v>
      </c>
      <c r="G65" s="865"/>
    </row>
    <row r="66" spans="1:8" x14ac:dyDescent="0.2">
      <c r="A66" s="869" t="s">
        <v>461</v>
      </c>
      <c r="B66" s="869" t="s">
        <v>1889</v>
      </c>
      <c r="C66" s="886" t="s">
        <v>982</v>
      </c>
      <c r="D66" s="885" t="s">
        <v>291</v>
      </c>
      <c r="E66" s="868"/>
      <c r="F66" s="1913">
        <f>'Expenditures 15-22'!I210</f>
        <v>0</v>
      </c>
      <c r="G66" s="865"/>
    </row>
    <row r="67" spans="1:8" x14ac:dyDescent="0.2">
      <c r="A67" s="869" t="s">
        <v>462</v>
      </c>
      <c r="B67" s="869" t="s">
        <v>1890</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1891</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1892</v>
      </c>
      <c r="C70" s="886">
        <f>'Expenditures 15-22'!B221</f>
        <v>1300</v>
      </c>
      <c r="D70" s="887" t="str">
        <f>'Expenditures 15-22'!A221</f>
        <v>Adult/Continuing Education Programs</v>
      </c>
      <c r="E70" s="868"/>
      <c r="F70" s="1913">
        <f>'Expenditures 15-22'!K221</f>
        <v>0</v>
      </c>
      <c r="G70" s="865"/>
    </row>
    <row r="71" spans="1:8" x14ac:dyDescent="0.2">
      <c r="A71" s="869" t="s">
        <v>462</v>
      </c>
      <c r="B71" s="869" t="s">
        <v>1893</v>
      </c>
      <c r="C71" s="886">
        <f>'Expenditures 15-22'!B224</f>
        <v>1600</v>
      </c>
      <c r="D71" s="887" t="str">
        <f>'Expenditures 15-22'!A224</f>
        <v>Summer School Programs</v>
      </c>
      <c r="E71" s="868"/>
      <c r="F71" s="1913">
        <f>'Expenditures 15-22'!K224</f>
        <v>0</v>
      </c>
      <c r="G71" s="865"/>
    </row>
    <row r="72" spans="1:8" x14ac:dyDescent="0.2">
      <c r="A72" s="869" t="s">
        <v>462</v>
      </c>
      <c r="B72" s="869" t="s">
        <v>1894</v>
      </c>
      <c r="C72" s="886">
        <f>'Expenditures 15-22'!B280</f>
        <v>3000</v>
      </c>
      <c r="D72" s="876" t="s">
        <v>449</v>
      </c>
      <c r="E72" s="868"/>
      <c r="F72" s="1913">
        <f>'Expenditures 15-22'!K280</f>
        <v>0</v>
      </c>
      <c r="G72" s="865"/>
    </row>
    <row r="73" spans="1:8" x14ac:dyDescent="0.2">
      <c r="A73" s="869" t="s">
        <v>462</v>
      </c>
      <c r="B73" s="869" t="s">
        <v>1895</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1896</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1897</v>
      </c>
      <c r="E76" s="1774" t="s">
        <v>958</v>
      </c>
      <c r="F76" s="1778">
        <f>SUM(F18:F74)</f>
        <v>18228</v>
      </c>
      <c r="G76" s="865"/>
    </row>
    <row r="77" spans="1:8" s="893" customFormat="1" ht="12" customHeight="1" thickTop="1" thickBot="1" x14ac:dyDescent="0.25">
      <c r="A77" s="1779"/>
      <c r="B77" s="1776"/>
      <c r="C77" s="1772"/>
      <c r="D77" s="1777" t="s">
        <v>1898</v>
      </c>
      <c r="E77" s="1774"/>
      <c r="F77" s="1780">
        <f>(F14-F76)</f>
        <v>457844</v>
      </c>
      <c r="G77" s="869"/>
    </row>
    <row r="78" spans="1:8" s="893" customFormat="1" ht="12" customHeight="1" thickTop="1" x14ac:dyDescent="0.2">
      <c r="A78" s="1781"/>
      <c r="B78" s="1776"/>
      <c r="C78" s="1772"/>
      <c r="D78" s="1777" t="s">
        <v>2059</v>
      </c>
      <c r="E78" s="1774"/>
      <c r="F78" s="898">
        <v>0</v>
      </c>
      <c r="G78" s="899"/>
      <c r="H78" s="869"/>
    </row>
    <row r="79" spans="1:8" s="893" customFormat="1" ht="12" customHeight="1" thickBot="1" x14ac:dyDescent="0.25">
      <c r="A79" s="1782"/>
      <c r="B79" s="1776"/>
      <c r="C79" s="1772"/>
      <c r="D79" s="1777" t="s">
        <v>1899</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60" t="s">
        <v>1105</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2000</v>
      </c>
      <c r="C105" s="913">
        <v>3100</v>
      </c>
      <c r="D105" s="919" t="str">
        <f>'Revenues 9-14'!A132</f>
        <v>Total Special Education</v>
      </c>
      <c r="E105" s="906"/>
      <c r="F105" s="1789">
        <f>SUM('Revenues 9-14'!C132:D132,'Revenues 9-14'!F132)</f>
        <v>0</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131197</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0</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0</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0</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0</v>
      </c>
      <c r="G125" s="930"/>
    </row>
    <row r="126" spans="1:7" x14ac:dyDescent="0.2">
      <c r="A126" s="927" t="s">
        <v>668</v>
      </c>
      <c r="B126" s="927" t="s">
        <v>2021</v>
      </c>
      <c r="C126" s="932">
        <v>4300</v>
      </c>
      <c r="D126" s="933" t="str">
        <f>'Revenues 9-14'!A204</f>
        <v>Total Title I</v>
      </c>
      <c r="E126" s="906"/>
      <c r="F126" s="1789">
        <f>SUM('Revenues 9-14'!C204,'Revenues 9-14'!D204,'Revenues 9-14'!F204,'Revenues 9-14'!G204)</f>
        <v>0</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19039</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1918</v>
      </c>
      <c r="C171" s="1920">
        <v>3100</v>
      </c>
      <c r="D171" s="1921" t="s">
        <v>1920</v>
      </c>
      <c r="E171" s="906"/>
      <c r="F171" s="1906"/>
      <c r="G171" s="927"/>
    </row>
    <row r="172" spans="1:7" x14ac:dyDescent="0.2">
      <c r="A172" s="1918" t="s">
        <v>664</v>
      </c>
      <c r="B172" s="1919" t="s">
        <v>1918</v>
      </c>
      <c r="C172" s="1920">
        <v>3300</v>
      </c>
      <c r="D172" s="1921" t="s">
        <v>1921</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150236</v>
      </c>
    </row>
    <row r="175" spans="1:7" ht="12" customHeight="1" x14ac:dyDescent="0.2">
      <c r="A175" s="1770"/>
      <c r="B175" s="1784"/>
      <c r="C175" s="1785"/>
      <c r="D175" s="1786" t="s">
        <v>2054</v>
      </c>
      <c r="E175" s="1787"/>
      <c r="F175" s="1789">
        <f>'PCTC-OEPP 27-28'!F77-F174</f>
        <v>307608</v>
      </c>
    </row>
    <row r="176" spans="1:7" ht="12" customHeight="1" x14ac:dyDescent="0.2">
      <c r="A176" s="1770"/>
      <c r="B176" s="1784"/>
      <c r="C176" s="1785"/>
      <c r="D176" s="1786" t="s">
        <v>1816</v>
      </c>
      <c r="E176" s="1787"/>
      <c r="F176" s="1789">
        <f>'Cap Outlay Deprec 26'!I18</f>
        <v>18475</v>
      </c>
    </row>
    <row r="177" spans="1:7" ht="12" customHeight="1" x14ac:dyDescent="0.2">
      <c r="A177" s="1770"/>
      <c r="B177" s="1784"/>
      <c r="C177" s="1785"/>
      <c r="D177" s="1786" t="s">
        <v>2055</v>
      </c>
      <c r="E177" s="1787"/>
      <c r="F177" s="1789">
        <f>F175+F176</f>
        <v>326083</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2056</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1923</v>
      </c>
      <c r="B185" s="1927"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zoomScaleNormal="100" workbookViewId="0">
      <selection activeCell="A19" sqref="A1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1831</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4" t="s">
        <v>1817</v>
      </c>
      <c r="B4" s="2275"/>
      <c r="C4" s="2275"/>
      <c r="D4" s="2275"/>
      <c r="E4" s="2275"/>
      <c r="F4" s="2275"/>
      <c r="G4" s="2276"/>
    </row>
    <row r="5" spans="1:7" x14ac:dyDescent="0.25">
      <c r="A5" s="2277"/>
      <c r="B5" s="2278"/>
      <c r="C5" s="2278"/>
      <c r="D5" s="2278"/>
      <c r="E5" s="2278"/>
      <c r="F5" s="2278"/>
      <c r="G5" s="2279"/>
    </row>
    <row r="6" spans="1:7" ht="18.75" x14ac:dyDescent="0.25">
      <c r="A6" s="1939" t="s">
        <v>2063</v>
      </c>
      <c r="B6" s="1940"/>
      <c r="C6" s="1940"/>
      <c r="D6" s="1940"/>
      <c r="E6" s="1940"/>
      <c r="F6" s="1940"/>
      <c r="G6" s="1941"/>
    </row>
    <row r="7" spans="1:7" ht="18.75" x14ac:dyDescent="0.25">
      <c r="A7" s="1534" t="s">
        <v>1818</v>
      </c>
      <c r="B7" s="1535"/>
      <c r="C7" s="1535"/>
      <c r="D7" s="1535"/>
      <c r="E7" s="1535"/>
      <c r="F7" s="1535"/>
      <c r="G7" s="1536"/>
    </row>
    <row r="8" spans="1:7" ht="30.75" customHeight="1" x14ac:dyDescent="0.25">
      <c r="A8" s="2280" t="s">
        <v>1930</v>
      </c>
      <c r="B8" s="2281"/>
      <c r="C8" s="2281"/>
      <c r="D8" s="2281"/>
      <c r="E8" s="2281"/>
      <c r="F8" s="2281"/>
      <c r="G8" s="2282"/>
    </row>
    <row r="9" spans="1:7" ht="15.75" customHeight="1" x14ac:dyDescent="0.25">
      <c r="A9" s="2283" t="s">
        <v>1905</v>
      </c>
      <c r="B9" s="2284"/>
      <c r="C9" s="2284"/>
      <c r="D9" s="2284"/>
      <c r="E9" s="2284"/>
      <c r="F9" s="2284"/>
      <c r="G9" s="2285"/>
    </row>
    <row r="10" spans="1:7" ht="35.25" customHeight="1" x14ac:dyDescent="0.25">
      <c r="A10" s="2280" t="s">
        <v>2062</v>
      </c>
      <c r="B10" s="2281"/>
      <c r="C10" s="2281"/>
      <c r="D10" s="2281"/>
      <c r="E10" s="2281"/>
      <c r="F10" s="2281"/>
      <c r="G10" s="2282"/>
    </row>
    <row r="11" spans="1:7" ht="15" customHeight="1" x14ac:dyDescent="0.25">
      <c r="A11" s="1537" t="s">
        <v>1819</v>
      </c>
      <c r="B11" s="1538"/>
      <c r="C11" s="1538"/>
      <c r="D11" s="1538"/>
      <c r="E11" s="1538"/>
      <c r="F11" s="1538"/>
      <c r="G11" s="1539"/>
    </row>
    <row r="12" spans="1:7" ht="17.25" customHeight="1" x14ac:dyDescent="0.25">
      <c r="A12" s="2280" t="s">
        <v>1932</v>
      </c>
      <c r="B12" s="2281"/>
      <c r="C12" s="2281"/>
      <c r="D12" s="2281"/>
      <c r="E12" s="2281"/>
      <c r="F12" s="2281"/>
      <c r="G12" s="2282"/>
    </row>
    <row r="13" spans="1:7" ht="15" customHeight="1" x14ac:dyDescent="0.25">
      <c r="A13" s="1537" t="s">
        <v>1824</v>
      </c>
      <c r="B13" s="1538"/>
      <c r="C13" s="1538"/>
      <c r="D13" s="1538"/>
      <c r="E13" s="1538"/>
      <c r="F13" s="1538"/>
      <c r="G13" s="1539"/>
    </row>
    <row r="14" spans="1:7" ht="32.25" customHeight="1" x14ac:dyDescent="0.25">
      <c r="A14" s="2271" t="s">
        <v>1973</v>
      </c>
      <c r="B14" s="2272"/>
      <c r="C14" s="2272"/>
      <c r="D14" s="2272"/>
      <c r="E14" s="2272"/>
      <c r="F14" s="2272"/>
      <c r="G14" s="2273"/>
    </row>
    <row r="15" spans="1:7" x14ac:dyDescent="0.25">
      <c r="A15" s="1661" t="s">
        <v>1832</v>
      </c>
      <c r="B15" s="1662"/>
      <c r="C15" s="1662"/>
      <c r="D15" s="1662"/>
      <c r="E15" s="1662"/>
      <c r="F15" s="1662"/>
      <c r="G15" s="1663"/>
    </row>
    <row r="16" spans="1:7" ht="61.5" customHeight="1" x14ac:dyDescent="0.25">
      <c r="A16" s="1546" t="s">
        <v>1825</v>
      </c>
      <c r="B16" s="1546" t="s">
        <v>1826</v>
      </c>
      <c r="C16" s="1546" t="s">
        <v>1827</v>
      </c>
      <c r="D16" s="1547" t="s">
        <v>1828</v>
      </c>
      <c r="E16" s="1547" t="s">
        <v>1820</v>
      </c>
      <c r="F16" s="1547" t="s">
        <v>1829</v>
      </c>
      <c r="G16" s="1547" t="s">
        <v>1830</v>
      </c>
    </row>
    <row r="17" spans="1:8" x14ac:dyDescent="0.25">
      <c r="A17" s="1648" t="s">
        <v>1833</v>
      </c>
      <c r="B17" s="1649" t="s">
        <v>1823</v>
      </c>
      <c r="C17" s="1650" t="s">
        <v>1821</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0"/>
      <c r="B18" s="1937"/>
      <c r="C18" s="1656"/>
      <c r="D18" s="1844"/>
      <c r="E18" s="1540">
        <f t="shared" ref="E18:E142" si="0">IF(D18&lt;=25000,D18,IF(D18&gt;25000,25000,0))</f>
        <v>0</v>
      </c>
      <c r="F18" s="1938">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3">
        <f>IF(F18=0,0,D18-F18)</f>
        <v>0</v>
      </c>
      <c r="H18" s="1647"/>
    </row>
    <row r="19" spans="1:8" x14ac:dyDescent="0.25">
      <c r="A19" s="1653"/>
      <c r="B19" s="1944"/>
      <c r="C19" s="1656"/>
      <c r="D19" s="1844"/>
      <c r="E19" s="1540">
        <f t="shared" ref="E19:E141" si="2">IF(D19&lt;=25000,D19,IF(D19&gt;25000,25000,0))</f>
        <v>0</v>
      </c>
      <c r="F19" s="1938">
        <f t="shared" si="1"/>
        <v>0</v>
      </c>
      <c r="G19" s="1793">
        <f t="shared" ref="G19:G141" si="3">IF(F19=0,0,D19-F19)</f>
        <v>0</v>
      </c>
    </row>
    <row r="20" spans="1:8" x14ac:dyDescent="0.25">
      <c r="A20" s="1653"/>
      <c r="B20" s="1934"/>
      <c r="C20" s="1656"/>
      <c r="D20" s="1844"/>
      <c r="E20" s="1540">
        <f t="shared" si="2"/>
        <v>0</v>
      </c>
      <c r="F20" s="1938">
        <f t="shared" si="1"/>
        <v>0</v>
      </c>
      <c r="G20" s="1793">
        <f t="shared" si="3"/>
        <v>0</v>
      </c>
    </row>
    <row r="21" spans="1:8" x14ac:dyDescent="0.25">
      <c r="A21" s="1653"/>
      <c r="B21" s="1934"/>
      <c r="C21" s="1656"/>
      <c r="D21" s="1844"/>
      <c r="E21" s="1540">
        <f t="shared" si="2"/>
        <v>0</v>
      </c>
      <c r="F21" s="1938">
        <f t="shared" si="1"/>
        <v>0</v>
      </c>
      <c r="G21" s="1793">
        <f t="shared" si="3"/>
        <v>0</v>
      </c>
    </row>
    <row r="22" spans="1:8" x14ac:dyDescent="0.25">
      <c r="A22" s="1653"/>
      <c r="B22" s="1934"/>
      <c r="C22" s="1656"/>
      <c r="D22" s="1844"/>
      <c r="E22" s="1540">
        <f t="shared" si="2"/>
        <v>0</v>
      </c>
      <c r="F22" s="1938">
        <f t="shared" si="1"/>
        <v>0</v>
      </c>
      <c r="G22" s="1793">
        <f t="shared" si="3"/>
        <v>0</v>
      </c>
    </row>
    <row r="23" spans="1:8" x14ac:dyDescent="0.25">
      <c r="A23" s="1653"/>
      <c r="B23" s="1934"/>
      <c r="C23" s="1656"/>
      <c r="D23" s="1844"/>
      <c r="E23" s="1540">
        <f t="shared" si="2"/>
        <v>0</v>
      </c>
      <c r="F23" s="1938">
        <f t="shared" si="1"/>
        <v>0</v>
      </c>
      <c r="G23" s="1793">
        <f t="shared" si="3"/>
        <v>0</v>
      </c>
    </row>
    <row r="24" spans="1:8" x14ac:dyDescent="0.25">
      <c r="A24" s="1653"/>
      <c r="B24" s="1934"/>
      <c r="C24" s="1656"/>
      <c r="D24" s="1844"/>
      <c r="E24" s="1540">
        <f t="shared" si="2"/>
        <v>0</v>
      </c>
      <c r="F24" s="1938">
        <f t="shared" si="1"/>
        <v>0</v>
      </c>
      <c r="G24" s="1793">
        <f t="shared" si="3"/>
        <v>0</v>
      </c>
    </row>
    <row r="25" spans="1:8" x14ac:dyDescent="0.25">
      <c r="A25" s="1653"/>
      <c r="B25" s="1934"/>
      <c r="C25" s="1656"/>
      <c r="D25" s="1844"/>
      <c r="E25" s="1540">
        <f t="shared" si="2"/>
        <v>0</v>
      </c>
      <c r="F25" s="1938">
        <f t="shared" si="1"/>
        <v>0</v>
      </c>
      <c r="G25" s="1793">
        <f t="shared" si="3"/>
        <v>0</v>
      </c>
    </row>
    <row r="26" spans="1:8" x14ac:dyDescent="0.25">
      <c r="A26" s="1653"/>
      <c r="B26" s="1934"/>
      <c r="C26" s="1656"/>
      <c r="D26" s="1844"/>
      <c r="E26" s="1540">
        <f t="shared" si="2"/>
        <v>0</v>
      </c>
      <c r="F26" s="1938">
        <f t="shared" si="1"/>
        <v>0</v>
      </c>
      <c r="G26" s="1793">
        <f t="shared" si="3"/>
        <v>0</v>
      </c>
    </row>
    <row r="27" spans="1:8" x14ac:dyDescent="0.25">
      <c r="A27" s="1653"/>
      <c r="B27" s="1934"/>
      <c r="C27" s="1654"/>
      <c r="D27" s="1844"/>
      <c r="E27" s="1540">
        <f t="shared" si="2"/>
        <v>0</v>
      </c>
      <c r="F27" s="1938">
        <f t="shared" si="1"/>
        <v>0</v>
      </c>
      <c r="G27" s="1793">
        <f t="shared" si="3"/>
        <v>0</v>
      </c>
    </row>
    <row r="28" spans="1:8" x14ac:dyDescent="0.25">
      <c r="A28" s="1653"/>
      <c r="B28" s="1934"/>
      <c r="C28" s="1654"/>
      <c r="D28" s="1844"/>
      <c r="E28" s="1540">
        <f t="shared" si="2"/>
        <v>0</v>
      </c>
      <c r="F28" s="1938">
        <f t="shared" si="1"/>
        <v>0</v>
      </c>
      <c r="G28" s="1793">
        <f t="shared" si="3"/>
        <v>0</v>
      </c>
    </row>
    <row r="29" spans="1:8" x14ac:dyDescent="0.25">
      <c r="A29" s="1653"/>
      <c r="B29" s="1934"/>
      <c r="C29" s="1654"/>
      <c r="D29" s="1844"/>
      <c r="E29" s="1540">
        <f t="shared" si="2"/>
        <v>0</v>
      </c>
      <c r="F29" s="1938">
        <f t="shared" si="1"/>
        <v>0</v>
      </c>
      <c r="G29" s="1793">
        <f t="shared" si="3"/>
        <v>0</v>
      </c>
    </row>
    <row r="30" spans="1:8" x14ac:dyDescent="0.25">
      <c r="A30" s="1653"/>
      <c r="B30" s="1934"/>
      <c r="C30" s="1654"/>
      <c r="D30" s="1844"/>
      <c r="E30" s="1540">
        <f t="shared" si="2"/>
        <v>0</v>
      </c>
      <c r="F30" s="1938">
        <f t="shared" si="1"/>
        <v>0</v>
      </c>
      <c r="G30" s="1793">
        <f t="shared" si="3"/>
        <v>0</v>
      </c>
    </row>
    <row r="31" spans="1:8" x14ac:dyDescent="0.25">
      <c r="A31" s="1653"/>
      <c r="B31" s="1934"/>
      <c r="C31" s="1654"/>
      <c r="D31" s="1844"/>
      <c r="E31" s="1540">
        <f t="shared" si="2"/>
        <v>0</v>
      </c>
      <c r="F31" s="1938">
        <f t="shared" si="1"/>
        <v>0</v>
      </c>
      <c r="G31" s="1793">
        <f t="shared" si="3"/>
        <v>0</v>
      </c>
    </row>
    <row r="32" spans="1:8" x14ac:dyDescent="0.25">
      <c r="A32" s="1653"/>
      <c r="B32" s="1934"/>
      <c r="C32" s="1654"/>
      <c r="D32" s="1844"/>
      <c r="E32" s="1540">
        <f t="shared" si="2"/>
        <v>0</v>
      </c>
      <c r="F32" s="1938">
        <f t="shared" si="1"/>
        <v>0</v>
      </c>
      <c r="G32" s="1793">
        <f t="shared" si="3"/>
        <v>0</v>
      </c>
    </row>
    <row r="33" spans="1:7" x14ac:dyDescent="0.25">
      <c r="A33" s="1653"/>
      <c r="B33" s="1934"/>
      <c r="C33" s="1654"/>
      <c r="D33" s="1844"/>
      <c r="E33" s="1540">
        <f t="shared" si="2"/>
        <v>0</v>
      </c>
      <c r="F33" s="1938">
        <f t="shared" si="1"/>
        <v>0</v>
      </c>
      <c r="G33" s="1793">
        <f t="shared" si="3"/>
        <v>0</v>
      </c>
    </row>
    <row r="34" spans="1:7" x14ac:dyDescent="0.25">
      <c r="A34" s="1653"/>
      <c r="B34" s="1934"/>
      <c r="C34" s="1654"/>
      <c r="D34" s="1844"/>
      <c r="E34" s="1540">
        <f t="shared" si="2"/>
        <v>0</v>
      </c>
      <c r="F34" s="1938">
        <f t="shared" si="1"/>
        <v>0</v>
      </c>
      <c r="G34" s="1793">
        <f t="shared" si="3"/>
        <v>0</v>
      </c>
    </row>
    <row r="35" spans="1:7" x14ac:dyDescent="0.25">
      <c r="A35" s="1653"/>
      <c r="B35" s="1934"/>
      <c r="C35" s="1654"/>
      <c r="D35" s="1844"/>
      <c r="E35" s="1540">
        <f t="shared" si="2"/>
        <v>0</v>
      </c>
      <c r="F35" s="1938">
        <f t="shared" si="1"/>
        <v>0</v>
      </c>
      <c r="G35" s="1793">
        <f t="shared" si="3"/>
        <v>0</v>
      </c>
    </row>
    <row r="36" spans="1:7" x14ac:dyDescent="0.25">
      <c r="A36" s="1653"/>
      <c r="B36" s="1934"/>
      <c r="C36" s="1654"/>
      <c r="D36" s="1844"/>
      <c r="E36" s="1540">
        <f t="shared" si="2"/>
        <v>0</v>
      </c>
      <c r="F36" s="1938">
        <f t="shared" si="1"/>
        <v>0</v>
      </c>
      <c r="G36" s="1793">
        <f t="shared" si="3"/>
        <v>0</v>
      </c>
    </row>
    <row r="37" spans="1:7" x14ac:dyDescent="0.25">
      <c r="A37" s="1653"/>
      <c r="B37" s="1934"/>
      <c r="C37" s="1654"/>
      <c r="D37" s="1844"/>
      <c r="E37" s="1540">
        <f t="shared" si="2"/>
        <v>0</v>
      </c>
      <c r="F37" s="1938">
        <f t="shared" si="1"/>
        <v>0</v>
      </c>
      <c r="G37" s="1793">
        <f t="shared" si="3"/>
        <v>0</v>
      </c>
    </row>
    <row r="38" spans="1:7" x14ac:dyDescent="0.25">
      <c r="A38" s="1653"/>
      <c r="B38" s="1934"/>
      <c r="C38" s="1654"/>
      <c r="D38" s="1844"/>
      <c r="E38" s="1540">
        <f t="shared" si="2"/>
        <v>0</v>
      </c>
      <c r="F38" s="1938">
        <f t="shared" si="1"/>
        <v>0</v>
      </c>
      <c r="G38" s="1793">
        <f t="shared" si="3"/>
        <v>0</v>
      </c>
    </row>
    <row r="39" spans="1:7" x14ac:dyDescent="0.25">
      <c r="A39" s="1653"/>
      <c r="B39" s="1935"/>
      <c r="C39" s="1654"/>
      <c r="D39" s="1844"/>
      <c r="E39" s="1540">
        <f t="shared" si="2"/>
        <v>0</v>
      </c>
      <c r="F39" s="1938">
        <f t="shared" si="1"/>
        <v>0</v>
      </c>
      <c r="G39" s="1793">
        <f t="shared" si="3"/>
        <v>0</v>
      </c>
    </row>
    <row r="40" spans="1:7" x14ac:dyDescent="0.25">
      <c r="A40" s="1653"/>
      <c r="B40" s="1935"/>
      <c r="C40" s="1654"/>
      <c r="D40" s="1844"/>
      <c r="E40" s="1540">
        <f t="shared" si="2"/>
        <v>0</v>
      </c>
      <c r="F40" s="1938">
        <f t="shared" si="1"/>
        <v>0</v>
      </c>
      <c r="G40" s="1793">
        <f t="shared" si="3"/>
        <v>0</v>
      </c>
    </row>
    <row r="41" spans="1:7" x14ac:dyDescent="0.25">
      <c r="A41" s="1653"/>
      <c r="B41" s="1935"/>
      <c r="C41" s="1654"/>
      <c r="D41" s="1844"/>
      <c r="E41" s="1540">
        <f t="shared" si="2"/>
        <v>0</v>
      </c>
      <c r="F41" s="1938">
        <f t="shared" si="1"/>
        <v>0</v>
      </c>
      <c r="G41" s="1793">
        <f t="shared" si="3"/>
        <v>0</v>
      </c>
    </row>
    <row r="42" spans="1:7" x14ac:dyDescent="0.25">
      <c r="A42" s="1653"/>
      <c r="B42" s="1935"/>
      <c r="C42" s="1654"/>
      <c r="D42" s="1844"/>
      <c r="E42" s="1540">
        <f t="shared" si="2"/>
        <v>0</v>
      </c>
      <c r="F42" s="1938">
        <f t="shared" si="1"/>
        <v>0</v>
      </c>
      <c r="G42" s="1793">
        <f t="shared" si="3"/>
        <v>0</v>
      </c>
    </row>
    <row r="43" spans="1:7" x14ac:dyDescent="0.25">
      <c r="A43" s="1653"/>
      <c r="B43" s="1935"/>
      <c r="C43" s="1654"/>
      <c r="D43" s="1844"/>
      <c r="E43" s="1540">
        <f t="shared" si="2"/>
        <v>0</v>
      </c>
      <c r="F43" s="1938">
        <f t="shared" si="1"/>
        <v>0</v>
      </c>
      <c r="G43" s="1793">
        <f t="shared" si="3"/>
        <v>0</v>
      </c>
    </row>
    <row r="44" spans="1:7" x14ac:dyDescent="0.25">
      <c r="A44" s="1653"/>
      <c r="B44" s="1935"/>
      <c r="C44" s="1654"/>
      <c r="D44" s="1844"/>
      <c r="E44" s="1540">
        <f t="shared" si="2"/>
        <v>0</v>
      </c>
      <c r="F44" s="1938">
        <f t="shared" si="1"/>
        <v>0</v>
      </c>
      <c r="G44" s="1793">
        <f t="shared" si="3"/>
        <v>0</v>
      </c>
    </row>
    <row r="45" spans="1:7" x14ac:dyDescent="0.25">
      <c r="A45" s="1653"/>
      <c r="B45" s="1935"/>
      <c r="C45" s="1654"/>
      <c r="D45" s="1844"/>
      <c r="E45" s="1540">
        <f t="shared" si="2"/>
        <v>0</v>
      </c>
      <c r="F45" s="1938">
        <f t="shared" si="1"/>
        <v>0</v>
      </c>
      <c r="G45" s="1793">
        <f t="shared" si="3"/>
        <v>0</v>
      </c>
    </row>
    <row r="46" spans="1:7" x14ac:dyDescent="0.25">
      <c r="A46" s="1653"/>
      <c r="B46" s="1935"/>
      <c r="C46" s="1654"/>
      <c r="D46" s="1844"/>
      <c r="E46" s="1540">
        <f t="shared" si="2"/>
        <v>0</v>
      </c>
      <c r="F46" s="1938">
        <f t="shared" si="1"/>
        <v>0</v>
      </c>
      <c r="G46" s="1793">
        <f t="shared" si="3"/>
        <v>0</v>
      </c>
    </row>
    <row r="47" spans="1:7" x14ac:dyDescent="0.25">
      <c r="A47" s="1653"/>
      <c r="B47" s="1667"/>
      <c r="C47" s="1654"/>
      <c r="D47" s="1844"/>
      <c r="E47" s="1540">
        <f t="shared" si="2"/>
        <v>0</v>
      </c>
      <c r="F47" s="1938">
        <f t="shared" si="1"/>
        <v>0</v>
      </c>
      <c r="G47" s="1793">
        <f t="shared" si="3"/>
        <v>0</v>
      </c>
    </row>
    <row r="48" spans="1:7" x14ac:dyDescent="0.25">
      <c r="A48" s="1653"/>
      <c r="B48" s="1667"/>
      <c r="C48" s="1654"/>
      <c r="D48" s="1844"/>
      <c r="E48" s="1540">
        <f t="shared" si="2"/>
        <v>0</v>
      </c>
      <c r="F48" s="1938">
        <f t="shared" si="1"/>
        <v>0</v>
      </c>
      <c r="G48" s="1793">
        <f t="shared" si="3"/>
        <v>0</v>
      </c>
    </row>
    <row r="49" spans="1:7" x14ac:dyDescent="0.25">
      <c r="A49" s="1653"/>
      <c r="B49" s="1667"/>
      <c r="C49" s="1654"/>
      <c r="D49" s="1844"/>
      <c r="E49" s="1540">
        <f t="shared" si="2"/>
        <v>0</v>
      </c>
      <c r="F49" s="1938">
        <f t="shared" si="1"/>
        <v>0</v>
      </c>
      <c r="G49" s="1793">
        <f t="shared" si="3"/>
        <v>0</v>
      </c>
    </row>
    <row r="50" spans="1:7" x14ac:dyDescent="0.25">
      <c r="A50" s="1653"/>
      <c r="B50" s="1667"/>
      <c r="C50" s="1654"/>
      <c r="D50" s="1844"/>
      <c r="E50" s="1540">
        <f t="shared" si="2"/>
        <v>0</v>
      </c>
      <c r="F50" s="1938">
        <f t="shared" si="1"/>
        <v>0</v>
      </c>
      <c r="G50" s="1793">
        <f t="shared" si="3"/>
        <v>0</v>
      </c>
    </row>
    <row r="51" spans="1:7" x14ac:dyDescent="0.25">
      <c r="A51" s="1653"/>
      <c r="B51" s="1667"/>
      <c r="C51" s="1654"/>
      <c r="D51" s="1844"/>
      <c r="E51" s="1540">
        <f t="shared" si="2"/>
        <v>0</v>
      </c>
      <c r="F51" s="1938">
        <f t="shared" si="1"/>
        <v>0</v>
      </c>
      <c r="G51" s="1793">
        <f t="shared" si="3"/>
        <v>0</v>
      </c>
    </row>
    <row r="52" spans="1:7" x14ac:dyDescent="0.25">
      <c r="A52" s="1653"/>
      <c r="B52" s="1667"/>
      <c r="C52" s="1654"/>
      <c r="D52" s="1844"/>
      <c r="E52" s="1540">
        <f t="shared" si="2"/>
        <v>0</v>
      </c>
      <c r="F52" s="1938">
        <f t="shared" si="1"/>
        <v>0</v>
      </c>
      <c r="G52" s="1793">
        <f t="shared" si="3"/>
        <v>0</v>
      </c>
    </row>
    <row r="53" spans="1:7" x14ac:dyDescent="0.25">
      <c r="A53" s="1653"/>
      <c r="B53" s="1667"/>
      <c r="C53" s="1654"/>
      <c r="D53" s="1844"/>
      <c r="E53" s="1540">
        <f t="shared" si="2"/>
        <v>0</v>
      </c>
      <c r="F53" s="1938">
        <f t="shared" si="1"/>
        <v>0</v>
      </c>
      <c r="G53" s="1793">
        <f t="shared" si="3"/>
        <v>0</v>
      </c>
    </row>
    <row r="54" spans="1:7" x14ac:dyDescent="0.25">
      <c r="A54" s="1653"/>
      <c r="B54" s="1667"/>
      <c r="C54" s="1654"/>
      <c r="D54" s="1844"/>
      <c r="E54" s="1540">
        <f t="shared" si="2"/>
        <v>0</v>
      </c>
      <c r="F54" s="1938">
        <f t="shared" si="1"/>
        <v>0</v>
      </c>
      <c r="G54" s="1793">
        <f t="shared" si="3"/>
        <v>0</v>
      </c>
    </row>
    <row r="55" spans="1:7" x14ac:dyDescent="0.25">
      <c r="A55" s="1653"/>
      <c r="B55" s="1667"/>
      <c r="C55" s="1654"/>
      <c r="D55" s="1844"/>
      <c r="E55" s="1540">
        <f t="shared" si="2"/>
        <v>0</v>
      </c>
      <c r="F55" s="1938">
        <f t="shared" si="1"/>
        <v>0</v>
      </c>
      <c r="G55" s="1793">
        <f t="shared" si="3"/>
        <v>0</v>
      </c>
    </row>
    <row r="56" spans="1:7" x14ac:dyDescent="0.25">
      <c r="A56" s="1653"/>
      <c r="B56" s="1667"/>
      <c r="C56" s="1654"/>
      <c r="D56" s="1844"/>
      <c r="E56" s="1540">
        <f t="shared" si="2"/>
        <v>0</v>
      </c>
      <c r="F56" s="1938">
        <f t="shared" si="1"/>
        <v>0</v>
      </c>
      <c r="G56" s="1793">
        <f t="shared" si="3"/>
        <v>0</v>
      </c>
    </row>
    <row r="57" spans="1:7" x14ac:dyDescent="0.25">
      <c r="A57" s="1653"/>
      <c r="B57" s="1667"/>
      <c r="C57" s="1654"/>
      <c r="D57" s="1844"/>
      <c r="E57" s="1540">
        <f t="shared" si="2"/>
        <v>0</v>
      </c>
      <c r="F57" s="1938">
        <f t="shared" si="1"/>
        <v>0</v>
      </c>
      <c r="G57" s="1793">
        <f t="shared" si="3"/>
        <v>0</v>
      </c>
    </row>
    <row r="58" spans="1:7" x14ac:dyDescent="0.25">
      <c r="A58" s="1653"/>
      <c r="B58" s="1667"/>
      <c r="C58" s="1654"/>
      <c r="D58" s="1844"/>
      <c r="E58" s="1540">
        <f t="shared" si="2"/>
        <v>0</v>
      </c>
      <c r="F58" s="1938">
        <f t="shared" si="1"/>
        <v>0</v>
      </c>
      <c r="G58" s="1793">
        <f t="shared" si="3"/>
        <v>0</v>
      </c>
    </row>
    <row r="59" spans="1:7" x14ac:dyDescent="0.25">
      <c r="A59" s="1653"/>
      <c r="B59" s="1667"/>
      <c r="C59" s="1654"/>
      <c r="D59" s="1844"/>
      <c r="E59" s="1540">
        <f t="shared" si="2"/>
        <v>0</v>
      </c>
      <c r="F59" s="1938">
        <f t="shared" si="1"/>
        <v>0</v>
      </c>
      <c r="G59" s="1793">
        <f t="shared" si="3"/>
        <v>0</v>
      </c>
    </row>
    <row r="60" spans="1:7" x14ac:dyDescent="0.25">
      <c r="A60" s="1653"/>
      <c r="B60" s="1667"/>
      <c r="C60" s="1654"/>
      <c r="D60" s="1844"/>
      <c r="E60" s="1540">
        <f t="shared" si="2"/>
        <v>0</v>
      </c>
      <c r="F60" s="1938">
        <f t="shared" si="1"/>
        <v>0</v>
      </c>
      <c r="G60" s="1793">
        <f t="shared" si="3"/>
        <v>0</v>
      </c>
    </row>
    <row r="61" spans="1:7" x14ac:dyDescent="0.25">
      <c r="A61" s="1653"/>
      <c r="B61" s="1667"/>
      <c r="C61" s="1654"/>
      <c r="D61" s="1844"/>
      <c r="E61" s="1540">
        <f t="shared" si="2"/>
        <v>0</v>
      </c>
      <c r="F61" s="1938">
        <f t="shared" si="1"/>
        <v>0</v>
      </c>
      <c r="G61" s="1793">
        <f t="shared" si="3"/>
        <v>0</v>
      </c>
    </row>
    <row r="62" spans="1:7" x14ac:dyDescent="0.25">
      <c r="A62" s="1653"/>
      <c r="B62" s="1667"/>
      <c r="C62" s="1654"/>
      <c r="D62" s="1844"/>
      <c r="E62" s="1540">
        <f t="shared" si="2"/>
        <v>0</v>
      </c>
      <c r="F62" s="1938">
        <f t="shared" si="1"/>
        <v>0</v>
      </c>
      <c r="G62" s="1793">
        <f t="shared" si="3"/>
        <v>0</v>
      </c>
    </row>
    <row r="63" spans="1:7" x14ac:dyDescent="0.25">
      <c r="A63" s="1653"/>
      <c r="B63" s="1667"/>
      <c r="C63" s="1654"/>
      <c r="D63" s="1844"/>
      <c r="E63" s="1540">
        <f t="shared" si="2"/>
        <v>0</v>
      </c>
      <c r="F63" s="1938">
        <f t="shared" si="1"/>
        <v>0</v>
      </c>
      <c r="G63" s="1793">
        <f t="shared" si="3"/>
        <v>0</v>
      </c>
    </row>
    <row r="64" spans="1:7" x14ac:dyDescent="0.25">
      <c r="A64" s="1653"/>
      <c r="B64" s="1667"/>
      <c r="C64" s="1654"/>
      <c r="D64" s="1844"/>
      <c r="E64" s="1540">
        <f t="shared" si="2"/>
        <v>0</v>
      </c>
      <c r="F64" s="1938">
        <f t="shared" si="1"/>
        <v>0</v>
      </c>
      <c r="G64" s="1793">
        <f t="shared" si="3"/>
        <v>0</v>
      </c>
    </row>
    <row r="65" spans="1:7" x14ac:dyDescent="0.25">
      <c r="A65" s="1655"/>
      <c r="B65" s="1667"/>
      <c r="C65" s="1656"/>
      <c r="D65" s="1844"/>
      <c r="E65" s="1540">
        <f t="shared" si="2"/>
        <v>0</v>
      </c>
      <c r="F65" s="1938">
        <f t="shared" si="1"/>
        <v>0</v>
      </c>
      <c r="G65" s="1793">
        <f t="shared" si="3"/>
        <v>0</v>
      </c>
    </row>
    <row r="66" spans="1:7" x14ac:dyDescent="0.25">
      <c r="A66" s="1653"/>
      <c r="B66" s="1667"/>
      <c r="C66" s="1654"/>
      <c r="D66" s="1844"/>
      <c r="E66" s="1540">
        <f t="shared" si="2"/>
        <v>0</v>
      </c>
      <c r="F66" s="1938">
        <f t="shared" si="1"/>
        <v>0</v>
      </c>
      <c r="G66" s="1793">
        <f t="shared" si="3"/>
        <v>0</v>
      </c>
    </row>
    <row r="67" spans="1:7" x14ac:dyDescent="0.25">
      <c r="A67" s="1653"/>
      <c r="B67" s="1667"/>
      <c r="C67" s="1654"/>
      <c r="D67" s="1844"/>
      <c r="E67" s="1540">
        <f t="shared" si="2"/>
        <v>0</v>
      </c>
      <c r="F67" s="1938">
        <f t="shared" si="1"/>
        <v>0</v>
      </c>
      <c r="G67" s="1793">
        <f t="shared" si="3"/>
        <v>0</v>
      </c>
    </row>
    <row r="68" spans="1:7" x14ac:dyDescent="0.25">
      <c r="A68" s="1653"/>
      <c r="B68" s="1667"/>
      <c r="C68" s="1654"/>
      <c r="D68" s="1844"/>
      <c r="E68" s="1540">
        <f t="shared" si="2"/>
        <v>0</v>
      </c>
      <c r="F68" s="1938">
        <f t="shared" si="1"/>
        <v>0</v>
      </c>
      <c r="G68" s="1793">
        <f t="shared" si="3"/>
        <v>0</v>
      </c>
    </row>
    <row r="69" spans="1:7" x14ac:dyDescent="0.25">
      <c r="A69" s="1653"/>
      <c r="B69" s="1667"/>
      <c r="C69" s="1654"/>
      <c r="D69" s="1844"/>
      <c r="E69" s="1540">
        <f t="shared" si="2"/>
        <v>0</v>
      </c>
      <c r="F69" s="1938">
        <f t="shared" si="1"/>
        <v>0</v>
      </c>
      <c r="G69" s="1793">
        <f t="shared" si="3"/>
        <v>0</v>
      </c>
    </row>
    <row r="70" spans="1:7" x14ac:dyDescent="0.25">
      <c r="A70" s="1653"/>
      <c r="B70" s="1667"/>
      <c r="C70" s="1654"/>
      <c r="D70" s="1844"/>
      <c r="E70" s="1540">
        <f t="shared" si="2"/>
        <v>0</v>
      </c>
      <c r="F70" s="1938">
        <f t="shared" si="1"/>
        <v>0</v>
      </c>
      <c r="G70" s="1793">
        <f t="shared" si="3"/>
        <v>0</v>
      </c>
    </row>
    <row r="71" spans="1:7" x14ac:dyDescent="0.25">
      <c r="A71" s="1653"/>
      <c r="B71" s="1667"/>
      <c r="C71" s="1654"/>
      <c r="D71" s="1844"/>
      <c r="E71" s="1540">
        <f t="shared" si="2"/>
        <v>0</v>
      </c>
      <c r="F71" s="1938">
        <f t="shared" si="1"/>
        <v>0</v>
      </c>
      <c r="G71" s="1793">
        <f t="shared" si="3"/>
        <v>0</v>
      </c>
    </row>
    <row r="72" spans="1:7" x14ac:dyDescent="0.25">
      <c r="A72" s="1653"/>
      <c r="B72" s="1667"/>
      <c r="C72" s="1654"/>
      <c r="D72" s="1844"/>
      <c r="E72" s="1540">
        <f t="shared" si="2"/>
        <v>0</v>
      </c>
      <c r="F72" s="1938">
        <f t="shared" si="1"/>
        <v>0</v>
      </c>
      <c r="G72" s="1793">
        <f t="shared" si="3"/>
        <v>0</v>
      </c>
    </row>
    <row r="73" spans="1:7" x14ac:dyDescent="0.25">
      <c r="A73" s="1653"/>
      <c r="B73" s="1667"/>
      <c r="C73" s="1654"/>
      <c r="D73" s="1844"/>
      <c r="E73" s="1540">
        <f t="shared" si="2"/>
        <v>0</v>
      </c>
      <c r="F73" s="1938">
        <f t="shared" si="1"/>
        <v>0</v>
      </c>
      <c r="G73" s="1793">
        <f t="shared" si="3"/>
        <v>0</v>
      </c>
    </row>
    <row r="74" spans="1:7" x14ac:dyDescent="0.25">
      <c r="A74" s="1653"/>
      <c r="B74" s="1667"/>
      <c r="C74" s="1654"/>
      <c r="D74" s="1844"/>
      <c r="E74" s="1540">
        <f t="shared" ref="E74:E85" si="4">IF(D74&lt;=25000,D74,IF(D74&gt;25000,25000,0))</f>
        <v>0</v>
      </c>
      <c r="F74" s="1938">
        <f t="shared" si="1"/>
        <v>0</v>
      </c>
      <c r="G74" s="1793">
        <f t="shared" ref="G74:G85" si="5">IF(F74=0,0,D74-F74)</f>
        <v>0</v>
      </c>
    </row>
    <row r="75" spans="1:7" x14ac:dyDescent="0.25">
      <c r="A75" s="1653"/>
      <c r="B75" s="1667"/>
      <c r="C75" s="1654"/>
      <c r="D75" s="1844"/>
      <c r="E75" s="1540">
        <f t="shared" si="4"/>
        <v>0</v>
      </c>
      <c r="F75" s="1938">
        <f t="shared" si="1"/>
        <v>0</v>
      </c>
      <c r="G75" s="1793">
        <f t="shared" si="5"/>
        <v>0</v>
      </c>
    </row>
    <row r="76" spans="1:7" x14ac:dyDescent="0.25">
      <c r="A76" s="1653"/>
      <c r="B76" s="1667"/>
      <c r="C76" s="1654"/>
      <c r="D76" s="1844"/>
      <c r="E76" s="1540">
        <f t="shared" si="4"/>
        <v>0</v>
      </c>
      <c r="F76" s="1938">
        <f t="shared" si="1"/>
        <v>0</v>
      </c>
      <c r="G76" s="1793">
        <f t="shared" si="5"/>
        <v>0</v>
      </c>
    </row>
    <row r="77" spans="1:7" x14ac:dyDescent="0.25">
      <c r="A77" s="1653"/>
      <c r="B77" s="1667"/>
      <c r="C77" s="1654"/>
      <c r="D77" s="1844"/>
      <c r="E77" s="1540">
        <f t="shared" si="4"/>
        <v>0</v>
      </c>
      <c r="F77" s="1938">
        <f t="shared" si="1"/>
        <v>0</v>
      </c>
      <c r="G77" s="1793">
        <f t="shared" si="5"/>
        <v>0</v>
      </c>
    </row>
    <row r="78" spans="1:7" x14ac:dyDescent="0.25">
      <c r="A78" s="1653"/>
      <c r="B78" s="1667"/>
      <c r="C78" s="1654"/>
      <c r="D78" s="1844"/>
      <c r="E78" s="1540">
        <f t="shared" si="4"/>
        <v>0</v>
      </c>
      <c r="F78" s="1938">
        <f t="shared" si="1"/>
        <v>0</v>
      </c>
      <c r="G78" s="1793">
        <f t="shared" si="5"/>
        <v>0</v>
      </c>
    </row>
    <row r="79" spans="1:7" x14ac:dyDescent="0.25">
      <c r="A79" s="1653"/>
      <c r="B79" s="1667"/>
      <c r="C79" s="1654"/>
      <c r="D79" s="1844"/>
      <c r="E79" s="1540">
        <f t="shared" si="4"/>
        <v>0</v>
      </c>
      <c r="F79" s="1938">
        <f t="shared" si="1"/>
        <v>0</v>
      </c>
      <c r="G79" s="1793">
        <f t="shared" si="5"/>
        <v>0</v>
      </c>
    </row>
    <row r="80" spans="1:7" x14ac:dyDescent="0.25">
      <c r="A80" s="1653"/>
      <c r="B80" s="1667"/>
      <c r="C80" s="1654"/>
      <c r="D80" s="1844"/>
      <c r="E80" s="1540">
        <f t="shared" si="4"/>
        <v>0</v>
      </c>
      <c r="F80" s="1938">
        <f t="shared" si="1"/>
        <v>0</v>
      </c>
      <c r="G80" s="1793">
        <f t="shared" si="5"/>
        <v>0</v>
      </c>
    </row>
    <row r="81" spans="1:7" x14ac:dyDescent="0.25">
      <c r="A81" s="1653"/>
      <c r="B81" s="1667"/>
      <c r="C81" s="1654"/>
      <c r="D81" s="1844"/>
      <c r="E81" s="1540">
        <f t="shared" si="4"/>
        <v>0</v>
      </c>
      <c r="F81" s="1938">
        <f t="shared" si="1"/>
        <v>0</v>
      </c>
      <c r="G81" s="1793">
        <f t="shared" si="5"/>
        <v>0</v>
      </c>
    </row>
    <row r="82" spans="1:7" x14ac:dyDescent="0.25">
      <c r="A82" s="1653"/>
      <c r="B82" s="1667"/>
      <c r="C82" s="1654"/>
      <c r="D82" s="1844"/>
      <c r="E82" s="1540">
        <f t="shared" si="4"/>
        <v>0</v>
      </c>
      <c r="F82" s="1938">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8">
        <f t="shared" si="6"/>
        <v>0</v>
      </c>
      <c r="G83" s="1793">
        <f t="shared" si="5"/>
        <v>0</v>
      </c>
    </row>
    <row r="84" spans="1:7" x14ac:dyDescent="0.25">
      <c r="A84" s="1653"/>
      <c r="B84" s="1667"/>
      <c r="C84" s="1654"/>
      <c r="D84" s="1844"/>
      <c r="E84" s="1540">
        <f t="shared" si="4"/>
        <v>0</v>
      </c>
      <c r="F84" s="1938">
        <f t="shared" si="6"/>
        <v>0</v>
      </c>
      <c r="G84" s="1793">
        <f t="shared" si="5"/>
        <v>0</v>
      </c>
    </row>
    <row r="85" spans="1:7" x14ac:dyDescent="0.25">
      <c r="A85" s="1653"/>
      <c r="B85" s="1667"/>
      <c r="C85" s="1654"/>
      <c r="D85" s="1844"/>
      <c r="E85" s="1540">
        <f t="shared" si="4"/>
        <v>0</v>
      </c>
      <c r="F85" s="1938">
        <f t="shared" si="6"/>
        <v>0</v>
      </c>
      <c r="G85" s="1793">
        <f t="shared" si="5"/>
        <v>0</v>
      </c>
    </row>
    <row r="86" spans="1:7" x14ac:dyDescent="0.25">
      <c r="A86" s="1653"/>
      <c r="B86" s="1667"/>
      <c r="C86" s="1654"/>
      <c r="D86" s="1844"/>
      <c r="E86" s="1540">
        <f t="shared" si="2"/>
        <v>0</v>
      </c>
      <c r="F86" s="1938">
        <f t="shared" si="6"/>
        <v>0</v>
      </c>
      <c r="G86" s="1793">
        <f t="shared" si="3"/>
        <v>0</v>
      </c>
    </row>
    <row r="87" spans="1:7" x14ac:dyDescent="0.25">
      <c r="A87" s="1653"/>
      <c r="B87" s="1667"/>
      <c r="C87" s="1654"/>
      <c r="D87" s="1844"/>
      <c r="E87" s="1540">
        <f t="shared" si="2"/>
        <v>0</v>
      </c>
      <c r="F87" s="1938">
        <f t="shared" si="6"/>
        <v>0</v>
      </c>
      <c r="G87" s="1793">
        <f t="shared" si="3"/>
        <v>0</v>
      </c>
    </row>
    <row r="88" spans="1:7" x14ac:dyDescent="0.25">
      <c r="A88" s="1653"/>
      <c r="B88" s="1667"/>
      <c r="C88" s="1654"/>
      <c r="D88" s="1844"/>
      <c r="E88" s="1540">
        <f t="shared" si="2"/>
        <v>0</v>
      </c>
      <c r="F88" s="1938">
        <f t="shared" si="6"/>
        <v>0</v>
      </c>
      <c r="G88" s="1793">
        <f t="shared" si="3"/>
        <v>0</v>
      </c>
    </row>
    <row r="89" spans="1:7" x14ac:dyDescent="0.25">
      <c r="A89" s="1653"/>
      <c r="B89" s="1667"/>
      <c r="C89" s="1654"/>
      <c r="D89" s="1844"/>
      <c r="E89" s="1540">
        <f t="shared" si="2"/>
        <v>0</v>
      </c>
      <c r="F89" s="1938">
        <f t="shared" si="6"/>
        <v>0</v>
      </c>
      <c r="G89" s="1793">
        <f t="shared" si="3"/>
        <v>0</v>
      </c>
    </row>
    <row r="90" spans="1:7" x14ac:dyDescent="0.25">
      <c r="A90" s="1653"/>
      <c r="B90" s="1667"/>
      <c r="C90" s="1654"/>
      <c r="D90" s="1844"/>
      <c r="E90" s="1540">
        <f t="shared" si="2"/>
        <v>0</v>
      </c>
      <c r="F90" s="1938">
        <f t="shared" si="6"/>
        <v>0</v>
      </c>
      <c r="G90" s="1793">
        <f t="shared" si="3"/>
        <v>0</v>
      </c>
    </row>
    <row r="91" spans="1:7" x14ac:dyDescent="0.25">
      <c r="A91" s="1653"/>
      <c r="B91" s="1667"/>
      <c r="C91" s="1654"/>
      <c r="D91" s="1844"/>
      <c r="E91" s="1540">
        <f t="shared" si="2"/>
        <v>0</v>
      </c>
      <c r="F91" s="1938">
        <f t="shared" si="6"/>
        <v>0</v>
      </c>
      <c r="G91" s="1793">
        <f t="shared" si="3"/>
        <v>0</v>
      </c>
    </row>
    <row r="92" spans="1:7" x14ac:dyDescent="0.25">
      <c r="A92" s="1653"/>
      <c r="B92" s="1667"/>
      <c r="C92" s="1654"/>
      <c r="D92" s="1844"/>
      <c r="E92" s="1540">
        <f t="shared" si="2"/>
        <v>0</v>
      </c>
      <c r="F92" s="1938">
        <f t="shared" si="6"/>
        <v>0</v>
      </c>
      <c r="G92" s="1793">
        <f t="shared" si="3"/>
        <v>0</v>
      </c>
    </row>
    <row r="93" spans="1:7" x14ac:dyDescent="0.25">
      <c r="A93" s="1653"/>
      <c r="B93" s="1667"/>
      <c r="C93" s="1654"/>
      <c r="D93" s="1844"/>
      <c r="E93" s="1540">
        <f t="shared" si="2"/>
        <v>0</v>
      </c>
      <c r="F93" s="1938">
        <f t="shared" si="6"/>
        <v>0</v>
      </c>
      <c r="G93" s="1793">
        <f t="shared" si="3"/>
        <v>0</v>
      </c>
    </row>
    <row r="94" spans="1:7" x14ac:dyDescent="0.25">
      <c r="A94" s="1653"/>
      <c r="B94" s="1667"/>
      <c r="C94" s="1654"/>
      <c r="D94" s="1844"/>
      <c r="E94" s="1540">
        <f t="shared" ref="E94" si="7">IF(D94&lt;=25000,D94,IF(D94&gt;25000,25000,0))</f>
        <v>0</v>
      </c>
      <c r="F94" s="1938">
        <f t="shared" si="6"/>
        <v>0</v>
      </c>
      <c r="G94" s="1793">
        <f t="shared" ref="G94" si="8">IF(F94=0,0,D94-F94)</f>
        <v>0</v>
      </c>
    </row>
    <row r="95" spans="1:7" x14ac:dyDescent="0.25">
      <c r="A95" s="1653"/>
      <c r="B95" s="1667"/>
      <c r="C95" s="1654"/>
      <c r="D95" s="1844"/>
      <c r="E95" s="1540">
        <f t="shared" si="2"/>
        <v>0</v>
      </c>
      <c r="F95" s="1938">
        <f t="shared" si="6"/>
        <v>0</v>
      </c>
      <c r="G95" s="1793">
        <f t="shared" si="3"/>
        <v>0</v>
      </c>
    </row>
    <row r="96" spans="1:7" x14ac:dyDescent="0.25">
      <c r="A96" s="1653"/>
      <c r="B96" s="1667"/>
      <c r="C96" s="1654"/>
      <c r="D96" s="1844"/>
      <c r="E96" s="1540">
        <f t="shared" ref="E96:E99" si="9">IF(D96&lt;=25000,D96,IF(D96&gt;25000,25000,0))</f>
        <v>0</v>
      </c>
      <c r="F96" s="1938">
        <f t="shared" si="6"/>
        <v>0</v>
      </c>
      <c r="G96" s="1793">
        <f t="shared" ref="G96:G99" si="10">IF(F96=0,0,D96-F96)</f>
        <v>0</v>
      </c>
    </row>
    <row r="97" spans="1:7" x14ac:dyDescent="0.25">
      <c r="A97" s="1653"/>
      <c r="B97" s="1667"/>
      <c r="C97" s="1654"/>
      <c r="D97" s="1844"/>
      <c r="E97" s="1540">
        <f t="shared" si="9"/>
        <v>0</v>
      </c>
      <c r="F97" s="1938">
        <f t="shared" si="6"/>
        <v>0</v>
      </c>
      <c r="G97" s="1793">
        <f t="shared" si="10"/>
        <v>0</v>
      </c>
    </row>
    <row r="98" spans="1:7" x14ac:dyDescent="0.25">
      <c r="A98" s="1653"/>
      <c r="B98" s="1667"/>
      <c r="C98" s="1654"/>
      <c r="D98" s="1844"/>
      <c r="E98" s="1540">
        <f t="shared" si="9"/>
        <v>0</v>
      </c>
      <c r="F98" s="1938">
        <f t="shared" si="6"/>
        <v>0</v>
      </c>
      <c r="G98" s="1793">
        <f t="shared" si="10"/>
        <v>0</v>
      </c>
    </row>
    <row r="99" spans="1:7" x14ac:dyDescent="0.25">
      <c r="A99" s="1653"/>
      <c r="B99" s="1667"/>
      <c r="C99" s="1654"/>
      <c r="D99" s="1844"/>
      <c r="E99" s="1540">
        <f t="shared" si="9"/>
        <v>0</v>
      </c>
      <c r="F99" s="1938">
        <f t="shared" si="6"/>
        <v>0</v>
      </c>
      <c r="G99" s="1793">
        <f t="shared" si="10"/>
        <v>0</v>
      </c>
    </row>
    <row r="100" spans="1:7" x14ac:dyDescent="0.25">
      <c r="A100" s="1653"/>
      <c r="B100" s="1667"/>
      <c r="C100" s="1654"/>
      <c r="D100" s="1844"/>
      <c r="E100" s="1540">
        <f t="shared" ref="E100" si="11">IF(D100&lt;=25000,D100,IF(D100&gt;25000,25000,0))</f>
        <v>0</v>
      </c>
      <c r="F100" s="1938">
        <f t="shared" si="6"/>
        <v>0</v>
      </c>
      <c r="G100" s="1793">
        <f t="shared" ref="G100" si="12">IF(F100=0,0,D100-F100)</f>
        <v>0</v>
      </c>
    </row>
    <row r="101" spans="1:7" x14ac:dyDescent="0.25">
      <c r="A101" s="1653"/>
      <c r="B101" s="1667"/>
      <c r="C101" s="1654"/>
      <c r="D101" s="1844"/>
      <c r="E101" s="1540">
        <f t="shared" ref="E101:E113" si="13">IF(D101&lt;=25000,D101,IF(D101&gt;25000,25000,0))</f>
        <v>0</v>
      </c>
      <c r="F101" s="1938">
        <f t="shared" si="6"/>
        <v>0</v>
      </c>
      <c r="G101" s="1793">
        <f t="shared" ref="G101:G113" si="14">IF(F101=0,0,D101-F101)</f>
        <v>0</v>
      </c>
    </row>
    <row r="102" spans="1:7" x14ac:dyDescent="0.25">
      <c r="A102" s="1653"/>
      <c r="B102" s="1667"/>
      <c r="C102" s="1654"/>
      <c r="D102" s="1844"/>
      <c r="E102" s="1540">
        <f t="shared" si="13"/>
        <v>0</v>
      </c>
      <c r="F102" s="1938">
        <f t="shared" si="6"/>
        <v>0</v>
      </c>
      <c r="G102" s="1793">
        <f t="shared" si="14"/>
        <v>0</v>
      </c>
    </row>
    <row r="103" spans="1:7" x14ac:dyDescent="0.25">
      <c r="A103" s="1653"/>
      <c r="B103" s="1667"/>
      <c r="C103" s="1654"/>
      <c r="D103" s="1844"/>
      <c r="E103" s="1540">
        <f t="shared" si="13"/>
        <v>0</v>
      </c>
      <c r="F103" s="1938">
        <f t="shared" si="6"/>
        <v>0</v>
      </c>
      <c r="G103" s="1793">
        <f t="shared" si="14"/>
        <v>0</v>
      </c>
    </row>
    <row r="104" spans="1:7" x14ac:dyDescent="0.25">
      <c r="A104" s="1653"/>
      <c r="B104" s="1667"/>
      <c r="C104" s="1654"/>
      <c r="D104" s="1844"/>
      <c r="E104" s="1540">
        <f t="shared" si="13"/>
        <v>0</v>
      </c>
      <c r="F104" s="1938">
        <f t="shared" si="6"/>
        <v>0</v>
      </c>
      <c r="G104" s="1793">
        <f t="shared" si="14"/>
        <v>0</v>
      </c>
    </row>
    <row r="105" spans="1:7" x14ac:dyDescent="0.25">
      <c r="A105" s="1653"/>
      <c r="B105" s="1667"/>
      <c r="C105" s="1654"/>
      <c r="D105" s="1844"/>
      <c r="E105" s="1540">
        <f t="shared" si="13"/>
        <v>0</v>
      </c>
      <c r="F105" s="1938">
        <f t="shared" si="6"/>
        <v>0</v>
      </c>
      <c r="G105" s="1793">
        <f t="shared" si="14"/>
        <v>0</v>
      </c>
    </row>
    <row r="106" spans="1:7" x14ac:dyDescent="0.25">
      <c r="A106" s="1653"/>
      <c r="B106" s="1667"/>
      <c r="C106" s="1654"/>
      <c r="D106" s="1844"/>
      <c r="E106" s="1540">
        <f t="shared" si="13"/>
        <v>0</v>
      </c>
      <c r="F106" s="1938">
        <f t="shared" si="6"/>
        <v>0</v>
      </c>
      <c r="G106" s="1793">
        <f t="shared" si="14"/>
        <v>0</v>
      </c>
    </row>
    <row r="107" spans="1:7" x14ac:dyDescent="0.25">
      <c r="A107" s="1653"/>
      <c r="B107" s="1667"/>
      <c r="C107" s="1654"/>
      <c r="D107" s="1844"/>
      <c r="E107" s="1540">
        <f t="shared" si="13"/>
        <v>0</v>
      </c>
      <c r="F107" s="1938">
        <f t="shared" si="6"/>
        <v>0</v>
      </c>
      <c r="G107" s="1793">
        <f t="shared" si="14"/>
        <v>0</v>
      </c>
    </row>
    <row r="108" spans="1:7" x14ac:dyDescent="0.25">
      <c r="A108" s="1653"/>
      <c r="B108" s="1667"/>
      <c r="C108" s="1654"/>
      <c r="D108" s="1844"/>
      <c r="E108" s="1540">
        <f t="shared" si="13"/>
        <v>0</v>
      </c>
      <c r="F108" s="1938">
        <f t="shared" si="6"/>
        <v>0</v>
      </c>
      <c r="G108" s="1793">
        <f t="shared" si="14"/>
        <v>0</v>
      </c>
    </row>
    <row r="109" spans="1:7" x14ac:dyDescent="0.25">
      <c r="A109" s="1653"/>
      <c r="B109" s="1667"/>
      <c r="C109" s="1654"/>
      <c r="D109" s="1844"/>
      <c r="E109" s="1540">
        <f t="shared" si="13"/>
        <v>0</v>
      </c>
      <c r="F109" s="1938">
        <f t="shared" si="6"/>
        <v>0</v>
      </c>
      <c r="G109" s="1793">
        <f t="shared" si="14"/>
        <v>0</v>
      </c>
    </row>
    <row r="110" spans="1:7" x14ac:dyDescent="0.25">
      <c r="A110" s="1653"/>
      <c r="B110" s="1667"/>
      <c r="C110" s="1654"/>
      <c r="D110" s="1844"/>
      <c r="E110" s="1540">
        <f t="shared" si="13"/>
        <v>0</v>
      </c>
      <c r="F110" s="1938">
        <f t="shared" si="6"/>
        <v>0</v>
      </c>
      <c r="G110" s="1793">
        <f t="shared" si="14"/>
        <v>0</v>
      </c>
    </row>
    <row r="111" spans="1:7" x14ac:dyDescent="0.25">
      <c r="A111" s="1653"/>
      <c r="B111" s="1667"/>
      <c r="C111" s="1654"/>
      <c r="D111" s="1844"/>
      <c r="E111" s="1540">
        <f t="shared" si="13"/>
        <v>0</v>
      </c>
      <c r="F111" s="1938">
        <f t="shared" si="6"/>
        <v>0</v>
      </c>
      <c r="G111" s="1793">
        <f t="shared" si="14"/>
        <v>0</v>
      </c>
    </row>
    <row r="112" spans="1:7" x14ac:dyDescent="0.25">
      <c r="A112" s="1653"/>
      <c r="B112" s="1667"/>
      <c r="C112" s="1654"/>
      <c r="D112" s="1844"/>
      <c r="E112" s="1540">
        <f t="shared" si="13"/>
        <v>0</v>
      </c>
      <c r="F112" s="1938">
        <f t="shared" si="6"/>
        <v>0</v>
      </c>
      <c r="G112" s="1793">
        <f t="shared" si="14"/>
        <v>0</v>
      </c>
    </row>
    <row r="113" spans="1:7" x14ac:dyDescent="0.25">
      <c r="A113" s="1653"/>
      <c r="B113" s="1667"/>
      <c r="C113" s="1654"/>
      <c r="D113" s="1844"/>
      <c r="E113" s="1540">
        <f t="shared" si="13"/>
        <v>0</v>
      </c>
      <c r="F113" s="1938">
        <f t="shared" si="6"/>
        <v>0</v>
      </c>
      <c r="G113" s="1793">
        <f t="shared" si="14"/>
        <v>0</v>
      </c>
    </row>
    <row r="114" spans="1:7" x14ac:dyDescent="0.25">
      <c r="A114" s="1653"/>
      <c r="B114" s="1667"/>
      <c r="C114" s="1654"/>
      <c r="D114" s="1844"/>
      <c r="E114" s="1540">
        <f t="shared" ref="E114:E126" si="15">IF(D114&lt;=25000,D114,IF(D114&gt;25000,25000,0))</f>
        <v>0</v>
      </c>
      <c r="F114" s="1938">
        <f t="shared" si="6"/>
        <v>0</v>
      </c>
      <c r="G114" s="1793">
        <f t="shared" ref="G114:G126" si="16">IF(F114=0,0,D114-F114)</f>
        <v>0</v>
      </c>
    </row>
    <row r="115" spans="1:7" x14ac:dyDescent="0.25">
      <c r="A115" s="1653"/>
      <c r="B115" s="1667"/>
      <c r="C115" s="1654"/>
      <c r="D115" s="1844"/>
      <c r="E115" s="1540">
        <f t="shared" si="15"/>
        <v>0</v>
      </c>
      <c r="F115" s="1938">
        <f t="shared" si="6"/>
        <v>0</v>
      </c>
      <c r="G115" s="1793">
        <f t="shared" si="16"/>
        <v>0</v>
      </c>
    </row>
    <row r="116" spans="1:7" x14ac:dyDescent="0.25">
      <c r="A116" s="1653"/>
      <c r="B116" s="1667"/>
      <c r="C116" s="1654"/>
      <c r="D116" s="1844"/>
      <c r="E116" s="1540">
        <f t="shared" si="15"/>
        <v>0</v>
      </c>
      <c r="F116" s="1938">
        <f t="shared" si="6"/>
        <v>0</v>
      </c>
      <c r="G116" s="1793">
        <f t="shared" si="16"/>
        <v>0</v>
      </c>
    </row>
    <row r="117" spans="1:7" x14ac:dyDescent="0.25">
      <c r="A117" s="1653"/>
      <c r="B117" s="1667"/>
      <c r="C117" s="1654"/>
      <c r="D117" s="1844"/>
      <c r="E117" s="1540">
        <f t="shared" si="15"/>
        <v>0</v>
      </c>
      <c r="F117" s="1938">
        <f t="shared" si="6"/>
        <v>0</v>
      </c>
      <c r="G117" s="1793">
        <f t="shared" si="16"/>
        <v>0</v>
      </c>
    </row>
    <row r="118" spans="1:7" x14ac:dyDescent="0.25">
      <c r="A118" s="1653"/>
      <c r="B118" s="1667"/>
      <c r="C118" s="1654"/>
      <c r="D118" s="1844"/>
      <c r="E118" s="1540">
        <f t="shared" si="15"/>
        <v>0</v>
      </c>
      <c r="F118" s="1938">
        <f t="shared" si="6"/>
        <v>0</v>
      </c>
      <c r="G118" s="1793">
        <f t="shared" si="16"/>
        <v>0</v>
      </c>
    </row>
    <row r="119" spans="1:7" x14ac:dyDescent="0.25">
      <c r="A119" s="1653"/>
      <c r="B119" s="1667"/>
      <c r="C119" s="1654"/>
      <c r="D119" s="1844"/>
      <c r="E119" s="1540">
        <f t="shared" si="15"/>
        <v>0</v>
      </c>
      <c r="F119" s="1938">
        <f t="shared" si="6"/>
        <v>0</v>
      </c>
      <c r="G119" s="1793">
        <f t="shared" si="16"/>
        <v>0</v>
      </c>
    </row>
    <row r="120" spans="1:7" x14ac:dyDescent="0.25">
      <c r="A120" s="1653"/>
      <c r="B120" s="1667"/>
      <c r="C120" s="1654"/>
      <c r="D120" s="1844"/>
      <c r="E120" s="1540">
        <f t="shared" si="15"/>
        <v>0</v>
      </c>
      <c r="F120" s="1938">
        <f t="shared" si="6"/>
        <v>0</v>
      </c>
      <c r="G120" s="1793">
        <f t="shared" si="16"/>
        <v>0</v>
      </c>
    </row>
    <row r="121" spans="1:7" x14ac:dyDescent="0.25">
      <c r="A121" s="1653"/>
      <c r="B121" s="1667"/>
      <c r="C121" s="1654"/>
      <c r="D121" s="1844"/>
      <c r="E121" s="1540">
        <f t="shared" si="15"/>
        <v>0</v>
      </c>
      <c r="F121" s="1938">
        <f t="shared" si="6"/>
        <v>0</v>
      </c>
      <c r="G121" s="1793">
        <f t="shared" si="16"/>
        <v>0</v>
      </c>
    </row>
    <row r="122" spans="1:7" x14ac:dyDescent="0.25">
      <c r="A122" s="1653"/>
      <c r="B122" s="1667"/>
      <c r="C122" s="1654"/>
      <c r="D122" s="1844"/>
      <c r="E122" s="1540">
        <f t="shared" si="15"/>
        <v>0</v>
      </c>
      <c r="F122" s="1938">
        <f t="shared" si="6"/>
        <v>0</v>
      </c>
      <c r="G122" s="1793">
        <f t="shared" si="16"/>
        <v>0</v>
      </c>
    </row>
    <row r="123" spans="1:7" x14ac:dyDescent="0.25">
      <c r="A123" s="1653"/>
      <c r="B123" s="1667"/>
      <c r="C123" s="1654"/>
      <c r="D123" s="1844"/>
      <c r="E123" s="1540">
        <f t="shared" si="15"/>
        <v>0</v>
      </c>
      <c r="F123" s="1938">
        <f t="shared" si="6"/>
        <v>0</v>
      </c>
      <c r="G123" s="1793">
        <f t="shared" si="16"/>
        <v>0</v>
      </c>
    </row>
    <row r="124" spans="1:7" x14ac:dyDescent="0.25">
      <c r="A124" s="1653"/>
      <c r="B124" s="1667"/>
      <c r="C124" s="1654"/>
      <c r="D124" s="1844"/>
      <c r="E124" s="1540">
        <f t="shared" si="15"/>
        <v>0</v>
      </c>
      <c r="F124" s="1938">
        <f t="shared" si="6"/>
        <v>0</v>
      </c>
      <c r="G124" s="1793">
        <f t="shared" si="16"/>
        <v>0</v>
      </c>
    </row>
    <row r="125" spans="1:7" x14ac:dyDescent="0.25">
      <c r="A125" s="1653"/>
      <c r="B125" s="1667"/>
      <c r="C125" s="1654"/>
      <c r="D125" s="1844"/>
      <c r="E125" s="1540">
        <f t="shared" si="15"/>
        <v>0</v>
      </c>
      <c r="F125" s="1938">
        <f t="shared" si="6"/>
        <v>0</v>
      </c>
      <c r="G125" s="1793">
        <f t="shared" si="16"/>
        <v>0</v>
      </c>
    </row>
    <row r="126" spans="1:7" x14ac:dyDescent="0.25">
      <c r="A126" s="1653"/>
      <c r="B126" s="1667"/>
      <c r="C126" s="1654"/>
      <c r="D126" s="1844"/>
      <c r="E126" s="1540">
        <f t="shared" si="15"/>
        <v>0</v>
      </c>
      <c r="F126" s="1938">
        <f t="shared" si="6"/>
        <v>0</v>
      </c>
      <c r="G126" s="1793">
        <f t="shared" si="16"/>
        <v>0</v>
      </c>
    </row>
    <row r="127" spans="1:7" x14ac:dyDescent="0.25">
      <c r="A127" s="1653"/>
      <c r="B127" s="1667"/>
      <c r="C127" s="1654"/>
      <c r="D127" s="1844"/>
      <c r="E127" s="1540">
        <f t="shared" ref="E127:E135" si="17">IF(D127&lt;=25000,D127,IF(D127&gt;25000,25000,0))</f>
        <v>0</v>
      </c>
      <c r="F127" s="1938">
        <f t="shared" si="6"/>
        <v>0</v>
      </c>
      <c r="G127" s="1793">
        <f t="shared" ref="G127:G135" si="18">IF(F127=0,0,D127-F127)</f>
        <v>0</v>
      </c>
    </row>
    <row r="128" spans="1:7" x14ac:dyDescent="0.25">
      <c r="A128" s="1653"/>
      <c r="B128" s="1667"/>
      <c r="C128" s="1654"/>
      <c r="D128" s="1844"/>
      <c r="E128" s="1540">
        <f t="shared" si="17"/>
        <v>0</v>
      </c>
      <c r="F128" s="1938">
        <f t="shared" si="6"/>
        <v>0</v>
      </c>
      <c r="G128" s="1793">
        <f t="shared" si="18"/>
        <v>0</v>
      </c>
    </row>
    <row r="129" spans="1:7" x14ac:dyDescent="0.25">
      <c r="A129" s="1653"/>
      <c r="B129" s="1667"/>
      <c r="C129" s="1654"/>
      <c r="D129" s="1844"/>
      <c r="E129" s="1540">
        <f t="shared" si="17"/>
        <v>0</v>
      </c>
      <c r="F129" s="1938">
        <f t="shared" si="6"/>
        <v>0</v>
      </c>
      <c r="G129" s="1793">
        <f t="shared" si="18"/>
        <v>0</v>
      </c>
    </row>
    <row r="130" spans="1:7" x14ac:dyDescent="0.25">
      <c r="A130" s="1653"/>
      <c r="B130" s="1667"/>
      <c r="C130" s="1654"/>
      <c r="D130" s="1844"/>
      <c r="E130" s="1540">
        <f t="shared" si="17"/>
        <v>0</v>
      </c>
      <c r="F130" s="1938">
        <f t="shared" si="6"/>
        <v>0</v>
      </c>
      <c r="G130" s="1793">
        <f t="shared" si="18"/>
        <v>0</v>
      </c>
    </row>
    <row r="131" spans="1:7" x14ac:dyDescent="0.25">
      <c r="A131" s="1653"/>
      <c r="B131" s="1667"/>
      <c r="C131" s="1654"/>
      <c r="D131" s="1844"/>
      <c r="E131" s="1540">
        <f t="shared" si="17"/>
        <v>0</v>
      </c>
      <c r="F131" s="1938">
        <f t="shared" si="6"/>
        <v>0</v>
      </c>
      <c r="G131" s="1793">
        <f t="shared" si="18"/>
        <v>0</v>
      </c>
    </row>
    <row r="132" spans="1:7" x14ac:dyDescent="0.25">
      <c r="A132" s="1653"/>
      <c r="B132" s="1837"/>
      <c r="C132" s="1654"/>
      <c r="D132" s="1844"/>
      <c r="E132" s="1540">
        <f t="shared" si="17"/>
        <v>0</v>
      </c>
      <c r="F132" s="1938">
        <f t="shared" si="6"/>
        <v>0</v>
      </c>
      <c r="G132" s="1793">
        <f t="shared" si="18"/>
        <v>0</v>
      </c>
    </row>
    <row r="133" spans="1:7" x14ac:dyDescent="0.25">
      <c r="A133" s="1653"/>
      <c r="B133" s="1837"/>
      <c r="C133" s="1654"/>
      <c r="D133" s="1844"/>
      <c r="E133" s="1540">
        <f t="shared" si="17"/>
        <v>0</v>
      </c>
      <c r="F133" s="1938">
        <f t="shared" si="6"/>
        <v>0</v>
      </c>
      <c r="G133" s="1793">
        <f t="shared" si="18"/>
        <v>0</v>
      </c>
    </row>
    <row r="134" spans="1:7" x14ac:dyDescent="0.25">
      <c r="A134" s="1653"/>
      <c r="B134" s="1667"/>
      <c r="C134" s="1654"/>
      <c r="D134" s="1844"/>
      <c r="E134" s="1540">
        <f t="shared" si="17"/>
        <v>0</v>
      </c>
      <c r="F134" s="1938">
        <f t="shared" si="6"/>
        <v>0</v>
      </c>
      <c r="G134" s="1793">
        <f t="shared" si="18"/>
        <v>0</v>
      </c>
    </row>
    <row r="135" spans="1:7" x14ac:dyDescent="0.25">
      <c r="A135" s="1653"/>
      <c r="B135" s="1667"/>
      <c r="C135" s="1654"/>
      <c r="D135" s="1844"/>
      <c r="E135" s="1540">
        <f t="shared" si="17"/>
        <v>0</v>
      </c>
      <c r="F135" s="1938">
        <f t="shared" si="6"/>
        <v>0</v>
      </c>
      <c r="G135" s="1793">
        <f t="shared" si="18"/>
        <v>0</v>
      </c>
    </row>
    <row r="136" spans="1:7" x14ac:dyDescent="0.25">
      <c r="A136" s="1653"/>
      <c r="B136" s="1667"/>
      <c r="C136" s="1654"/>
      <c r="D136" s="1844"/>
      <c r="E136" s="1540">
        <f t="shared" ref="E136:E140" si="19">IF(D136&lt;=25000,D136,IF(D136&gt;25000,25000,0))</f>
        <v>0</v>
      </c>
      <c r="F136" s="1938">
        <f t="shared" si="6"/>
        <v>0</v>
      </c>
      <c r="G136" s="1793">
        <f t="shared" ref="G136:G140" si="20">IF(F136=0,0,D136-F136)</f>
        <v>0</v>
      </c>
    </row>
    <row r="137" spans="1:7" x14ac:dyDescent="0.25">
      <c r="A137" s="1653"/>
      <c r="B137" s="1667"/>
      <c r="C137" s="1654"/>
      <c r="D137" s="1844"/>
      <c r="E137" s="1540">
        <f t="shared" si="19"/>
        <v>0</v>
      </c>
      <c r="F137" s="1938">
        <f t="shared" si="6"/>
        <v>0</v>
      </c>
      <c r="G137" s="1793">
        <f t="shared" si="20"/>
        <v>0</v>
      </c>
    </row>
    <row r="138" spans="1:7" x14ac:dyDescent="0.25">
      <c r="A138" s="1653"/>
      <c r="B138" s="1667"/>
      <c r="C138" s="1654"/>
      <c r="D138" s="1844"/>
      <c r="E138" s="1540">
        <f t="shared" si="19"/>
        <v>0</v>
      </c>
      <c r="F138" s="1938">
        <f t="shared" si="6"/>
        <v>0</v>
      </c>
      <c r="G138" s="1793">
        <f t="shared" si="20"/>
        <v>0</v>
      </c>
    </row>
    <row r="139" spans="1:7" x14ac:dyDescent="0.25">
      <c r="A139" s="1653"/>
      <c r="B139" s="1667"/>
      <c r="C139" s="1654"/>
      <c r="D139" s="1844"/>
      <c r="E139" s="1540">
        <f t="shared" si="19"/>
        <v>0</v>
      </c>
      <c r="F139" s="1938">
        <f t="shared" si="6"/>
        <v>0</v>
      </c>
      <c r="G139" s="1793">
        <f t="shared" si="20"/>
        <v>0</v>
      </c>
    </row>
    <row r="140" spans="1:7" x14ac:dyDescent="0.25">
      <c r="A140" s="1653"/>
      <c r="B140" s="1667"/>
      <c r="C140" s="1654"/>
      <c r="D140" s="1844"/>
      <c r="E140" s="1540">
        <f t="shared" si="19"/>
        <v>0</v>
      </c>
      <c r="F140" s="1938">
        <f t="shared" si="6"/>
        <v>0</v>
      </c>
      <c r="G140" s="1793">
        <f t="shared" si="20"/>
        <v>0</v>
      </c>
    </row>
    <row r="141" spans="1:7" x14ac:dyDescent="0.25">
      <c r="A141" s="1653"/>
      <c r="B141" s="1666"/>
      <c r="C141" s="1654"/>
      <c r="D141" s="1844"/>
      <c r="E141" s="1540">
        <f t="shared" si="2"/>
        <v>0</v>
      </c>
      <c r="F141" s="1938">
        <f t="shared" si="6"/>
        <v>0</v>
      </c>
      <c r="G141" s="1793">
        <f t="shared" si="3"/>
        <v>0</v>
      </c>
    </row>
    <row r="142" spans="1:7" x14ac:dyDescent="0.25">
      <c r="A142" s="1796" t="s">
        <v>156</v>
      </c>
      <c r="B142" s="1797"/>
      <c r="C142" s="1798"/>
      <c r="D142" s="1794">
        <f>SUM(D18:D141)</f>
        <v>0</v>
      </c>
      <c r="E142" s="1541">
        <f t="shared" si="0"/>
        <v>0</v>
      </c>
      <c r="F142" s="1933">
        <f>SUM(F18:F141)</f>
        <v>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9" colorId="8" zoomScale="110" zoomScaleNormal="110" workbookViewId="0">
      <selection activeCell="G31" sqref="G3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6" t="s">
        <v>1679</v>
      </c>
      <c r="B5" s="2287"/>
      <c r="C5" s="2287"/>
      <c r="D5" s="2287"/>
      <c r="E5" s="2287"/>
      <c r="F5" s="2287"/>
      <c r="G5" s="2288"/>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c r="F10" s="974"/>
      <c r="G10" s="975"/>
      <c r="H10" s="162"/>
      <c r="I10" s="162"/>
    </row>
    <row r="11" spans="1:9" s="668" customFormat="1" ht="22.5" customHeight="1" x14ac:dyDescent="0.2">
      <c r="A11" s="2291" t="s">
        <v>1974</v>
      </c>
      <c r="B11" s="2292"/>
      <c r="C11" s="2292"/>
      <c r="D11" s="2293"/>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457844</v>
      </c>
      <c r="F19" s="1799"/>
      <c r="G19" s="1801">
        <f>'Expenditures 15-22'!K33-SUM('Expenditures 15-22'!G33,'Expenditures 15-22'!I33)+'Expenditures 15-22'!D229</f>
        <v>457844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0</v>
      </c>
      <c r="F21" s="1802"/>
      <c r="G21" s="1805">
        <f>'Expenditures 15-22'!K42-SUM('Expenditures 15-22'!G42,'Expenditures 15-22'!I42)+'Expenditures 15-22'!K120-SUM('Expenditures 15-22'!G120,'Expenditures 15-22'!I120)+'Expenditures 15-22'!K180-SUM('Expenditures 15-22'!G180,'Expenditures 15-22'!I180)+'Expenditures 15-22'!D238</f>
        <v>0</v>
      </c>
      <c r="H21" s="987"/>
      <c r="I21" s="162"/>
    </row>
    <row r="22" spans="1:9" s="668" customFormat="1" ht="12" customHeight="1" x14ac:dyDescent="0.2">
      <c r="A22" s="994" t="s">
        <v>564</v>
      </c>
      <c r="B22" s="995"/>
      <c r="C22" s="993">
        <v>2200</v>
      </c>
      <c r="D22" s="1802"/>
      <c r="E22" s="1804">
        <f>'Expenditures 15-22'!K47-SUM('Expenditures 15-22'!G47,'Expenditures 15-22'!I47)+'Expenditures 15-22'!D243</f>
        <v>0</v>
      </c>
      <c r="F22" s="1802"/>
      <c r="G22" s="1805">
        <f>'Expenditures 15-22'!K47-SUM('Expenditures 15-22'!G47,'Expenditures 15-22'!I47)+'Expenditures 15-22'!D243</f>
        <v>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0</v>
      </c>
      <c r="F23" s="1802"/>
      <c r="G23" s="1804">
        <f>'Expenditures 15-22'!K53-SUM('Expenditures 15-22'!G53,'Expenditures 15-22'!I53)+'Expenditures 15-22'!D257+'Expenditures 15-22'!K330-SUM('Expenditures 15-22'!G330,'Expenditures 15-22'!I330)</f>
        <v>0</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0</v>
      </c>
      <c r="F28" s="1806">
        <f>'Expenditures 15-22'!K61-SUM('Expenditures 15-22'!G61,'Expenditures 15-22'!I61)+'Expenditures 15-22'!K124-SUM('Expenditures 15-22'!G124,'Expenditures 15-22'!I124)+'Expenditures 15-22'!D266-E9</f>
        <v>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1822</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0</v>
      </c>
      <c r="E41" s="1806">
        <f>SUM(E19:E40)</f>
        <v>457844</v>
      </c>
      <c r="F41" s="1806">
        <f>SUM(F19:F39)</f>
        <v>0</v>
      </c>
      <c r="G41" s="1806">
        <f>SUM(G19:G40)</f>
        <v>457844</v>
      </c>
    </row>
    <row r="42" spans="1:7" x14ac:dyDescent="0.2">
      <c r="A42" s="987"/>
      <c r="B42" s="162"/>
      <c r="C42" s="1001"/>
      <c r="D42" s="2289" t="s">
        <v>522</v>
      </c>
      <c r="E42" s="2290"/>
      <c r="F42" s="1002" t="s">
        <v>523</v>
      </c>
      <c r="G42" s="1003"/>
    </row>
    <row r="43" spans="1:7" ht="12" customHeight="1" x14ac:dyDescent="0.2">
      <c r="A43" s="987"/>
      <c r="B43" s="162"/>
      <c r="C43" s="1001"/>
      <c r="D43" s="1807" t="s">
        <v>473</v>
      </c>
      <c r="E43" s="1808">
        <f>D41</f>
        <v>0</v>
      </c>
      <c r="F43" s="1807" t="s">
        <v>473</v>
      </c>
      <c r="G43" s="1808">
        <f>F41</f>
        <v>0</v>
      </c>
    </row>
    <row r="44" spans="1:7" ht="12" customHeight="1" x14ac:dyDescent="0.2">
      <c r="A44" s="987"/>
      <c r="B44" s="162"/>
      <c r="C44" s="1001"/>
      <c r="D44" s="1807" t="s">
        <v>474</v>
      </c>
      <c r="E44" s="1808">
        <f>E41</f>
        <v>457844</v>
      </c>
      <c r="F44" s="1807" t="s">
        <v>474</v>
      </c>
      <c r="G44" s="1808">
        <f>G41</f>
        <v>457844</v>
      </c>
    </row>
    <row r="45" spans="1:7" ht="12" customHeight="1" x14ac:dyDescent="0.2">
      <c r="A45" s="987"/>
      <c r="B45" s="162"/>
      <c r="C45" s="162"/>
      <c r="D45" s="1809" t="s">
        <v>1006</v>
      </c>
      <c r="E45" s="1810">
        <f>(E43/E44)</f>
        <v>0</v>
      </c>
      <c r="F45" s="1809" t="s">
        <v>1006</v>
      </c>
      <c r="G45" s="1810">
        <f>(G43/G44)</f>
        <v>0</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topLeftCell="B1" zoomScale="110" zoomScaleNormal="110" workbookViewId="0">
      <pane ySplit="4" topLeftCell="A10" activePane="bottomLeft" state="frozen"/>
      <selection activeCell="G31" sqref="G31"/>
      <selection pane="bottomLeft" activeCell="F25" sqref="F2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8" t="s">
        <v>1379</v>
      </c>
      <c r="B1" s="2308"/>
      <c r="C1" s="2308"/>
      <c r="D1" s="2308"/>
      <c r="E1" s="2308"/>
      <c r="F1" s="2308"/>
    </row>
    <row r="2" spans="1:10" x14ac:dyDescent="0.2">
      <c r="A2" s="1887" t="s">
        <v>1910</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09" t="s">
        <v>1546</v>
      </c>
      <c r="B5" s="2310"/>
      <c r="C5" s="2311"/>
      <c r="D5" s="2311"/>
      <c r="E5" s="2311"/>
      <c r="F5" s="2311"/>
    </row>
    <row r="6" spans="1:10" ht="12" customHeight="1" x14ac:dyDescent="0.25">
      <c r="A6" s="1850"/>
      <c r="B6" s="1851"/>
      <c r="C6" s="2312" t="str">
        <f>COVER!A17</f>
        <v>Mt Vernon Area Voc Center</v>
      </c>
      <c r="D6" s="2312"/>
      <c r="E6" s="2312"/>
      <c r="F6" s="1852"/>
    </row>
    <row r="7" spans="1:10" ht="11.25" customHeight="1" thickBot="1" x14ac:dyDescent="0.3">
      <c r="A7" s="1850"/>
      <c r="B7" s="1851"/>
      <c r="C7" s="2313">
        <f>COVER!A13</f>
        <v>13000000041</v>
      </c>
      <c r="D7" s="2313"/>
      <c r="E7" s="2313"/>
      <c r="F7" s="1852"/>
    </row>
    <row r="8" spans="1:10" ht="25.5" customHeight="1" thickBot="1" x14ac:dyDescent="0.25">
      <c r="A8" s="1893" t="s">
        <v>1906</v>
      </c>
      <c r="B8" s="1853" t="s">
        <v>2064</v>
      </c>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2064</v>
      </c>
      <c r="D25" s="1865" t="s">
        <v>2064</v>
      </c>
      <c r="E25" s="1868"/>
      <c r="F25" s="1867" t="s">
        <v>2103</v>
      </c>
      <c r="H25" s="1878">
        <f t="shared" si="0"/>
        <v>5</v>
      </c>
      <c r="I25" s="1878">
        <f t="shared" si="1"/>
        <v>5</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0</v>
      </c>
      <c r="K34" s="1878">
        <f>SUM(H34:J34)</f>
        <v>10</v>
      </c>
    </row>
    <row r="35" spans="1:11" ht="12" customHeight="1" x14ac:dyDescent="0.2">
      <c r="A35" s="1871" t="s">
        <v>1392</v>
      </c>
      <c r="B35" s="1872"/>
      <c r="C35" s="2314"/>
      <c r="D35" s="2314"/>
      <c r="E35" s="2314"/>
      <c r="F35" s="2315"/>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00"/>
      <c r="B38" s="2301"/>
      <c r="C38" s="2301"/>
      <c r="D38" s="2301"/>
      <c r="E38" s="2301"/>
      <c r="F38" s="2302"/>
    </row>
    <row r="39" spans="1:11" ht="4.5" hidden="1" customHeight="1" x14ac:dyDescent="0.2">
      <c r="A39" s="1873"/>
      <c r="B39" s="1873"/>
      <c r="C39" s="1873"/>
      <c r="D39" s="1873"/>
      <c r="E39" s="1873"/>
      <c r="F39" s="1873"/>
    </row>
    <row r="40" spans="1:11" s="1870" customFormat="1" ht="12" customHeight="1" x14ac:dyDescent="0.25">
      <c r="A40" s="1874" t="s">
        <v>1391</v>
      </c>
      <c r="B40" s="1875"/>
      <c r="C40" s="2303"/>
      <c r="D40" s="2303"/>
      <c r="E40" s="2303"/>
      <c r="F40" s="2304"/>
      <c r="H40" s="1879"/>
      <c r="I40" s="1879"/>
      <c r="J40" s="1879"/>
      <c r="K40" s="1879"/>
    </row>
    <row r="41" spans="1:11" s="1870" customFormat="1" ht="12" customHeight="1" x14ac:dyDescent="0.25">
      <c r="A41" s="2305"/>
      <c r="B41" s="2306"/>
      <c r="C41" s="2306"/>
      <c r="D41" s="2306"/>
      <c r="E41" s="2306"/>
      <c r="F41" s="2307"/>
      <c r="H41" s="1879"/>
      <c r="I41" s="1879"/>
      <c r="J41" s="1879"/>
      <c r="K41" s="1879"/>
    </row>
    <row r="42" spans="1:11" s="1870" customFormat="1" ht="12" customHeight="1" x14ac:dyDescent="0.25">
      <c r="A42" s="2305"/>
      <c r="B42" s="2306"/>
      <c r="C42" s="2306"/>
      <c r="D42" s="2306"/>
      <c r="E42" s="2306"/>
      <c r="F42" s="2307"/>
      <c r="H42" s="1879"/>
      <c r="I42" s="1879"/>
      <c r="J42" s="1879"/>
      <c r="K42" s="1879"/>
    </row>
    <row r="43" spans="1:11" s="1870" customFormat="1" ht="15" x14ac:dyDescent="0.25">
      <c r="A43" s="2294"/>
      <c r="B43" s="2295"/>
      <c r="C43" s="2295"/>
      <c r="D43" s="2295"/>
      <c r="E43" s="2295"/>
      <c r="F43" s="2296"/>
      <c r="H43" s="1879"/>
      <c r="I43" s="1879"/>
      <c r="J43" s="1879"/>
      <c r="K43" s="1879"/>
    </row>
    <row r="44" spans="1:11" s="1870" customFormat="1" ht="12" hidden="1" customHeight="1" x14ac:dyDescent="0.25">
      <c r="A44" s="2294"/>
      <c r="B44" s="2295"/>
      <c r="C44" s="2295"/>
      <c r="D44" s="2295"/>
      <c r="E44" s="2295"/>
      <c r="F44" s="229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E16" sqref="E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1" t="str">
        <f>COVER!A17</f>
        <v>Mt Vernon Area Voc Center</v>
      </c>
      <c r="J6" s="2322"/>
      <c r="Q6" s="1664"/>
    </row>
    <row r="7" spans="1:17" x14ac:dyDescent="0.2">
      <c r="A7" s="2323" t="s">
        <v>869</v>
      </c>
      <c r="B7" s="2324"/>
      <c r="C7" s="2324"/>
      <c r="D7" s="2324"/>
      <c r="E7" s="2325"/>
      <c r="F7" s="1017"/>
      <c r="G7" s="1009"/>
      <c r="H7" s="1016" t="s">
        <v>372</v>
      </c>
      <c r="I7" s="2326">
        <f>COVER!A13</f>
        <v>13000000041</v>
      </c>
      <c r="J7" s="232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7" t="s">
        <v>481</v>
      </c>
      <c r="B11" s="2328"/>
      <c r="C11" s="232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0" t="s">
        <v>7</v>
      </c>
      <c r="C18" s="2331"/>
      <c r="D18" s="2332"/>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0</v>
      </c>
      <c r="F19" s="1813">
        <f t="shared" si="2"/>
        <v>0</v>
      </c>
      <c r="G19" s="1813">
        <f t="shared" si="2"/>
        <v>0</v>
      </c>
      <c r="H19" s="1813">
        <f t="shared" si="2"/>
        <v>0</v>
      </c>
      <c r="I19" s="1813">
        <f t="shared" si="2"/>
        <v>0</v>
      </c>
      <c r="J19" s="1813">
        <f t="shared" si="2"/>
        <v>0</v>
      </c>
    </row>
    <row r="20" spans="1:10" ht="13.5" thickTop="1" x14ac:dyDescent="0.2">
      <c r="A20" s="1035">
        <v>9</v>
      </c>
      <c r="B20" s="2333" t="s">
        <v>1978</v>
      </c>
      <c r="C20" s="2333"/>
      <c r="D20" s="2334"/>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1033</v>
      </c>
      <c r="D27" s="1052"/>
      <c r="E27" s="1053"/>
      <c r="F27" s="2335" t="s">
        <v>1509</v>
      </c>
      <c r="G27" s="2335"/>
    </row>
    <row r="28" spans="1:10" ht="28.5" customHeight="1" x14ac:dyDescent="0.2">
      <c r="B28" s="1047"/>
      <c r="C28" s="2337"/>
      <c r="D28" s="2337"/>
      <c r="E28" s="1054"/>
      <c r="F28" s="2337"/>
      <c r="G28" s="2337"/>
    </row>
    <row r="29" spans="1:10" x14ac:dyDescent="0.2">
      <c r="B29" s="1047"/>
      <c r="C29" s="1055" t="s">
        <v>1561</v>
      </c>
      <c r="E29" s="1056"/>
      <c r="F29" s="2336" t="s">
        <v>1510</v>
      </c>
      <c r="G29" s="233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1980</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882</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82" zoomScaleNormal="82" workbookViewId="0">
      <selection activeCell="G31" sqref="G3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Mt Vernon Area Voc Center</v>
      </c>
    </row>
    <row r="65" spans="2:2" x14ac:dyDescent="0.2">
      <c r="B65" s="1070">
        <f>COVER!A13</f>
        <v>13000000041</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1857</v>
      </c>
      <c r="C4" s="162" t="s">
        <v>1169</v>
      </c>
      <c r="D4" s="169" t="s">
        <v>10</v>
      </c>
      <c r="E4" s="170" t="s">
        <v>22</v>
      </c>
    </row>
    <row r="5" spans="1:5" x14ac:dyDescent="0.2">
      <c r="A5" s="168" t="s">
        <v>1859</v>
      </c>
      <c r="C5" s="162" t="s">
        <v>1169</v>
      </c>
      <c r="D5" s="169" t="s">
        <v>10</v>
      </c>
      <c r="E5" s="170" t="s">
        <v>22</v>
      </c>
    </row>
    <row r="6" spans="1:5" x14ac:dyDescent="0.2">
      <c r="A6" s="168" t="s">
        <v>1858</v>
      </c>
      <c r="C6" s="162" t="s">
        <v>1169</v>
      </c>
      <c r="D6" s="167" t="s">
        <v>11</v>
      </c>
      <c r="E6" s="170" t="s">
        <v>941</v>
      </c>
    </row>
    <row r="7" spans="1:5" x14ac:dyDescent="0.2">
      <c r="A7" s="168" t="s">
        <v>1860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1861</v>
      </c>
      <c r="C11" s="162" t="s">
        <v>1169</v>
      </c>
      <c r="D11" s="169" t="s">
        <v>14</v>
      </c>
      <c r="E11" s="170" t="s">
        <v>1156</v>
      </c>
    </row>
    <row r="12" spans="1:5" x14ac:dyDescent="0.2">
      <c r="B12" s="169" t="s">
        <v>1862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1863</v>
      </c>
      <c r="C15" s="162" t="s">
        <v>1169</v>
      </c>
      <c r="D15" s="169" t="s">
        <v>17</v>
      </c>
      <c r="E15" s="170" t="s">
        <v>636</v>
      </c>
    </row>
    <row r="16" spans="1:5" x14ac:dyDescent="0.2">
      <c r="A16" s="172"/>
      <c r="B16" s="162" t="s">
        <v>1864</v>
      </c>
      <c r="C16" s="162" t="s">
        <v>1169</v>
      </c>
      <c r="D16" s="169" t="s">
        <v>681</v>
      </c>
      <c r="E16" s="170" t="s">
        <v>1040</v>
      </c>
    </row>
    <row r="17" spans="1:5" x14ac:dyDescent="0.2">
      <c r="B17" s="167" t="s">
        <v>988</v>
      </c>
      <c r="C17" s="162" t="s">
        <v>1169</v>
      </c>
    </row>
    <row r="18" spans="1:5" x14ac:dyDescent="0.2">
      <c r="B18" s="167" t="s">
        <v>1870</v>
      </c>
      <c r="D18" s="169" t="s">
        <v>18</v>
      </c>
      <c r="E18" s="170" t="s">
        <v>1041</v>
      </c>
    </row>
    <row r="19" spans="1:5" x14ac:dyDescent="0.2">
      <c r="A19" s="168" t="s">
        <v>1099</v>
      </c>
      <c r="C19" s="162" t="s">
        <v>1169</v>
      </c>
      <c r="D19" s="169"/>
      <c r="E19" s="171"/>
    </row>
    <row r="20" spans="1:5" x14ac:dyDescent="0.2">
      <c r="B20" s="167" t="s">
        <v>1865</v>
      </c>
      <c r="C20" s="162" t="s">
        <v>1169</v>
      </c>
      <c r="D20" s="169" t="s">
        <v>19</v>
      </c>
      <c r="E20" s="170" t="s">
        <v>51</v>
      </c>
    </row>
    <row r="21" spans="1:5" x14ac:dyDescent="0.2">
      <c r="B21" s="167" t="s">
        <v>1866</v>
      </c>
      <c r="C21" s="162" t="s">
        <v>1169</v>
      </c>
      <c r="D21" s="169" t="s">
        <v>20</v>
      </c>
      <c r="E21" s="170" t="s">
        <v>1610</v>
      </c>
    </row>
    <row r="22" spans="1:5" x14ac:dyDescent="0.2">
      <c r="A22" s="168"/>
      <c r="B22" s="162" t="s">
        <v>1854</v>
      </c>
      <c r="C22" s="162" t="s">
        <v>1169</v>
      </c>
      <c r="D22" s="167" t="s">
        <v>1856</v>
      </c>
      <c r="E22" s="1836" t="s">
        <v>1611</v>
      </c>
    </row>
    <row r="23" spans="1:5" x14ac:dyDescent="0.2">
      <c r="A23" s="168"/>
      <c r="B23" s="162" t="s">
        <v>1855</v>
      </c>
      <c r="D23" s="167" t="s">
        <v>637</v>
      </c>
      <c r="E23" s="1836" t="s">
        <v>959</v>
      </c>
    </row>
    <row r="24" spans="1:5" x14ac:dyDescent="0.2">
      <c r="A24" s="168" t="s">
        <v>1609</v>
      </c>
      <c r="C24" s="162" t="s">
        <v>1169</v>
      </c>
      <c r="D24" s="167" t="s">
        <v>1393</v>
      </c>
      <c r="E24" s="170" t="s">
        <v>960</v>
      </c>
    </row>
    <row r="25" spans="1:5" x14ac:dyDescent="0.2">
      <c r="A25" s="168" t="s">
        <v>1867</v>
      </c>
      <c r="C25" s="162" t="s">
        <v>1169</v>
      </c>
      <c r="D25" s="169" t="s">
        <v>21</v>
      </c>
      <c r="E25" s="170" t="s">
        <v>1042</v>
      </c>
    </row>
    <row r="26" spans="1:5" x14ac:dyDescent="0.2">
      <c r="A26" s="168" t="s">
        <v>1868</v>
      </c>
      <c r="C26" s="162" t="s">
        <v>1169</v>
      </c>
      <c r="D26" s="169" t="s">
        <v>563</v>
      </c>
      <c r="E26" s="170" t="s">
        <v>1043</v>
      </c>
    </row>
    <row r="27" spans="1:5" x14ac:dyDescent="0.2">
      <c r="A27" s="168" t="s">
        <v>1869</v>
      </c>
      <c r="C27" s="162" t="s">
        <v>1169</v>
      </c>
      <c r="D27" s="169" t="s">
        <v>557</v>
      </c>
      <c r="E27" s="170" t="s">
        <v>683</v>
      </c>
    </row>
    <row r="28" spans="1:5" x14ac:dyDescent="0.2">
      <c r="A28" s="168" t="s">
        <v>1871</v>
      </c>
      <c r="D28" s="169" t="s">
        <v>684</v>
      </c>
      <c r="E28" s="170" t="s">
        <v>1366</v>
      </c>
    </row>
    <row r="29" spans="1:5" x14ac:dyDescent="0.2">
      <c r="A29" s="168" t="s">
        <v>1872</v>
      </c>
      <c r="D29" s="169" t="s">
        <v>1394</v>
      </c>
      <c r="E29" s="170" t="s">
        <v>1375</v>
      </c>
    </row>
    <row r="30" spans="1:5" x14ac:dyDescent="0.2">
      <c r="A30" s="173" t="s">
        <v>1873</v>
      </c>
      <c r="C30" s="162" t="s">
        <v>1169</v>
      </c>
      <c r="D30" s="169" t="s">
        <v>40</v>
      </c>
      <c r="E30" s="170" t="s">
        <v>982</v>
      </c>
    </row>
    <row r="31" spans="1:5" x14ac:dyDescent="0.2">
      <c r="A31" s="168" t="s">
        <v>1521</v>
      </c>
      <c r="C31" s="162" t="s">
        <v>1169</v>
      </c>
      <c r="D31" s="167"/>
      <c r="E31" s="171"/>
    </row>
    <row r="32" spans="1:5" x14ac:dyDescent="0.2">
      <c r="B32" s="167" t="s">
        <v>1874</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7" t="s">
        <v>1065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691</v>
      </c>
      <c r="B40" s="2054"/>
      <c r="C40" s="2054"/>
      <c r="D40" s="2054"/>
      <c r="E40" s="2054"/>
    </row>
    <row r="41" spans="1:5" x14ac:dyDescent="0.2">
      <c r="A41" s="2055" t="s">
        <v>1608</v>
      </c>
      <c r="B41" s="2055"/>
      <c r="C41" s="2055"/>
      <c r="D41" s="2055"/>
      <c r="E41" s="2055"/>
    </row>
    <row r="42" spans="1:5" ht="12.75" customHeight="1" x14ac:dyDescent="0.2">
      <c r="A42" s="2056" t="s">
        <v>1022</v>
      </c>
      <c r="B42" s="2056"/>
      <c r="C42" s="2056"/>
      <c r="D42" s="2056"/>
      <c r="E42" s="2056"/>
    </row>
    <row r="43" spans="1:5" ht="6.75" customHeight="1" x14ac:dyDescent="0.2">
      <c r="A43" s="167"/>
      <c r="B43" s="176"/>
    </row>
    <row r="44" spans="1:5" x14ac:dyDescent="0.2">
      <c r="A44" s="185" t="s">
        <v>983</v>
      </c>
      <c r="B44" s="186" t="s">
        <v>1900</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1616</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1619</v>
      </c>
    </row>
    <row r="72" spans="1:9" ht="9" customHeight="1" x14ac:dyDescent="0.2">
      <c r="A72" s="192"/>
      <c r="B72" s="199"/>
    </row>
    <row r="73" spans="1:9" x14ac:dyDescent="0.2">
      <c r="A73" s="189" t="s">
        <v>1620</v>
      </c>
      <c r="B73" s="169" t="s">
        <v>1783</v>
      </c>
    </row>
    <row r="74" spans="1:9" x14ac:dyDescent="0.2">
      <c r="A74" s="189"/>
      <c r="B74" s="169" t="s">
        <v>1782</v>
      </c>
    </row>
    <row r="75" spans="1:9" ht="8.25" customHeight="1" x14ac:dyDescent="0.2">
      <c r="A75" s="189"/>
      <c r="B75" s="189"/>
    </row>
    <row r="76" spans="1:9" ht="12.2" customHeight="1" x14ac:dyDescent="0.2">
      <c r="A76" s="189" t="s">
        <v>1621</v>
      </c>
      <c r="B76" s="198" t="s">
        <v>1784</v>
      </c>
    </row>
    <row r="77" spans="1:9" ht="12.2" customHeight="1" x14ac:dyDescent="0.2">
      <c r="A77" s="190"/>
      <c r="B77" s="169" t="s">
        <v>1622</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82" zoomScaleNormal="82" workbookViewId="0">
      <selection activeCell="G31" sqref="G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22" orientation="portrait" useFirstPageNumber="1" r:id="rId1"/>
  <headerFooter alignWithMargins="0">
    <oddHeader>&amp;L&amp;8Page 22&amp;R&amp;8Page 22</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2" sqref="E1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0" t="s">
        <v>1685</v>
      </c>
      <c r="B18" s="234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2" r:id="rId6">
          <objectPr defaultSize="0" r:id="rId7">
            <anchor moveWithCells="1">
              <from>
                <xdr:col>1</xdr:col>
                <xdr:colOff>1181100</xdr:colOff>
                <xdr:row>3</xdr:row>
                <xdr:rowOff>142875</xdr:rowOff>
              </from>
              <to>
                <xdr:col>1</xdr:col>
                <xdr:colOff>2095500</xdr:colOff>
                <xdr:row>8</xdr:row>
                <xdr:rowOff>19050</xdr:rowOff>
              </to>
            </anchor>
          </objectPr>
        </oleObject>
      </mc:Choice>
      <mc:Fallback>
        <oleObject progId="Acrobat Document" dvAspect="DVASPECT_ICON" shapeId="51202" r:id="rId6"/>
      </mc:Fallback>
    </mc:AlternateContent>
    <mc:AlternateContent xmlns:mc="http://schemas.openxmlformats.org/markup-compatibility/2006">
      <mc:Choice Requires="x14">
        <oleObject progId="Acrobat Document" dvAspect="DVASPECT_ICON" shapeId="51203" r:id="rId8">
          <objectPr defaultSize="0" r:id="rId9">
            <anchor moveWithCells="1">
              <from>
                <xdr:col>1</xdr:col>
                <xdr:colOff>2276475</xdr:colOff>
                <xdr:row>3</xdr:row>
                <xdr:rowOff>142875</xdr:rowOff>
              </from>
              <to>
                <xdr:col>1</xdr:col>
                <xdr:colOff>3190875</xdr:colOff>
                <xdr:row>8</xdr:row>
                <xdr:rowOff>19050</xdr:rowOff>
              </to>
            </anchor>
          </objectPr>
        </oleObject>
      </mc:Choice>
      <mc:Fallback>
        <oleObject progId="Acrobat Document" dvAspect="DVASPECT_ICON" shapeId="51203" r:id="rId8"/>
      </mc:Fallback>
    </mc:AlternateContent>
    <mc:AlternateContent xmlns:mc="http://schemas.openxmlformats.org/markup-compatibility/2006">
      <mc:Choice Requires="x14">
        <oleObject progId="Acrobat Document" dvAspect="DVASPECT_ICON" shapeId="51204" r:id="rId10">
          <objectPr defaultSize="0" r:id="rId11">
            <anchor moveWithCells="1">
              <from>
                <xdr:col>1</xdr:col>
                <xdr:colOff>3400425</xdr:colOff>
                <xdr:row>4</xdr:row>
                <xdr:rowOff>0</xdr:rowOff>
              </from>
              <to>
                <xdr:col>2</xdr:col>
                <xdr:colOff>323850</xdr:colOff>
                <xdr:row>8</xdr:row>
                <xdr:rowOff>38100</xdr:rowOff>
              </to>
            </anchor>
          </objectPr>
        </oleObject>
      </mc:Choice>
      <mc:Fallback>
        <oleObject progId="Acrobat Document" dvAspect="DVASPECT_ICON" shapeId="5120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6" zoomScaleNormal="100" workbookViewId="0">
      <selection activeCell="G31" sqref="G3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1984</v>
      </c>
      <c r="B2" s="2352"/>
      <c r="C2" s="2352"/>
      <c r="D2" s="2352"/>
      <c r="E2" s="2352"/>
      <c r="F2" s="2353"/>
      <c r="G2" s="1074"/>
      <c r="H2" s="1074"/>
    </row>
    <row r="3" spans="1:8" ht="57" customHeight="1" x14ac:dyDescent="0.2">
      <c r="A3" s="2354" t="s">
        <v>1686</v>
      </c>
      <c r="B3" s="2355"/>
      <c r="C3" s="2355"/>
      <c r="D3" s="2355"/>
      <c r="E3" s="2355"/>
      <c r="F3" s="2356"/>
      <c r="G3" s="1074"/>
      <c r="H3" s="1074"/>
    </row>
    <row r="4" spans="1:8" ht="14.25" customHeight="1" x14ac:dyDescent="0.2">
      <c r="A4" s="2360" t="s">
        <v>1985</v>
      </c>
      <c r="B4" s="2361"/>
      <c r="C4" s="2361"/>
      <c r="D4" s="2361"/>
      <c r="E4" s="2361"/>
      <c r="F4" s="2362"/>
      <c r="G4" s="1074"/>
      <c r="H4" s="1074"/>
    </row>
    <row r="5" spans="1:8" ht="14.25" customHeight="1" x14ac:dyDescent="0.2">
      <c r="A5" s="2363" t="s">
        <v>1981</v>
      </c>
      <c r="B5" s="2364"/>
      <c r="C5" s="2364"/>
      <c r="D5" s="2364"/>
      <c r="E5" s="2364"/>
      <c r="F5" s="2365"/>
      <c r="G5" s="1074"/>
      <c r="H5" s="1074"/>
    </row>
    <row r="6" spans="1:8" s="1075" customFormat="1" ht="41.25" customHeight="1" x14ac:dyDescent="0.2">
      <c r="A6" s="2357" t="s">
        <v>1691</v>
      </c>
      <c r="B6" s="2358"/>
      <c r="C6" s="2358"/>
      <c r="D6" s="2358"/>
      <c r="E6" s="2358"/>
      <c r="F6" s="235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651430</v>
      </c>
      <c r="C8" s="1815">
        <f>'Acct Summary 7-8'!D8</f>
        <v>0</v>
      </c>
      <c r="D8" s="1815">
        <f>'Acct Summary 7-8'!F8</f>
        <v>0</v>
      </c>
      <c r="E8" s="1815">
        <f>'Acct Summary 7-8'!I8</f>
        <v>0</v>
      </c>
      <c r="F8" s="1815">
        <f>SUM(B8:E8)</f>
        <v>651430</v>
      </c>
    </row>
    <row r="9" spans="1:8" s="1079" customFormat="1" ht="14.25" customHeight="1" thickBot="1" x14ac:dyDescent="0.25">
      <c r="A9" s="1078" t="s">
        <v>1369</v>
      </c>
      <c r="B9" s="1816">
        <f>'Acct Summary 7-8'!C17</f>
        <v>476072</v>
      </c>
      <c r="C9" s="1816">
        <f>'Acct Summary 7-8'!D17</f>
        <v>0</v>
      </c>
      <c r="D9" s="1816">
        <f>'Acct Summary 7-8'!F17</f>
        <v>0</v>
      </c>
      <c r="E9" s="1815"/>
      <c r="F9" s="1815">
        <f>SUM(B9:E9)</f>
        <v>476072</v>
      </c>
    </row>
    <row r="10" spans="1:8" s="1079" customFormat="1" ht="14.25" thickTop="1" thickBot="1" x14ac:dyDescent="0.25">
      <c r="A10" s="1080" t="s">
        <v>1370</v>
      </c>
      <c r="B10" s="1817">
        <f>(B8-B9)</f>
        <v>175358</v>
      </c>
      <c r="C10" s="1817">
        <f>(C8-C9)</f>
        <v>0</v>
      </c>
      <c r="D10" s="1817">
        <f>(D8-D9)</f>
        <v>0</v>
      </c>
      <c r="E10" s="1816">
        <f>(E8-E9)</f>
        <v>0</v>
      </c>
      <c r="F10" s="1818">
        <f>SUM(F8-F9)</f>
        <v>175358</v>
      </c>
    </row>
    <row r="11" spans="1:8" s="1079" customFormat="1" ht="14.25" thickTop="1" thickBot="1" x14ac:dyDescent="0.25">
      <c r="A11" s="1081" t="s">
        <v>1982</v>
      </c>
      <c r="B11" s="1819">
        <f>'Acct Summary 7-8'!C81</f>
        <v>75199</v>
      </c>
      <c r="C11" s="1819">
        <f>'Acct Summary 7-8'!D81</f>
        <v>0</v>
      </c>
      <c r="D11" s="1819">
        <f>'Acct Summary 7-8'!F81</f>
        <v>0</v>
      </c>
      <c r="E11" s="1819">
        <f>'Acct Summary 7-8'!I81</f>
        <v>0</v>
      </c>
      <c r="F11" s="1820">
        <f>SUM(B11:E11)</f>
        <v>75199</v>
      </c>
    </row>
    <row r="12" spans="1:8" ht="16.5" customHeight="1" thickTop="1" x14ac:dyDescent="0.2">
      <c r="A12" s="1082"/>
      <c r="B12" s="1083"/>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4"/>
      <c r="B13" s="1085"/>
      <c r="C13" s="2345"/>
      <c r="D13" s="2346"/>
      <c r="E13" s="2346"/>
      <c r="F13" s="2347"/>
      <c r="H13" s="1074"/>
    </row>
    <row r="14" spans="1:8" ht="19.5" customHeight="1" x14ac:dyDescent="0.2">
      <c r="A14" s="1084"/>
      <c r="B14" s="1085"/>
      <c r="C14" s="2345"/>
      <c r="D14" s="2346"/>
      <c r="E14" s="2346"/>
      <c r="F14" s="2347"/>
      <c r="H14" s="1074"/>
    </row>
    <row r="15" spans="1:8" ht="17.25" customHeight="1" x14ac:dyDescent="0.2">
      <c r="A15" s="1084"/>
      <c r="B15" s="1085"/>
      <c r="C15" s="2348"/>
      <c r="D15" s="2349"/>
      <c r="E15" s="2349"/>
      <c r="F15" s="2350"/>
      <c r="H15" s="1074"/>
    </row>
    <row r="16" spans="1:8" s="310" customFormat="1" ht="51.75" hidden="1" customHeight="1" x14ac:dyDescent="0.2">
      <c r="A16" s="2344" t="s">
        <v>1687</v>
      </c>
      <c r="B16" s="2344"/>
      <c r="C16" s="2344"/>
      <c r="D16" s="2344"/>
      <c r="E16" s="234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23&amp;R&amp;8Page 23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20" colorId="8" zoomScale="110" zoomScaleNormal="110" workbookViewId="0">
      <selection activeCell="D80" sqref="D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6" t="s">
        <v>665</v>
      </c>
      <c r="B3" s="2367"/>
      <c r="C3" s="2367"/>
      <c r="D3" s="2368"/>
    </row>
    <row r="4" spans="1:4" x14ac:dyDescent="0.2">
      <c r="A4" s="1152" t="s">
        <v>1692</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7" t="s">
        <v>1504</v>
      </c>
      <c r="D7" s="2378"/>
    </row>
    <row r="8" spans="1:4" s="668" customFormat="1" ht="12.75" x14ac:dyDescent="0.2">
      <c r="A8" s="1138"/>
      <c r="B8" s="1093"/>
      <c r="C8" s="1096" t="s">
        <v>1503</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9" t="s">
        <v>1008</v>
      </c>
      <c r="B15" s="2370"/>
      <c r="C15" s="2370"/>
      <c r="D15" s="2371"/>
    </row>
    <row r="16" spans="1:4" s="668" customFormat="1" ht="24" customHeight="1" x14ac:dyDescent="0.2">
      <c r="A16" s="2372" t="s">
        <v>663</v>
      </c>
      <c r="B16" s="2373"/>
      <c r="C16" s="2373"/>
      <c r="D16" s="237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1" t="s">
        <v>314</v>
      </c>
      <c r="D21" s="2382"/>
    </row>
    <row r="22" spans="1:10" ht="12.75" x14ac:dyDescent="0.2">
      <c r="A22" s="1139"/>
      <c r="B22" s="1140">
        <v>2</v>
      </c>
      <c r="C22" s="2379" t="s">
        <v>1524</v>
      </c>
      <c r="D22" s="238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3" t="s">
        <v>536</v>
      </c>
      <c r="D43" s="238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5" t="s">
        <v>784</v>
      </c>
      <c r="D56" s="237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1021</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OK</v>
      </c>
    </row>
    <row r="70" spans="1:4" x14ac:dyDescent="0.2">
      <c r="A70" s="1098"/>
      <c r="B70" s="1120">
        <f>B66+1</f>
        <v>9</v>
      </c>
      <c r="C70" s="2375" t="s">
        <v>1696</v>
      </c>
      <c r="D70" s="237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29'!D142&gt;0,"OK","PLEASE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13000000041</v>
      </c>
    </row>
    <row r="3" spans="1:2" x14ac:dyDescent="0.2">
      <c r="A3" t="s">
        <v>956</v>
      </c>
      <c r="B3" s="138" t="str">
        <f>COVER!A15</f>
        <v>Jefferson</v>
      </c>
    </row>
    <row r="4" spans="1:2" x14ac:dyDescent="0.2">
      <c r="A4" t="s">
        <v>1007</v>
      </c>
      <c r="B4" s="138" t="str">
        <f>COVER!A17</f>
        <v>Mt Vernon Area Voc Center</v>
      </c>
    </row>
    <row r="5" spans="1:2" x14ac:dyDescent="0.2">
      <c r="A5" t="s">
        <v>704</v>
      </c>
      <c r="B5" s="138" t="str">
        <f>COVER!A38</f>
        <v>Kara Andrews</v>
      </c>
    </row>
    <row r="6" spans="1:2" x14ac:dyDescent="0.2">
      <c r="A6" t="s">
        <v>709</v>
      </c>
      <c r="B6" s="138">
        <f>COVER!P35</f>
        <v>0</v>
      </c>
    </row>
    <row r="7" spans="1:2" x14ac:dyDescent="0.2">
      <c r="A7" t="s">
        <v>705</v>
      </c>
      <c r="B7" s="138">
        <f>COVER!I38</f>
        <v>0</v>
      </c>
    </row>
    <row r="8" spans="1:2" x14ac:dyDescent="0.2">
      <c r="A8" t="s">
        <v>706</v>
      </c>
      <c r="B8" s="138" t="str">
        <f>COVER!T38</f>
        <v>Ron Daniels</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060-004252</v>
      </c>
    </row>
    <row r="16" spans="1:2" x14ac:dyDescent="0.2">
      <c r="A16" t="s">
        <v>422</v>
      </c>
      <c r="B16" s="138" t="str">
        <f>COVER!T13</f>
        <v>Emling &amp; Hoffman, PC</v>
      </c>
    </row>
    <row r="17" spans="1:2" x14ac:dyDescent="0.2">
      <c r="A17" t="s">
        <v>884</v>
      </c>
      <c r="B17" s="138" t="str">
        <f>COVER!T15</f>
        <v>Donald L Hoffman</v>
      </c>
    </row>
    <row r="18" spans="1:2" x14ac:dyDescent="0.2">
      <c r="A18" t="s">
        <v>1150</v>
      </c>
      <c r="B18" s="138" t="str">
        <f>COVER!T17</f>
        <v>1191 West Saint Louis Street</v>
      </c>
    </row>
    <row r="19" spans="1:2" x14ac:dyDescent="0.2">
      <c r="A19" t="s">
        <v>886</v>
      </c>
      <c r="B19" s="138" t="str">
        <f>COVER!T25</f>
        <v>donhoffman@emlingcpa.com</v>
      </c>
    </row>
    <row r="20" spans="1:2" x14ac:dyDescent="0.2">
      <c r="A20" t="s">
        <v>887</v>
      </c>
      <c r="B20" s="138" t="str">
        <f>COVER!T19</f>
        <v xml:space="preserve">Nashville </v>
      </c>
    </row>
    <row r="21" spans="1:2" x14ac:dyDescent="0.2">
      <c r="A21" t="s">
        <v>479</v>
      </c>
      <c r="B21" s="138" t="str">
        <f>COVER!X19</f>
        <v>IL</v>
      </c>
    </row>
    <row r="22" spans="1:2" x14ac:dyDescent="0.2">
      <c r="A22" t="s">
        <v>888</v>
      </c>
      <c r="B22" s="138">
        <f>COVER!Z19</f>
        <v>62263</v>
      </c>
    </row>
    <row r="23" spans="1:2" x14ac:dyDescent="0.2">
      <c r="A23" t="s">
        <v>1152</v>
      </c>
      <c r="B23" s="138" t="str">
        <f>COVER!T21</f>
        <v>618-327-4375</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130889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55690</v>
      </c>
      <c r="C91" s="2" t="s">
        <v>573</v>
      </c>
      <c r="D91" s="2" t="str">
        <f t="shared" si="0"/>
        <v>Error?</v>
      </c>
    </row>
    <row r="92" spans="1:4" x14ac:dyDescent="0.2">
      <c r="A92" s="5">
        <v>31</v>
      </c>
      <c r="B92" s="138">
        <f>'Assets-Liab 5-6'!C39</f>
        <v>75199</v>
      </c>
      <c r="D92" s="2" t="str">
        <f t="shared" si="0"/>
        <v>Error?</v>
      </c>
    </row>
    <row r="93" spans="1:4" x14ac:dyDescent="0.2">
      <c r="A93" s="5">
        <v>32</v>
      </c>
      <c r="B93" s="138">
        <f>'Assets-Liab 5-6'!C41</f>
        <v>130889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253270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253270</v>
      </c>
      <c r="C279" s="2" t="s">
        <v>573</v>
      </c>
      <c r="D279" s="2" t="str">
        <f t="shared" si="3"/>
        <v>Error?</v>
      </c>
    </row>
    <row r="280" spans="1:4" x14ac:dyDescent="0.2">
      <c r="A280" s="5">
        <v>219</v>
      </c>
      <c r="B280" s="138">
        <f>'Assets-Liab 5-6'!M40</f>
        <v>253270</v>
      </c>
      <c r="D280" s="2" t="str">
        <f t="shared" si="3"/>
        <v>Error?</v>
      </c>
    </row>
    <row r="281" spans="1:4" x14ac:dyDescent="0.2">
      <c r="A281" s="5">
        <v>220</v>
      </c>
      <c r="B281" s="138">
        <f>'Assets-Liab 5-6'!M41</f>
        <v>253270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336046</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336046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336046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55807</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55807</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55807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8638</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8638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0</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8638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57353</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57353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57353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18228</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18228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18228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476072</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476072</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0</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0</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0</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476072</v>
      </c>
      <c r="C1152" s="2" t="s">
        <v>573</v>
      </c>
      <c r="D1152" s="2" t="str">
        <f t="shared" si="17"/>
        <v>Error?</v>
      </c>
    </row>
    <row r="1153" spans="1:4" x14ac:dyDescent="0.2">
      <c r="A1153" s="5">
        <v>1092</v>
      </c>
      <c r="B1153" s="138">
        <f>'Expenditures 15-22'!K115</f>
        <v>175358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-100159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75199</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199646</v>
      </c>
      <c r="D2011" s="2" t="str">
        <f t="shared" si="30"/>
        <v>Error?</v>
      </c>
    </row>
    <row r="2012" spans="1:4" x14ac:dyDescent="0.2">
      <c r="A2012" s="5">
        <v>1951</v>
      </c>
      <c r="B2012" s="138">
        <f>'Cap Outlay Deprec 26'!C13</f>
        <v>35396</v>
      </c>
      <c r="D2012" s="2" t="str">
        <f t="shared" si="30"/>
        <v>Error?</v>
      </c>
    </row>
    <row r="2013" spans="1:4" x14ac:dyDescent="0.2">
      <c r="A2013" s="5">
        <v>1952</v>
      </c>
      <c r="B2013" s="138">
        <f>'Cap Outlay Deprec 26'!C16</f>
        <v>235042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18228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18228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217874</v>
      </c>
      <c r="C2029" s="2" t="s">
        <v>573</v>
      </c>
      <c r="D2029" s="2" t="str">
        <f t="shared" si="30"/>
        <v>Error?</v>
      </c>
    </row>
    <row r="2030" spans="1:4" x14ac:dyDescent="0.2">
      <c r="A2030" s="5">
        <v>1969</v>
      </c>
      <c r="B2030" s="138">
        <f>'Cap Outlay Deprec 26'!F13</f>
        <v>35396</v>
      </c>
      <c r="C2030" s="2" t="s">
        <v>573</v>
      </c>
      <c r="D2030" s="2" t="str">
        <f t="shared" si="30"/>
        <v>Error?</v>
      </c>
    </row>
    <row r="2031" spans="1:4" x14ac:dyDescent="0.2">
      <c r="A2031" s="5">
        <v>1970</v>
      </c>
      <c r="B2031" s="138">
        <f>'Cap Outlay Deprec 26'!F16</f>
        <v>253270</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103659</v>
      </c>
      <c r="D2035" s="2" t="str">
        <f t="shared" si="30"/>
        <v>Error?</v>
      </c>
    </row>
    <row r="2036" spans="1:4" x14ac:dyDescent="0.2">
      <c r="A2036" s="5">
        <v>1975</v>
      </c>
      <c r="B2036" s="138">
        <f>'Cap Outlay Deprec 26'!H13</f>
        <v>31856</v>
      </c>
      <c r="D2036" s="2" t="str">
        <f t="shared" si="30"/>
        <v>Error?</v>
      </c>
    </row>
    <row r="2037" spans="1:4" x14ac:dyDescent="0.2">
      <c r="A2037" s="5">
        <v>1976</v>
      </c>
      <c r="B2037" s="138">
        <f>'Cap Outlay Deprec 26'!H16</f>
        <v>135515</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14935</v>
      </c>
      <c r="D2041" s="2" t="str">
        <f t="shared" si="30"/>
        <v>Error?</v>
      </c>
    </row>
    <row r="2042" spans="1:4" x14ac:dyDescent="0.2">
      <c r="A2042" s="5">
        <v>1981</v>
      </c>
      <c r="B2042" s="138">
        <f>'Cap Outlay Deprec 26'!I13</f>
        <v>3540</v>
      </c>
      <c r="D2042" s="2" t="str">
        <f t="shared" si="30"/>
        <v>Error?</v>
      </c>
    </row>
    <row r="2043" spans="1:4" x14ac:dyDescent="0.2">
      <c r="A2043" s="5">
        <v>1982</v>
      </c>
      <c r="B2043" s="138">
        <f>'Cap Outlay Deprec 26'!I16</f>
        <v>18475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118594</v>
      </c>
      <c r="C2053" s="2" t="s">
        <v>573</v>
      </c>
      <c r="D2053" s="2" t="str">
        <f t="shared" si="31"/>
        <v>Error?</v>
      </c>
    </row>
    <row r="2054" spans="1:4" x14ac:dyDescent="0.2">
      <c r="A2054" s="5">
        <v>1993</v>
      </c>
      <c r="B2054" s="138">
        <f>'Cap Outlay Deprec 26'!K13</f>
        <v>35396</v>
      </c>
      <c r="C2054" s="2" t="s">
        <v>573</v>
      </c>
      <c r="D2054" s="2" t="str">
        <f t="shared" si="31"/>
        <v>Error?</v>
      </c>
    </row>
    <row r="2055" spans="1:4" x14ac:dyDescent="0.2">
      <c r="A2055" s="5">
        <v>1994</v>
      </c>
      <c r="B2055" s="138">
        <f>'Cap Outlay Deprec 26'!K16</f>
        <v>153990</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99280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99280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501194</v>
      </c>
      <c r="C2551" s="2" t="s">
        <v>573</v>
      </c>
      <c r="D2551" s="2" t="str">
        <f t="shared" si="38"/>
        <v>Error?</v>
      </c>
    </row>
    <row r="2552" spans="1:4" x14ac:dyDescent="0.2">
      <c r="A2552" s="10">
        <v>2491</v>
      </c>
      <c r="D2552" s="2" t="str">
        <f t="shared" si="38"/>
        <v>OK</v>
      </c>
    </row>
    <row r="2553" spans="1:4" x14ac:dyDescent="0.2">
      <c r="A2553" s="5">
        <v>2492</v>
      </c>
      <c r="B2553" s="138">
        <f>'Acct Summary 7-8'!C6</f>
        <v>131197</v>
      </c>
      <c r="C2553" s="2" t="s">
        <v>573</v>
      </c>
      <c r="D2553" s="2" t="str">
        <f t="shared" si="38"/>
        <v>Error?</v>
      </c>
    </row>
    <row r="2554" spans="1:4" x14ac:dyDescent="0.2">
      <c r="A2554" s="5">
        <v>2493</v>
      </c>
      <c r="B2554" s="138">
        <f>'Acct Summary 7-8'!C7</f>
        <v>19039</v>
      </c>
      <c r="C2554" s="2" t="s">
        <v>573</v>
      </c>
      <c r="D2554" s="2" t="str">
        <f t="shared" si="38"/>
        <v>Error?</v>
      </c>
    </row>
    <row r="2555" spans="1:4" x14ac:dyDescent="0.2">
      <c r="A2555" s="5">
        <v>2494</v>
      </c>
      <c r="B2555" s="138">
        <f>'Acct Summary 7-8'!C8</f>
        <v>651430</v>
      </c>
      <c r="C2555" s="2" t="s">
        <v>573</v>
      </c>
      <c r="D2555" s="2" t="str">
        <f t="shared" si="38"/>
        <v>Error?</v>
      </c>
    </row>
    <row r="2556" spans="1:4" x14ac:dyDescent="0.2">
      <c r="A2556" s="5">
        <v>2495</v>
      </c>
      <c r="B2556" s="138">
        <f>'Acct Summary 7-8'!C12</f>
        <v>476072</v>
      </c>
      <c r="C2556" s="2" t="s">
        <v>573</v>
      </c>
      <c r="D2556" s="2" t="str">
        <f t="shared" si="38"/>
        <v>Error?</v>
      </c>
    </row>
    <row r="2557" spans="1:4" x14ac:dyDescent="0.2">
      <c r="A2557" s="5">
        <v>2496</v>
      </c>
      <c r="B2557" s="138">
        <f>'Acct Summary 7-8'!C13</f>
        <v>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476072</v>
      </c>
      <c r="C2561" s="2" t="s">
        <v>573</v>
      </c>
      <c r="D2561" s="2" t="str">
        <f t="shared" si="39"/>
        <v>Error?</v>
      </c>
    </row>
    <row r="2562" spans="1:4" x14ac:dyDescent="0.2">
      <c r="A2562" s="5">
        <v>2501</v>
      </c>
      <c r="B2562" s="138">
        <f>'Acct Summary 7-8'!C20</f>
        <v>175358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175358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130889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651430</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476072</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75199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19039</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499577</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499577</v>
      </c>
      <c r="C5087" s="2" t="s">
        <v>573</v>
      </c>
      <c r="D5087" s="2" t="str">
        <f t="shared" si="78"/>
        <v>Error?</v>
      </c>
    </row>
    <row r="5088" spans="1:4" x14ac:dyDescent="0.2">
      <c r="A5088" s="5">
        <v>5027</v>
      </c>
      <c r="B5088" s="138">
        <f>'Revenues 9-14'!C65</f>
        <v>1544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1544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73</v>
      </c>
      <c r="C5120" s="2" t="s">
        <v>573</v>
      </c>
      <c r="D5120" s="2" t="str">
        <f t="shared" si="79"/>
        <v>Error?</v>
      </c>
    </row>
    <row r="5121" spans="1:4" x14ac:dyDescent="0.2">
      <c r="A5121" s="5">
        <v>5060</v>
      </c>
      <c r="B5121" s="138">
        <f>'Revenues 9-14'!C109</f>
        <v>501194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131197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131197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131197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131197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19039</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19039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19039</v>
      </c>
      <c r="C5326" s="2" t="s">
        <v>573</v>
      </c>
      <c r="D5326" s="2" t="str">
        <f t="shared" si="82"/>
        <v>Error?</v>
      </c>
    </row>
    <row r="5327" spans="1:5" x14ac:dyDescent="0.2">
      <c r="A5327" s="5">
        <v>5266</v>
      </c>
      <c r="B5327" s="138">
        <f>'Revenues 9-14'!C268</f>
        <v>651430</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55690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175358</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2.331919307437599</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18475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29'!D142</f>
        <v>0</v>
      </c>
      <c r="D7797" s="2" t="str">
        <f t="shared" si="127"/>
        <v>Error?</v>
      </c>
      <c r="E7797" s="4" t="s">
        <v>1902</v>
      </c>
    </row>
    <row r="7798" spans="1:5" x14ac:dyDescent="0.2">
      <c r="A7798">
        <v>7737</v>
      </c>
      <c r="B7798" s="138">
        <f>'Contracts Paid in CY 29'!F142</f>
        <v>0</v>
      </c>
      <c r="D7798" s="2" t="str">
        <f t="shared" si="127"/>
        <v>Error?</v>
      </c>
      <c r="E7798" s="4" t="s">
        <v>1902</v>
      </c>
    </row>
    <row r="7799" spans="1:5" x14ac:dyDescent="0.2">
      <c r="A7799">
        <v>7738</v>
      </c>
      <c r="B7799" s="138">
        <f>'Contracts Paid in CY 29'!G142</f>
        <v>0</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G31" sqref="G3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8" t="s">
        <v>1191</v>
      </c>
      <c r="B2" s="2408"/>
      <c r="C2" s="2408"/>
      <c r="D2" s="2408"/>
      <c r="E2" s="2408"/>
      <c r="F2" s="2408"/>
      <c r="G2" s="2408"/>
      <c r="H2" s="2408"/>
      <c r="I2" s="2408"/>
      <c r="J2" s="2408"/>
      <c r="K2" s="2408"/>
      <c r="L2" s="2408"/>
    </row>
    <row r="3" spans="1:29" ht="13.5" customHeight="1" x14ac:dyDescent="0.2">
      <c r="A3" s="2394" t="s">
        <v>1190</v>
      </c>
      <c r="B3" s="2394"/>
      <c r="C3" s="2394"/>
      <c r="D3" s="2394"/>
      <c r="E3" s="2394"/>
      <c r="F3" s="2394"/>
      <c r="G3" s="2394"/>
      <c r="H3" s="2394"/>
      <c r="I3" s="2394"/>
      <c r="J3" s="2394"/>
      <c r="K3" s="2394"/>
      <c r="L3" s="2394"/>
    </row>
    <row r="4" spans="1:29" ht="13.5" customHeight="1" x14ac:dyDescent="0.2">
      <c r="A4" s="2408" t="s">
        <v>1986</v>
      </c>
      <c r="B4" s="2425"/>
      <c r="C4" s="2425"/>
      <c r="D4" s="2425"/>
      <c r="E4" s="2425"/>
      <c r="F4" s="2425"/>
      <c r="G4" s="2425"/>
      <c r="H4" s="2425"/>
      <c r="I4" s="2425"/>
      <c r="J4" s="2425"/>
      <c r="K4" s="2425"/>
      <c r="L4" s="242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8" t="str">
        <f>COVER!A17</f>
        <v>Mt Vernon Area Voc Center</v>
      </c>
      <c r="B7" s="2389"/>
      <c r="C7" s="2389"/>
      <c r="D7" s="2426"/>
      <c r="E7" s="2427">
        <f>COVER!A13</f>
        <v>13000000041</v>
      </c>
      <c r="F7" s="2428"/>
      <c r="G7" s="2395" t="str">
        <f>COVER!T23</f>
        <v>060-004252</v>
      </c>
      <c r="H7" s="2396"/>
      <c r="I7" s="2396"/>
      <c r="J7" s="2396"/>
      <c r="K7" s="2396"/>
      <c r="L7" s="239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8"/>
      <c r="B9" s="2399"/>
      <c r="C9" s="2399"/>
      <c r="D9" s="2399"/>
      <c r="E9" s="2399"/>
      <c r="F9" s="2400"/>
      <c r="G9" s="2401" t="str">
        <f>COVER!T13</f>
        <v>Emling &amp; Hoffman, PC</v>
      </c>
      <c r="H9" s="2402"/>
      <c r="I9" s="2402"/>
      <c r="J9" s="2402"/>
      <c r="K9" s="2402"/>
      <c r="L9" s="2403"/>
    </row>
    <row r="10" spans="1:29" ht="13.5" customHeight="1" x14ac:dyDescent="0.2">
      <c r="A10" s="2385" t="str">
        <f>COVER!A38</f>
        <v>Kara Andrews</v>
      </c>
      <c r="B10" s="2386"/>
      <c r="C10" s="2386"/>
      <c r="D10" s="2386"/>
      <c r="E10" s="2386"/>
      <c r="F10" s="2387"/>
      <c r="G10" s="2401" t="str">
        <f>COVER!T17</f>
        <v>1191 West Saint Louis Street</v>
      </c>
      <c r="H10" s="2414"/>
      <c r="I10" s="2414"/>
      <c r="J10" s="2414"/>
      <c r="K10" s="2414"/>
      <c r="L10" s="2415"/>
    </row>
    <row r="11" spans="1:29" ht="13.5" customHeight="1" x14ac:dyDescent="0.2">
      <c r="A11" s="1184" t="s">
        <v>1519</v>
      </c>
      <c r="B11" s="1185"/>
      <c r="C11" s="1186"/>
      <c r="D11" s="1191"/>
      <c r="E11" s="1186"/>
      <c r="F11" s="1190"/>
      <c r="G11" s="2401" t="str">
        <f>COVER!T19</f>
        <v xml:space="preserve">Nashville </v>
      </c>
      <c r="H11" s="2414"/>
      <c r="I11" s="2414"/>
      <c r="J11" s="2414"/>
      <c r="K11" s="2414"/>
      <c r="L11" s="2415"/>
    </row>
    <row r="12" spans="1:29" ht="13.5" customHeight="1" x14ac:dyDescent="0.2">
      <c r="A12" s="2419" t="s">
        <v>1518</v>
      </c>
      <c r="B12" s="2420"/>
      <c r="C12" s="2420"/>
      <c r="D12" s="2420"/>
      <c r="E12" s="2420"/>
      <c r="F12" s="2421"/>
      <c r="G12" s="2416"/>
      <c r="H12" s="2417"/>
      <c r="I12" s="2417"/>
      <c r="J12" s="2417"/>
      <c r="K12" s="2417"/>
      <c r="L12" s="2418"/>
    </row>
    <row r="13" spans="1:29" ht="13.5" customHeight="1" x14ac:dyDescent="0.2">
      <c r="A13" s="2401"/>
      <c r="B13" s="2414"/>
      <c r="C13" s="2414"/>
      <c r="D13" s="2414"/>
      <c r="E13" s="2414"/>
      <c r="F13" s="2415"/>
      <c r="G13" s="2409" t="s">
        <v>1520</v>
      </c>
      <c r="H13" s="2410"/>
      <c r="I13" s="2422" t="str">
        <f>COVER!T25</f>
        <v>donhoffman@emlingcpa.com</v>
      </c>
      <c r="J13" s="2423"/>
      <c r="K13" s="2423"/>
      <c r="L13" s="2424"/>
    </row>
    <row r="14" spans="1:29" ht="13.5" customHeight="1" x14ac:dyDescent="0.2">
      <c r="A14" s="2401" t="str">
        <f>COVER!A19</f>
        <v>11101 N. Wells Bypass</v>
      </c>
      <c r="B14" s="2414"/>
      <c r="C14" s="2414"/>
      <c r="D14" s="2414"/>
      <c r="E14" s="2414"/>
      <c r="F14" s="2415"/>
      <c r="G14" s="1195" t="s">
        <v>1185</v>
      </c>
      <c r="H14" s="1193"/>
      <c r="I14" s="1193"/>
      <c r="J14" s="1193"/>
      <c r="K14" s="1193"/>
      <c r="L14" s="1194"/>
    </row>
    <row r="15" spans="1:29" ht="13.5" customHeight="1" x14ac:dyDescent="0.2">
      <c r="A15" s="2401" t="str">
        <f>COVER!A21</f>
        <v xml:space="preserve">Mt. Vernon </v>
      </c>
      <c r="B15" s="2414"/>
      <c r="C15" s="2414"/>
      <c r="D15" s="2414"/>
      <c r="E15" s="2414"/>
      <c r="F15" s="2415"/>
      <c r="G15" s="2411" t="str">
        <f>COVER!T15</f>
        <v>Donald L Hoffman</v>
      </c>
      <c r="H15" s="2412"/>
      <c r="I15" s="2412"/>
      <c r="J15" s="2412"/>
      <c r="K15" s="2412"/>
      <c r="L15" s="2413"/>
    </row>
    <row r="16" spans="1:29" ht="12.2" customHeight="1" x14ac:dyDescent="0.2">
      <c r="A16" s="2391">
        <f>COVER!A25</f>
        <v>62864</v>
      </c>
      <c r="B16" s="2392"/>
      <c r="C16" s="2392"/>
      <c r="D16" s="2392"/>
      <c r="E16" s="2392"/>
      <c r="F16" s="2393"/>
      <c r="G16" s="2404"/>
      <c r="H16" s="2405"/>
      <c r="I16" s="2405"/>
      <c r="J16" s="2405"/>
      <c r="K16" s="2405"/>
      <c r="L16" s="2406"/>
    </row>
    <row r="17" spans="1:13" ht="12.2" customHeight="1" x14ac:dyDescent="0.2">
      <c r="A17" s="2407"/>
      <c r="B17" s="2392"/>
      <c r="C17" s="2392"/>
      <c r="D17" s="2392"/>
      <c r="E17" s="2392"/>
      <c r="F17" s="2393"/>
      <c r="G17" s="1195" t="s">
        <v>1184</v>
      </c>
      <c r="H17" s="1193"/>
      <c r="I17" s="1193"/>
      <c r="J17" s="1193"/>
      <c r="K17" s="1197" t="s">
        <v>1183</v>
      </c>
      <c r="L17" s="1190"/>
      <c r="M17" s="1183"/>
    </row>
    <row r="18" spans="1:13" ht="12.2" customHeight="1" x14ac:dyDescent="0.2">
      <c r="A18" s="2385"/>
      <c r="B18" s="2386"/>
      <c r="C18" s="2386"/>
      <c r="D18" s="2386"/>
      <c r="E18" s="2386"/>
      <c r="F18" s="2387"/>
      <c r="G18" s="2388" t="str">
        <f>COVER!T21</f>
        <v>618-327-4375</v>
      </c>
      <c r="H18" s="2389"/>
      <c r="I18" s="2389"/>
      <c r="J18" s="2389"/>
      <c r="K18" s="2388" t="str">
        <f>COVER!X21</f>
        <v>618-327-4376</v>
      </c>
      <c r="L18" s="239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9" t="str">
        <f>'Single Audit Cover'!A7</f>
        <v>Mt Vernon Area Voc Center</v>
      </c>
      <c r="B1" s="2425"/>
      <c r="C1" s="2425"/>
      <c r="D1" s="2425"/>
    </row>
    <row r="2" spans="1:11" s="1212" customFormat="1" ht="12.75" x14ac:dyDescent="0.2">
      <c r="A2" s="2430">
        <f>'Single Audit Cover'!E7</f>
        <v>13000000041</v>
      </c>
      <c r="B2" s="2431"/>
      <c r="C2" s="2431"/>
      <c r="D2" s="2431"/>
    </row>
    <row r="3" spans="1:11" s="1212" customFormat="1" ht="12.75" x14ac:dyDescent="0.2">
      <c r="A3" s="2429" t="s">
        <v>1513</v>
      </c>
      <c r="B3" s="2425"/>
      <c r="C3" s="2425"/>
      <c r="D3" s="242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G31" sqref="G3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3" t="str">
        <f>'Single Audit Cover'!A7</f>
        <v>Mt Vernon Area Voc Center</v>
      </c>
      <c r="B1" s="2433"/>
      <c r="C1" s="2433"/>
      <c r="D1" s="2433"/>
      <c r="E1" s="2433"/>
    </row>
    <row r="2" spans="1:5" x14ac:dyDescent="0.2">
      <c r="A2" s="2434">
        <f>'Single Audit Cover'!E7</f>
        <v>13000000041</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7" t="s">
        <v>1243</v>
      </c>
    </row>
    <row r="10" spans="1:5" x14ac:dyDescent="0.2">
      <c r="A10" s="1258" t="s">
        <v>1242</v>
      </c>
      <c r="B10" s="1259" t="s">
        <v>1241</v>
      </c>
      <c r="C10" s="1259"/>
      <c r="D10" s="1260">
        <f>SUM('Acct Summary 7-8'!C7:K7)</f>
        <v>19039</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1842</v>
      </c>
      <c r="B16" s="1259"/>
      <c r="C16" s="1259"/>
    </row>
    <row r="17" spans="1:4" x14ac:dyDescent="0.2">
      <c r="A17" s="1258" t="s">
        <v>2058</v>
      </c>
      <c r="B17" s="1259" t="s">
        <v>1236</v>
      </c>
      <c r="C17" s="1259"/>
      <c r="D17" s="1261">
        <f>-SUM('Revenues 9-14'!C264:D264,'Revenues 9-14'!F264:G264)</f>
        <v>0</v>
      </c>
    </row>
    <row r="19" spans="1:4" ht="13.5" thickBot="1" x14ac:dyDescent="0.25">
      <c r="A19" s="1262" t="s">
        <v>1235</v>
      </c>
      <c r="D19" s="1263">
        <f>SUM(D10:D17)</f>
        <v>19039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5"/>
      <c r="B24" s="2435"/>
      <c r="D24" s="1265"/>
    </row>
    <row r="25" spans="1:4" x14ac:dyDescent="0.2">
      <c r="A25" s="2432"/>
      <c r="B25" s="2432"/>
      <c r="D25" s="1265"/>
    </row>
    <row r="26" spans="1:4" x14ac:dyDescent="0.2">
      <c r="A26" s="2432"/>
      <c r="B26" s="2432"/>
      <c r="D26" s="1265"/>
    </row>
    <row r="27" spans="1:4" x14ac:dyDescent="0.2">
      <c r="A27" s="2432"/>
      <c r="B27" s="2432"/>
      <c r="D27" s="1265"/>
    </row>
    <row r="28" spans="1:4" x14ac:dyDescent="0.2">
      <c r="A28" s="2432"/>
      <c r="B28" s="2432"/>
      <c r="D28" s="1265"/>
    </row>
    <row r="29" spans="1:4" x14ac:dyDescent="0.2">
      <c r="A29" s="2432"/>
      <c r="B29" s="2432"/>
      <c r="D29" s="1265"/>
    </row>
    <row r="30" spans="1:4" x14ac:dyDescent="0.2">
      <c r="A30" s="2432"/>
      <c r="B30" s="2432"/>
      <c r="D30" s="1265"/>
    </row>
    <row r="32" spans="1:4" x14ac:dyDescent="0.2">
      <c r="A32" s="1257" t="s">
        <v>1233</v>
      </c>
      <c r="D32" s="1260">
        <f>SUM(D19:D30)</f>
        <v>19039</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2"/>
      <c r="B40" s="2432"/>
      <c r="D40" s="1265"/>
    </row>
    <row r="41" spans="1:4" x14ac:dyDescent="0.2">
      <c r="A41" s="2432"/>
      <c r="B41" s="2432"/>
      <c r="D41" s="1268"/>
    </row>
    <row r="42" spans="1:4" x14ac:dyDescent="0.2">
      <c r="A42" s="2432"/>
      <c r="B42" s="2432"/>
      <c r="D42" s="1268"/>
    </row>
    <row r="43" spans="1:4" x14ac:dyDescent="0.2">
      <c r="A43" s="2432"/>
      <c r="B43" s="2432"/>
      <c r="D43" s="1268"/>
    </row>
    <row r="44" spans="1:4" x14ac:dyDescent="0.2">
      <c r="A44" s="2432"/>
      <c r="B44" s="2432"/>
      <c r="D44" s="1268"/>
    </row>
    <row r="45" spans="1:4" x14ac:dyDescent="0.2">
      <c r="A45" s="2432"/>
      <c r="B45" s="2432"/>
      <c r="D45" s="1268"/>
    </row>
    <row r="47" spans="1:4" x14ac:dyDescent="0.2">
      <c r="B47" s="1269" t="s">
        <v>1227</v>
      </c>
      <c r="C47" s="1269"/>
      <c r="D47" s="1270">
        <f>SUM(D35:D45)</f>
        <v>0</v>
      </c>
    </row>
    <row r="49" spans="2:4" x14ac:dyDescent="0.2">
      <c r="B49" s="1269" t="s">
        <v>1226</v>
      </c>
      <c r="C49" s="1269"/>
      <c r="D49" s="1270">
        <f>D32-D47</f>
        <v>19039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5" sqref="B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4" t="str">
        <f>'Single Audit Cover'!A7</f>
        <v>Mt Vernon Area Voc Center</v>
      </c>
      <c r="C1" s="2437"/>
      <c r="D1" s="2437"/>
      <c r="E1" s="2437"/>
      <c r="F1" s="2437"/>
      <c r="G1" s="2437"/>
      <c r="H1" s="2437"/>
      <c r="I1" s="2437"/>
      <c r="J1" s="2437"/>
      <c r="K1" s="2437"/>
      <c r="L1" s="2437"/>
      <c r="M1" s="2437"/>
    </row>
    <row r="2" spans="2:14" ht="15" x14ac:dyDescent="0.2">
      <c r="B2" s="2438">
        <f>'Single Audit Cover'!E7</f>
        <v>13000000041</v>
      </c>
      <c r="C2" s="2438"/>
      <c r="D2" s="2438"/>
      <c r="E2" s="2438"/>
      <c r="F2" s="2438"/>
      <c r="G2" s="2438"/>
      <c r="H2" s="2438"/>
      <c r="I2" s="2438"/>
      <c r="J2" s="2438"/>
      <c r="K2" s="2438"/>
      <c r="L2" s="2438"/>
      <c r="M2" s="2438"/>
      <c r="N2" s="1299"/>
    </row>
    <row r="3" spans="2:14" ht="15" x14ac:dyDescent="0.2">
      <c r="B3" s="2439" t="s">
        <v>1219</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1838</v>
      </c>
      <c r="I8" s="1316" t="s">
        <v>1262</v>
      </c>
      <c r="J8" s="1315" t="s">
        <v>1987</v>
      </c>
      <c r="K8" s="1316" t="s">
        <v>1261</v>
      </c>
      <c r="L8" s="1317" t="s">
        <v>1257</v>
      </c>
      <c r="M8" s="1318" t="s">
        <v>30</v>
      </c>
    </row>
    <row r="9" spans="2:14" ht="14.25" x14ac:dyDescent="0.2">
      <c r="B9" s="1322" t="s">
        <v>1259</v>
      </c>
      <c r="C9" s="1310" t="s">
        <v>1735</v>
      </c>
      <c r="D9" s="1311" t="s">
        <v>1736</v>
      </c>
      <c r="E9" s="1319" t="s">
        <v>1838</v>
      </c>
      <c r="F9" s="1320" t="s">
        <v>1987</v>
      </c>
      <c r="G9" s="1321" t="s">
        <v>1838</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2"/>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31" sqref="G3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Mt Vernon Area Voc Center</v>
      </c>
      <c r="B1" s="2442"/>
      <c r="C1" s="2442"/>
      <c r="D1" s="2442"/>
      <c r="E1" s="2442"/>
      <c r="F1" s="2442"/>
    </row>
    <row r="2" spans="1:7" ht="13.5" customHeight="1" x14ac:dyDescent="0.2">
      <c r="A2" s="2438">
        <f>'Single Audit Cover'!E7</f>
        <v>13000000041</v>
      </c>
      <c r="B2" s="2438"/>
      <c r="C2" s="2438"/>
      <c r="D2" s="2438"/>
      <c r="E2" s="2438"/>
      <c r="F2" s="2438"/>
      <c r="G2" s="1272"/>
    </row>
    <row r="3" spans="1:7" ht="15.75" customHeight="1" x14ac:dyDescent="0.2">
      <c r="A3" s="2443" t="s">
        <v>1271</v>
      </c>
      <c r="B3" s="2443"/>
      <c r="C3" s="2443"/>
      <c r="D3" s="2443"/>
      <c r="E3" s="2443"/>
      <c r="F3" s="2443"/>
    </row>
    <row r="4" spans="1:7" ht="13.5" customHeight="1" x14ac:dyDescent="0.2">
      <c r="A4" s="2444" t="str">
        <f>'Single Audit Cover'!A4</f>
        <v>Year Ending June 30, 2019</v>
      </c>
      <c r="B4" s="2444"/>
      <c r="C4" s="2444"/>
      <c r="D4" s="2444"/>
      <c r="E4" s="2444"/>
      <c r="F4" s="2444"/>
    </row>
    <row r="5" spans="1:7" ht="8.25" customHeight="1" x14ac:dyDescent="0.2">
      <c r="C5" s="317"/>
      <c r="D5" s="317"/>
    </row>
    <row r="6" spans="1:7" ht="13.5" customHeight="1" x14ac:dyDescent="0.2">
      <c r="A6" s="1273" t="s">
        <v>1728</v>
      </c>
      <c r="C6" s="317"/>
      <c r="D6" s="317"/>
    </row>
    <row r="7" spans="1:7" ht="60.95" customHeight="1" x14ac:dyDescent="0.2">
      <c r="A7" s="2441" t="s">
        <v>1729</v>
      </c>
      <c r="B7" s="2441"/>
      <c r="C7" s="2441"/>
      <c r="D7" s="2441"/>
      <c r="E7" s="2441"/>
      <c r="F7" s="2441"/>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1" t="s">
        <v>1731</v>
      </c>
      <c r="B13" s="2441"/>
      <c r="C13" s="2441"/>
      <c r="D13" s="2441"/>
      <c r="E13" s="2441"/>
      <c r="F13" s="2441"/>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45" customHeight="1" x14ac:dyDescent="0.2">
      <c r="A17" s="1280"/>
      <c r="B17" s="1281"/>
      <c r="C17" s="1282"/>
      <c r="D17" s="2445"/>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9" t="s">
        <v>1732</v>
      </c>
      <c r="B32" s="2449"/>
      <c r="C32" s="2449"/>
      <c r="D32" s="2449"/>
      <c r="E32" s="2449"/>
      <c r="F32" s="2449"/>
    </row>
    <row r="33" spans="1:6" ht="13.5" customHeight="1" x14ac:dyDescent="0.2">
      <c r="A33" s="328" t="s">
        <v>1434</v>
      </c>
      <c r="B33" s="328"/>
      <c r="C33" s="1285">
        <v>0</v>
      </c>
      <c r="D33" s="1903"/>
      <c r="E33" s="1283"/>
    </row>
    <row r="34" spans="1:6" ht="13.5" customHeight="1" x14ac:dyDescent="0.2">
      <c r="A34" s="328" t="s">
        <v>1837</v>
      </c>
      <c r="B34" s="328"/>
      <c r="C34" s="1286">
        <v>0</v>
      </c>
      <c r="D34" s="1903" t="s">
        <v>1589</v>
      </c>
      <c r="E34" s="2450">
        <f>+C33+C34</f>
        <v>0</v>
      </c>
      <c r="F34" s="245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2" t="s">
        <v>1590</v>
      </c>
      <c r="C49" s="2452"/>
      <c r="D49" s="2452"/>
      <c r="E49" s="1396"/>
    </row>
    <row r="50" spans="1:5" s="1297" customFormat="1" ht="3.75" customHeight="1" x14ac:dyDescent="0.2">
      <c r="A50" s="1296"/>
      <c r="B50" s="1845"/>
      <c r="C50" s="1845"/>
      <c r="D50" s="1845"/>
      <c r="E50" s="1396"/>
    </row>
    <row r="51" spans="1:5" s="1297" customFormat="1" ht="20.25" customHeight="1" x14ac:dyDescent="0.2">
      <c r="A51" s="1298">
        <v>6</v>
      </c>
      <c r="B51" s="2448" t="s">
        <v>1551</v>
      </c>
      <c r="C51" s="2448"/>
      <c r="D51" s="2448"/>
    </row>
    <row r="52" spans="1:5" ht="14.25" customHeight="1" x14ac:dyDescent="0.2">
      <c r="A52" s="1298"/>
      <c r="B52" s="2448"/>
      <c r="C52" s="2448"/>
      <c r="D52" s="244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7" colorId="8" zoomScale="82" zoomScaleNormal="82" workbookViewId="0">
      <selection activeCell="D8" sqref="D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1168</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1792</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2" t="s">
        <v>1633</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313</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1323</v>
      </c>
      <c r="B70" s="2075"/>
      <c r="C70" s="2075"/>
      <c r="D70" s="2075"/>
      <c r="E70" s="2076"/>
      <c r="F70" s="2076"/>
      <c r="G70" s="2076"/>
      <c r="H70" s="2076"/>
      <c r="I70" s="207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1903</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1320</v>
      </c>
      <c r="B83" s="2077"/>
      <c r="C83" s="2077"/>
      <c r="D83" s="207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9" t="s">
        <v>2081</v>
      </c>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2082</v>
      </c>
      <c r="D114" s="206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1330</v>
      </c>
      <c r="D117" s="2070"/>
      <c r="E117" s="2071"/>
      <c r="F117" s="2071"/>
      <c r="G117" s="2071"/>
      <c r="H117" s="2071"/>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1904</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horizontalDpi="4294967293" verticalDpi="4294967293" r:id="rId1"/>
  <headerFooter differentOddEven="1" differentFirst="1" alignWithMargins="0">
    <oddHeader>&amp;L&amp;8Page &amp;P&amp;C &amp;R&amp;8Page &amp;P</oddHeader>
    <evenHeader>&amp;LPage2a&amp;RPage 2a</evenHeader>
    <firstHeader>&amp;LPage 2&amp;RPage 2</first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Layout" topLeftCell="A13" zoomScaleNormal="100" workbookViewId="0">
      <selection activeCell="A40" sqref="A40"/>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Mt Vernon Area Voc Center</v>
      </c>
      <c r="C1" s="2458"/>
      <c r="D1" s="2458"/>
      <c r="E1" s="2458"/>
      <c r="F1" s="2458"/>
      <c r="G1" s="2458"/>
      <c r="H1" s="2458"/>
      <c r="I1" s="2458"/>
      <c r="J1" s="1406"/>
    </row>
    <row r="2" spans="2:10" s="317" customFormat="1" ht="12.75" customHeight="1" x14ac:dyDescent="0.2">
      <c r="B2" s="2459">
        <f>'Single Audit Cover'!E7</f>
        <v>13000000041</v>
      </c>
      <c r="C2" s="2460"/>
      <c r="D2" s="2460"/>
      <c r="E2" s="2460"/>
      <c r="F2" s="2460"/>
      <c r="G2" s="2460"/>
      <c r="H2" s="2460"/>
      <c r="I2" s="2460"/>
      <c r="J2" s="1406"/>
    </row>
    <row r="3" spans="2:10" s="317" customFormat="1" ht="12.75" customHeight="1" x14ac:dyDescent="0.2">
      <c r="B3" s="2461" t="s">
        <v>1285</v>
      </c>
      <c r="C3" s="2462"/>
      <c r="D3" s="2462"/>
      <c r="E3" s="2462"/>
      <c r="F3" s="2462"/>
      <c r="G3" s="2462"/>
      <c r="H3" s="2462"/>
      <c r="I3" s="2462"/>
      <c r="J3" s="1407"/>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1" t="s">
        <v>1284</v>
      </c>
      <c r="C7" s="2462"/>
      <c r="D7" s="2462"/>
      <c r="E7" s="2462"/>
      <c r="F7" s="2462"/>
      <c r="G7" s="2462"/>
      <c r="H7" s="2462"/>
      <c r="I7" s="246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3" t="s">
        <v>1164</v>
      </c>
      <c r="D11" s="246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2064</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2064</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2064</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4"/>
      <c r="E29" s="2464"/>
      <c r="F29" s="2464"/>
      <c r="G29" s="2464"/>
      <c r="H29" s="2464"/>
      <c r="I29" s="2464"/>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5" t="s">
        <v>1751</v>
      </c>
      <c r="D37" s="2466"/>
      <c r="E37" s="2466"/>
      <c r="F37" s="2467"/>
      <c r="G37" s="2465" t="s">
        <v>1592</v>
      </c>
      <c r="H37" s="2466"/>
      <c r="I37" s="2467"/>
    </row>
    <row r="38" spans="2:9" ht="16.5" customHeight="1" x14ac:dyDescent="0.2">
      <c r="B38" s="1428"/>
      <c r="C38" s="2453"/>
      <c r="D38" s="2454"/>
      <c r="E38" s="2454"/>
      <c r="F38" s="2455"/>
      <c r="G38" s="2468"/>
      <c r="H38" s="2469"/>
      <c r="I38" s="2470"/>
    </row>
    <row r="39" spans="2:9" ht="16.5" customHeight="1" x14ac:dyDescent="0.2">
      <c r="B39" s="1428"/>
      <c r="C39" s="2453"/>
      <c r="D39" s="2454"/>
      <c r="E39" s="2454"/>
      <c r="F39" s="2455"/>
      <c r="G39" s="2456"/>
      <c r="H39" s="2456"/>
      <c r="I39" s="2456"/>
    </row>
    <row r="40" spans="2:9" ht="16.5" customHeight="1" x14ac:dyDescent="0.2">
      <c r="B40" s="1428"/>
      <c r="C40" s="2453"/>
      <c r="D40" s="2454"/>
      <c r="E40" s="2454"/>
      <c r="F40" s="2455"/>
      <c r="G40" s="2456"/>
      <c r="H40" s="2456"/>
      <c r="I40" s="2456"/>
    </row>
    <row r="41" spans="2:9" ht="16.5" customHeight="1" x14ac:dyDescent="0.2">
      <c r="B41" s="1428"/>
      <c r="C41" s="2453"/>
      <c r="D41" s="2454"/>
      <c r="E41" s="2454"/>
      <c r="F41" s="2455"/>
      <c r="G41" s="2456"/>
      <c r="H41" s="2456"/>
      <c r="I41" s="2456"/>
    </row>
    <row r="42" spans="2:9" ht="16.5" customHeight="1" x14ac:dyDescent="0.2">
      <c r="B42" s="1428"/>
      <c r="C42" s="2453"/>
      <c r="D42" s="2454"/>
      <c r="E42" s="2454"/>
      <c r="F42" s="2455"/>
      <c r="G42" s="2456"/>
      <c r="H42" s="2456"/>
      <c r="I42" s="2456"/>
    </row>
    <row r="43" spans="2:9" ht="16.5" customHeight="1" x14ac:dyDescent="0.2">
      <c r="B43" s="1428"/>
      <c r="C43" s="2471" t="s">
        <v>1593</v>
      </c>
      <c r="D43" s="2472"/>
      <c r="E43" s="2472"/>
      <c r="F43" s="2473"/>
      <c r="G43" s="2474">
        <f>SUM(G38:I42)</f>
        <v>0</v>
      </c>
      <c r="H43" s="2474"/>
      <c r="I43" s="2474"/>
    </row>
    <row r="44" spans="2:9" ht="12.75" customHeight="1" x14ac:dyDescent="0.2"/>
    <row r="45" spans="2:9" ht="12.75" customHeight="1" x14ac:dyDescent="0.2">
      <c r="B45" s="1419" t="s">
        <v>2061</v>
      </c>
      <c r="D45" s="2475">
        <v>0</v>
      </c>
      <c r="E45" s="2476"/>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7"/>
      <c r="F49" s="2477"/>
      <c r="G49" s="2477"/>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24&amp;R&amp;8Page 24</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Normal="100" workbookViewId="0">
      <selection activeCell="A40" sqref="A4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Mt Vernon Area Voc Center</v>
      </c>
      <c r="C1" s="2457"/>
      <c r="D1" s="2457"/>
      <c r="E1" s="2457"/>
      <c r="F1" s="2457"/>
      <c r="G1" s="2457"/>
      <c r="H1" s="2457"/>
      <c r="I1" s="2457"/>
      <c r="J1" s="2457"/>
      <c r="K1" s="2457"/>
      <c r="L1" s="1371"/>
      <c r="M1" s="1371"/>
    </row>
    <row r="2" spans="1:13" ht="12" customHeight="1" x14ac:dyDescent="0.2">
      <c r="B2" s="2459">
        <f>'Single Audit Cover'!E7</f>
        <v>13000000041</v>
      </c>
      <c r="C2" s="2459"/>
      <c r="D2" s="2459"/>
      <c r="E2" s="2459"/>
      <c r="F2" s="2459"/>
      <c r="G2" s="2459"/>
      <c r="H2" s="2459"/>
      <c r="I2" s="2459"/>
      <c r="J2" s="2459"/>
      <c r="K2" s="2459"/>
      <c r="L2" s="1372"/>
      <c r="M2" s="1373"/>
    </row>
    <row r="3" spans="1:13" ht="10.35" customHeight="1" x14ac:dyDescent="0.2">
      <c r="B3" s="2480" t="s">
        <v>1285</v>
      </c>
      <c r="C3" s="2480"/>
      <c r="D3" s="2480"/>
      <c r="E3" s="2480"/>
      <c r="F3" s="2480"/>
      <c r="G3" s="2480"/>
      <c r="H3" s="2480"/>
      <c r="I3" s="2480"/>
      <c r="J3" s="2480"/>
      <c r="K3" s="2480"/>
      <c r="L3" s="1374"/>
      <c r="M3" s="1374"/>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1" t="s">
        <v>1296</v>
      </c>
      <c r="C7" s="2481"/>
      <c r="D7" s="2482"/>
      <c r="E7" s="2482"/>
      <c r="F7" s="2482"/>
      <c r="G7" s="2482"/>
      <c r="H7" s="2482"/>
      <c r="I7" s="2482"/>
      <c r="J7" s="2482"/>
      <c r="K7" s="248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1988</v>
      </c>
      <c r="D10" s="1383">
        <v>1</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9" t="s">
        <v>2083</v>
      </c>
      <c r="C14" s="2479"/>
      <c r="D14" s="2479"/>
      <c r="E14" s="2479"/>
      <c r="F14" s="2479"/>
      <c r="G14" s="2479"/>
      <c r="H14" s="2479"/>
      <c r="I14" s="2479"/>
      <c r="J14" s="2479"/>
      <c r="K14" s="247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9" t="s">
        <v>2092</v>
      </c>
      <c r="C17" s="2479"/>
      <c r="D17" s="2479"/>
      <c r="E17" s="2479"/>
      <c r="F17" s="2479"/>
      <c r="G17" s="2479"/>
      <c r="H17" s="2479"/>
      <c r="I17" s="2479"/>
      <c r="J17" s="2479"/>
      <c r="K17" s="2479"/>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3" t="s">
        <v>2093</v>
      </c>
      <c r="C20" s="2483"/>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9" t="s">
        <v>2084</v>
      </c>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9" t="s">
        <v>2094</v>
      </c>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9.5" customHeight="1" x14ac:dyDescent="0.2">
      <c r="B29" s="2484" t="s">
        <v>2095</v>
      </c>
      <c r="C29" s="2478"/>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8" t="s">
        <v>2096</v>
      </c>
      <c r="C32" s="2478"/>
      <c r="D32" s="2479"/>
      <c r="E32" s="2479"/>
      <c r="F32" s="2479"/>
      <c r="G32" s="2479"/>
      <c r="H32" s="2479"/>
      <c r="I32" s="2479"/>
      <c r="J32" s="2479"/>
      <c r="K32" s="247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25&amp;R&amp;8Page 25</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FB6C7-96D9-4676-863C-F3ADD37161B7}">
  <dimension ref="A1:M41"/>
  <sheetViews>
    <sheetView showGridLines="0" topLeftCell="A25" zoomScale="110" zoomScaleNormal="110" workbookViewId="0">
      <selection activeCell="A40" sqref="A4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Mt Vernon Area Voc Center</v>
      </c>
      <c r="C1" s="2457"/>
      <c r="D1" s="2457"/>
      <c r="E1" s="2457"/>
      <c r="F1" s="2457"/>
      <c r="G1" s="2457"/>
      <c r="H1" s="2457"/>
      <c r="I1" s="2457"/>
      <c r="J1" s="2457"/>
      <c r="K1" s="2457"/>
      <c r="L1" s="1371"/>
      <c r="M1" s="1371"/>
    </row>
    <row r="2" spans="1:13" ht="12" customHeight="1" x14ac:dyDescent="0.2">
      <c r="B2" s="2459">
        <f>'Single Audit Cover'!E7</f>
        <v>13000000041</v>
      </c>
      <c r="C2" s="2459"/>
      <c r="D2" s="2459"/>
      <c r="E2" s="2459"/>
      <c r="F2" s="2459"/>
      <c r="G2" s="2459"/>
      <c r="H2" s="2459"/>
      <c r="I2" s="2459"/>
      <c r="J2" s="2459"/>
      <c r="K2" s="2459"/>
      <c r="L2" s="1372"/>
      <c r="M2" s="1373"/>
    </row>
    <row r="3" spans="1:13" ht="10.35" customHeight="1" x14ac:dyDescent="0.2">
      <c r="B3" s="2480" t="s">
        <v>1285</v>
      </c>
      <c r="C3" s="2480"/>
      <c r="D3" s="2480"/>
      <c r="E3" s="2480"/>
      <c r="F3" s="2480"/>
      <c r="G3" s="2480"/>
      <c r="H3" s="2480"/>
      <c r="I3" s="2480"/>
      <c r="J3" s="2480"/>
      <c r="K3" s="2480"/>
      <c r="L3" s="1943"/>
      <c r="M3" s="1943"/>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1" t="s">
        <v>1296</v>
      </c>
      <c r="C7" s="2481"/>
      <c r="D7" s="2482"/>
      <c r="E7" s="2482"/>
      <c r="F7" s="2482"/>
      <c r="G7" s="2482"/>
      <c r="H7" s="2482"/>
      <c r="I7" s="2482"/>
      <c r="J7" s="2482"/>
      <c r="K7" s="248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1988</v>
      </c>
      <c r="D10" s="1383">
        <v>2</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51" customHeight="1" x14ac:dyDescent="0.2">
      <c r="B14" s="2485" t="s">
        <v>2087</v>
      </c>
      <c r="C14" s="2485"/>
      <c r="D14" s="2485"/>
      <c r="E14" s="2485"/>
      <c r="F14" s="2485"/>
      <c r="G14" s="2485"/>
      <c r="H14" s="2485"/>
      <c r="I14" s="2485"/>
      <c r="J14" s="2485"/>
      <c r="K14" s="248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5" t="s">
        <v>2085</v>
      </c>
      <c r="C17" s="2485"/>
      <c r="D17" s="2485"/>
      <c r="E17" s="2485"/>
      <c r="F17" s="2485"/>
      <c r="G17" s="2485"/>
      <c r="H17" s="2485"/>
      <c r="I17" s="2485"/>
      <c r="J17" s="2485"/>
      <c r="K17" s="248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26.25" customHeight="1" x14ac:dyDescent="0.2">
      <c r="B20" s="2486" t="s">
        <v>2086</v>
      </c>
      <c r="C20" s="2483"/>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9" t="s">
        <v>2088</v>
      </c>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16.5" customHeight="1" x14ac:dyDescent="0.2">
      <c r="B26" s="2479" t="s">
        <v>2089</v>
      </c>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62.25" customHeight="1" x14ac:dyDescent="0.2">
      <c r="B29" s="2484" t="s">
        <v>2090</v>
      </c>
      <c r="C29" s="2478"/>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4" t="s">
        <v>2091</v>
      </c>
      <c r="C32" s="2484"/>
      <c r="D32" s="2485"/>
      <c r="E32" s="2485"/>
      <c r="F32" s="2485"/>
      <c r="G32" s="2485"/>
      <c r="H32" s="2485"/>
      <c r="I32" s="2485"/>
      <c r="J32" s="2485"/>
      <c r="K32" s="248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26&amp;R&amp;8Page 26</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19" zoomScale="110" zoomScaleNormal="110" workbookViewId="0">
      <selection activeCell="A40" sqref="A4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Mt Vernon Area Voc Center</v>
      </c>
      <c r="C1" s="2487"/>
      <c r="D1" s="2487"/>
      <c r="E1" s="2487"/>
      <c r="F1" s="2487"/>
      <c r="G1" s="2487"/>
      <c r="H1" s="2487"/>
      <c r="I1" s="2487"/>
      <c r="J1" s="2487"/>
      <c r="K1" s="2487"/>
      <c r="L1" s="1449"/>
    </row>
    <row r="2" spans="1:12" ht="12.75" customHeight="1" x14ac:dyDescent="0.2">
      <c r="B2" s="2488">
        <f>'Single Audit Cover'!E7</f>
        <v>13000000041</v>
      </c>
      <c r="C2" s="2488"/>
      <c r="D2" s="2488"/>
      <c r="E2" s="2488"/>
      <c r="F2" s="2488"/>
      <c r="G2" s="2488"/>
      <c r="H2" s="2488"/>
      <c r="I2" s="2488"/>
      <c r="J2" s="2488"/>
      <c r="K2" s="2488"/>
      <c r="L2" s="1450"/>
    </row>
    <row r="3" spans="1:12" ht="12.75" customHeight="1" x14ac:dyDescent="0.2">
      <c r="B3" s="2480" t="s">
        <v>1285</v>
      </c>
      <c r="C3" s="2480"/>
      <c r="D3" s="2480"/>
      <c r="E3" s="2480"/>
      <c r="F3" s="2480"/>
      <c r="G3" s="2480"/>
      <c r="H3" s="2480"/>
      <c r="I3" s="2480"/>
      <c r="J3" s="2480"/>
      <c r="K3" s="2480"/>
      <c r="L3" s="1374"/>
    </row>
    <row r="4" spans="1:12" ht="12.75" customHeight="1" x14ac:dyDescent="0.2">
      <c r="B4" s="2480" t="str">
        <f>'Single Audit Cover'!A4</f>
        <v>Year Ending June 30, 2019</v>
      </c>
      <c r="C4" s="2480"/>
      <c r="D4" s="2480"/>
      <c r="E4" s="2480"/>
      <c r="F4" s="2480"/>
      <c r="G4" s="2480"/>
      <c r="H4" s="2480"/>
      <c r="I4" s="2480"/>
      <c r="J4" s="2480"/>
      <c r="K4" s="2480"/>
      <c r="L4" s="1374"/>
    </row>
    <row r="5" spans="1:12" ht="5.25" customHeight="1" x14ac:dyDescent="0.2">
      <c r="B5" s="1257" t="s">
        <v>1169</v>
      </c>
      <c r="C5" s="1257"/>
      <c r="L5" s="322"/>
    </row>
    <row r="6" spans="1:12" ht="30.75" customHeight="1" x14ac:dyDescent="0.2">
      <c r="A6" s="322"/>
      <c r="B6" s="2489" t="s">
        <v>1308</v>
      </c>
      <c r="C6" s="2489"/>
      <c r="D6" s="2489"/>
      <c r="E6" s="2489"/>
      <c r="F6" s="2489"/>
      <c r="G6" s="2489"/>
      <c r="H6" s="2489"/>
      <c r="I6" s="2489"/>
      <c r="J6" s="2489"/>
      <c r="K6" s="248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1988</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4"/>
      <c r="G12" s="2464"/>
      <c r="H12" s="2464"/>
      <c r="I12" s="2464"/>
      <c r="J12" s="2464"/>
      <c r="K12" s="246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0"/>
      <c r="E14" s="2490"/>
      <c r="F14" s="2490"/>
      <c r="H14" s="1459" t="s">
        <v>1303</v>
      </c>
      <c r="I14" s="2491"/>
      <c r="J14" s="2491"/>
      <c r="K14" s="249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1"/>
      <c r="E16" s="2491"/>
      <c r="F16" s="2491"/>
      <c r="G16" s="2491"/>
      <c r="H16" s="2491"/>
      <c r="I16" s="2491"/>
      <c r="J16" s="2491"/>
      <c r="K16" s="2491"/>
      <c r="L16" s="322"/>
    </row>
    <row r="17" spans="2:12" ht="13.5" customHeight="1" x14ac:dyDescent="0.2">
      <c r="B17" s="1384" t="s">
        <v>1301</v>
      </c>
      <c r="C17" s="1384"/>
      <c r="D17" s="2492"/>
      <c r="E17" s="2492"/>
      <c r="F17" s="2492"/>
      <c r="G17" s="2492"/>
      <c r="H17" s="2492"/>
      <c r="I17" s="2492"/>
      <c r="J17" s="2492"/>
      <c r="K17" s="249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9"/>
      <c r="C20" s="2479"/>
      <c r="D20" s="2479"/>
      <c r="E20" s="2479"/>
      <c r="F20" s="2479"/>
      <c r="G20" s="2479"/>
      <c r="H20" s="2479"/>
      <c r="I20" s="2479"/>
      <c r="J20" s="2479"/>
      <c r="K20" s="247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40" sqref="A4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Mt Vernon Area Voc Center</v>
      </c>
      <c r="C1" s="2457"/>
      <c r="D1" s="2457"/>
      <c r="E1" s="1469"/>
    </row>
    <row r="2" spans="2:5" s="1279" customFormat="1" ht="12.75" customHeight="1" x14ac:dyDescent="0.2">
      <c r="B2" s="2459">
        <f>'Single Audit Cover'!E7</f>
        <v>13000000041</v>
      </c>
      <c r="C2" s="2459"/>
      <c r="D2" s="2459"/>
      <c r="E2" s="1470"/>
    </row>
    <row r="3" spans="2:5" ht="12.75" customHeight="1" x14ac:dyDescent="0.2">
      <c r="B3" s="2480" t="s">
        <v>1766</v>
      </c>
      <c r="C3" s="2480"/>
      <c r="D3" s="2480"/>
      <c r="E3" s="1271"/>
    </row>
    <row r="4" spans="2:5" s="1279" customFormat="1" ht="12.75" customHeight="1" x14ac:dyDescent="0.2">
      <c r="B4" s="2493" t="str">
        <f>'Single Audit Cover'!A4</f>
        <v>Year Ending June 30, 2019</v>
      </c>
      <c r="C4" s="2493"/>
      <c r="D4" s="2493"/>
      <c r="E4" s="1471"/>
    </row>
    <row r="5" spans="2:5" s="1279" customFormat="1" ht="40.15" customHeight="1" x14ac:dyDescent="0.2">
      <c r="B5" s="1472"/>
      <c r="C5" s="328"/>
      <c r="D5" s="328"/>
      <c r="E5" s="328"/>
    </row>
    <row r="6" spans="2:5" s="1279" customFormat="1" ht="13.5" customHeight="1" x14ac:dyDescent="0.2">
      <c r="B6" s="1473" t="s">
        <v>1315</v>
      </c>
      <c r="C6" s="1473" t="s">
        <v>1314</v>
      </c>
      <c r="D6" s="1473" t="s">
        <v>1767</v>
      </c>
    </row>
    <row r="7" spans="2:5" ht="13.5" customHeight="1" x14ac:dyDescent="0.2">
      <c r="B7" s="1474"/>
      <c r="C7" s="324"/>
      <c r="D7" s="324"/>
      <c r="E7" s="324"/>
    </row>
    <row r="8" spans="2:5" ht="13.5" customHeight="1" x14ac:dyDescent="0.2">
      <c r="B8" s="1474" t="s">
        <v>2097</v>
      </c>
      <c r="C8" s="324" t="s">
        <v>2083</v>
      </c>
      <c r="D8" s="324" t="s">
        <v>2100</v>
      </c>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t="s">
        <v>2098</v>
      </c>
      <c r="C11" s="323" t="s">
        <v>2099</v>
      </c>
      <c r="D11" s="323" t="s">
        <v>2100</v>
      </c>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1768</v>
      </c>
    </row>
    <row r="46" spans="2:5" ht="12.2" customHeight="1" x14ac:dyDescent="0.2">
      <c r="B46" s="1483" t="s">
        <v>1769</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27&amp;R&amp;8Page 27</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T40" sqref="T40:AA4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386</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651430</v>
      </c>
      <c r="E16" s="356"/>
      <c r="F16" s="1733">
        <f>SUM('Acct Summary 7-8'!C17,'Acct Summary 7-8'!D17,'Acct Summary 7-8'!F17)</f>
        <v>476072</v>
      </c>
      <c r="G16" s="356"/>
      <c r="H16" s="1733">
        <f>SUM(D16-F16)</f>
        <v>175358</v>
      </c>
      <c r="I16" s="222"/>
      <c r="J16" s="1733">
        <f>SUM('Acct Summary 7-8'!C81,'Acct Summary 7-8'!D81,'Acct Summary 7-8'!F81,'Acct Summary 7-8'!I81)</f>
        <v>75199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T40" sqref="T40:AA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556</v>
      </c>
      <c r="B2" s="2107"/>
      <c r="C2" s="2107"/>
      <c r="D2" s="2107"/>
      <c r="E2" s="2107"/>
      <c r="F2" s="2107"/>
      <c r="G2" s="2107"/>
      <c r="H2" s="2107"/>
      <c r="I2" s="2107"/>
      <c r="J2" s="2107"/>
      <c r="K2" s="2107"/>
      <c r="L2" s="2107"/>
      <c r="M2" s="2107"/>
      <c r="N2" s="2107"/>
      <c r="O2" s="2107"/>
      <c r="P2" s="2107"/>
      <c r="Q2" s="2107"/>
      <c r="R2" s="2107"/>
    </row>
    <row r="3" spans="1:18" ht="12.75" x14ac:dyDescent="0.2">
      <c r="A3" s="2108" t="s">
        <v>1413</v>
      </c>
      <c r="B3" s="2108"/>
      <c r="C3" s="2108"/>
      <c r="D3" s="2108"/>
      <c r="E3" s="2108"/>
      <c r="F3" s="2108"/>
      <c r="G3" s="2108"/>
      <c r="H3" s="2108"/>
      <c r="I3" s="2108"/>
      <c r="J3" s="2108"/>
      <c r="K3" s="2108"/>
      <c r="L3" s="2108"/>
      <c r="M3" s="2108"/>
      <c r="N3" s="2108"/>
      <c r="O3" s="2108"/>
      <c r="P3" s="2108"/>
      <c r="Q3" s="2108"/>
      <c r="R3" s="2108"/>
    </row>
    <row r="4" spans="1:18" x14ac:dyDescent="0.2">
      <c r="A4" s="2109" t="s">
        <v>1554</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Mt Vernon Area Voc Center</v>
      </c>
      <c r="E7" s="391"/>
      <c r="G7" s="252"/>
      <c r="H7" s="387"/>
      <c r="I7" s="387"/>
      <c r="J7" s="387"/>
      <c r="K7" s="387"/>
      <c r="L7" s="329"/>
      <c r="M7" s="329"/>
      <c r="N7" s="329"/>
      <c r="O7" s="329"/>
      <c r="P7" s="329"/>
    </row>
    <row r="8" spans="1:18" ht="12.75" x14ac:dyDescent="0.2">
      <c r="A8" s="329"/>
      <c r="B8" s="329"/>
      <c r="C8" s="389" t="s">
        <v>1125</v>
      </c>
      <c r="D8" s="392">
        <f>COVER!A13</f>
        <v>13000000041</v>
      </c>
      <c r="E8" s="393"/>
      <c r="G8" s="329"/>
      <c r="H8" s="329"/>
      <c r="I8" s="329"/>
      <c r="J8" s="329"/>
      <c r="K8" s="329"/>
      <c r="L8" s="329"/>
      <c r="M8" s="329"/>
      <c r="N8" s="329"/>
      <c r="O8" s="329"/>
      <c r="P8" s="329"/>
    </row>
    <row r="9" spans="1:18" ht="12.75" x14ac:dyDescent="0.2">
      <c r="A9" s="329"/>
      <c r="B9" s="329"/>
      <c r="C9" s="389" t="s">
        <v>713</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75199</v>
      </c>
      <c r="I12" s="404"/>
      <c r="J12" s="404"/>
      <c r="K12" s="405">
        <f>TRUNC((H12/H13*100000),5)/100000</f>
        <v>0.11543680819999999</v>
      </c>
      <c r="L12" s="406"/>
      <c r="M12" s="360" t="s">
        <v>1144</v>
      </c>
      <c r="N12" s="360"/>
      <c r="O12" s="407">
        <v>0.35</v>
      </c>
      <c r="P12" s="218"/>
      <c r="Q12" s="218"/>
    </row>
    <row r="13" spans="1:18" s="408" customFormat="1" ht="12.75" x14ac:dyDescent="0.2">
      <c r="A13" s="218"/>
      <c r="B13" s="401"/>
      <c r="C13" s="2105" t="s">
        <v>1324</v>
      </c>
      <c r="D13" s="2106"/>
      <c r="E13" s="218"/>
      <c r="F13" s="409" t="s">
        <v>793</v>
      </c>
      <c r="G13" s="402"/>
      <c r="H13" s="403">
        <f>SUM('Acct Summary 7-8'!C8+'Acct Summary 7-8'!D8+'Acct Summary 7-8'!F8+'Acct Summary 7-8'!I8)+H14</f>
        <v>651430</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476072</v>
      </c>
      <c r="I17" s="404"/>
      <c r="J17" s="416"/>
      <c r="K17" s="405">
        <f>TRUNC((H17/H18*100000),5)/100000</f>
        <v>0.73081067799999999</v>
      </c>
      <c r="L17" s="406"/>
      <c r="M17" s="417" t="s">
        <v>1171</v>
      </c>
      <c r="O17" s="418" t="str">
        <f>IF(AND(O16="2", J20 &gt; 2),"1",IF(AND(O16 = "1", J20 &gt; 2),"2",IF(AND(O16="1", J20 &gt;1),"1","0")))</f>
        <v>0</v>
      </c>
      <c r="P17" s="218"/>
    </row>
    <row r="18" spans="1:18" s="408" customFormat="1" ht="11.25" x14ac:dyDescent="0.2">
      <c r="A18" s="218"/>
      <c r="B18" s="401"/>
      <c r="C18" s="2105" t="s">
        <v>1317</v>
      </c>
      <c r="D18" s="2106"/>
      <c r="E18" s="218"/>
      <c r="F18" s="419" t="s">
        <v>794</v>
      </c>
      <c r="G18" s="402"/>
      <c r="H18" s="403">
        <f>SUM('Acct Summary 7-8'!C8+'Acct Summary 7-8'!D8+'Acct Summary 7-8'!F8+'Acct Summary 7-8'!I8)+H19</f>
        <v>651430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2" t="s">
        <v>1412</v>
      </c>
      <c r="D24" s="2102"/>
      <c r="E24" s="218"/>
      <c r="F24" s="218" t="s">
        <v>445</v>
      </c>
      <c r="G24" s="402"/>
      <c r="H24" s="403">
        <f>SUM('Assets-Liab 5-6'!C4+'Assets-Liab 5-6'!D4+'Assets-Liab 5-6'!F4+'Assets-Liab 5-6'!I4+'Assets-Liab 5-6'!C5+'Assets-Liab 5-6'!D5+'Assets-Liab 5-6'!F5+'Assets-Liab 5-6'!I5)</f>
        <v>130889</v>
      </c>
      <c r="I24" s="422"/>
      <c r="J24" s="422"/>
      <c r="K24" s="423">
        <f>TRUNC(((H24/H25*100000)/100000),2)</f>
        <v>98.97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1322.4222199999999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1929</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2" zoomScaleNormal="82" workbookViewId="0">
      <pane ySplit="2" topLeftCell="A6" activePane="bottomLeft" state="frozen"/>
      <selection activeCell="T40" sqref="T40:AA40"/>
      <selection pane="bottomLeft" activeCell="T40" sqref="T40:AA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2" t="s">
        <v>973</v>
      </c>
      <c r="B3" s="2113"/>
      <c r="C3" s="1559"/>
      <c r="D3" s="1560"/>
      <c r="E3" s="1560"/>
      <c r="F3" s="1560"/>
      <c r="G3" s="1560"/>
      <c r="H3" s="1560"/>
      <c r="I3" s="1560"/>
      <c r="J3" s="1560"/>
      <c r="K3" s="1560"/>
      <c r="L3" s="1560"/>
      <c r="M3" s="1561"/>
      <c r="N3" s="1562"/>
    </row>
    <row r="4" spans="1:14" ht="13.5" customHeight="1" x14ac:dyDescent="0.2">
      <c r="A4" s="463" t="s">
        <v>1651</v>
      </c>
      <c r="B4" s="464"/>
      <c r="C4" s="465">
        <v>130889</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130889</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14" t="s">
        <v>147</v>
      </c>
      <c r="B14" s="2115"/>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253270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253270</v>
      </c>
      <c r="N23" s="1688">
        <f>SUM(N21:N22)</f>
        <v>0</v>
      </c>
    </row>
    <row r="24" spans="1:14" ht="18" customHeight="1" thickTop="1" x14ac:dyDescent="0.2">
      <c r="A24" s="2116" t="s">
        <v>598</v>
      </c>
      <c r="B24" s="2117"/>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55690</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55690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8" t="s">
        <v>529</v>
      </c>
      <c r="B35" s="2119"/>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75199</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253270</v>
      </c>
      <c r="N40" s="497"/>
    </row>
    <row r="41" spans="1:14" ht="13.5" customHeight="1" thickBot="1" x14ac:dyDescent="0.25">
      <c r="A41" s="1736" t="s">
        <v>655</v>
      </c>
      <c r="B41" s="1706"/>
      <c r="C41" s="1688">
        <f>(SUM(C34,C37,C38,C39))</f>
        <v>130889</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253270</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3" orientation="landscape" useFirstPageNumber="1" r:id="rId1"/>
  <headerFooter alignWithMargins="0">
    <oddHeader>&amp;L&amp;8Page &amp;P&amp;C&amp;"Arial,Bold"&amp;9STATEMENT OF ASSETS AND LIABILITIES ARISING FROM CASH TRANSACTIONS/
STATEMENT OF POSITION 
AS OF JUNE 30, 2019
&amp;R&amp;8Page &amp;P</oddHeader>
    <oddFooter xml:space="preserve">&amp;CThe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2" zoomScaleNormal="82" zoomScaleSheetLayoutView="100" workbookViewId="0">
      <pane ySplit="2" topLeftCell="A3" activePane="bottomLeft" state="frozen"/>
      <selection activeCell="T40" sqref="T40:AA40"/>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0" t="s">
        <v>1175</v>
      </c>
      <c r="B3" s="2141"/>
      <c r="C3" s="1573"/>
      <c r="D3" s="1574"/>
      <c r="E3" s="1574"/>
      <c r="F3" s="1574"/>
      <c r="G3" s="1574"/>
      <c r="H3" s="1574"/>
      <c r="I3" s="1574"/>
      <c r="J3" s="1574"/>
      <c r="K3" s="1575"/>
      <c r="L3" s="506"/>
    </row>
    <row r="4" spans="1:13" ht="15.75" customHeight="1" x14ac:dyDescent="0.2">
      <c r="A4" s="1928" t="s">
        <v>1499</v>
      </c>
      <c r="B4" s="1929">
        <v>1000</v>
      </c>
      <c r="C4" s="1742">
        <f>'Revenues 9-14'!C109</f>
        <v>501194</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131197</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19039</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651430</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0</v>
      </c>
      <c r="D9" s="516"/>
      <c r="E9" s="481"/>
      <c r="F9" s="481"/>
      <c r="G9" s="517"/>
      <c r="H9" s="481"/>
      <c r="I9" s="509" t="s">
        <v>1169</v>
      </c>
      <c r="J9" s="478"/>
      <c r="K9" s="481"/>
      <c r="L9" s="347"/>
    </row>
    <row r="10" spans="1:13" s="519" customFormat="1" ht="13.5" thickBot="1" x14ac:dyDescent="0.25">
      <c r="A10" s="1736" t="s">
        <v>1173</v>
      </c>
      <c r="B10" s="1709"/>
      <c r="C10" s="1688">
        <f>SUM(C8:C9)</f>
        <v>651430</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14" t="s">
        <v>1176</v>
      </c>
      <c r="B11" s="2115"/>
      <c r="C11" s="1570"/>
      <c r="D11" s="1571"/>
      <c r="E11" s="1571"/>
      <c r="F11" s="1571"/>
      <c r="G11" s="1571"/>
      <c r="H11" s="1571"/>
      <c r="I11" s="1571"/>
      <c r="J11" s="1571"/>
      <c r="K11" s="1572"/>
      <c r="L11" s="518"/>
    </row>
    <row r="12" spans="1:13" ht="15.75" customHeight="1" x14ac:dyDescent="0.2">
      <c r="A12" s="1576" t="s">
        <v>456</v>
      </c>
      <c r="B12" s="1578">
        <v>1000</v>
      </c>
      <c r="C12" s="1742">
        <f>'Expenditures 15-22'!K33</f>
        <v>476072</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0</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476072</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476072</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30" t="s">
        <v>1655</v>
      </c>
      <c r="B20" s="2131"/>
      <c r="C20" s="1746">
        <f>C8-C17</f>
        <v>175358</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42" t="s">
        <v>595</v>
      </c>
      <c r="B21" s="2143"/>
      <c r="C21" s="1570"/>
      <c r="D21" s="1571"/>
      <c r="E21" s="1571"/>
      <c r="F21" s="1571"/>
      <c r="G21" s="1571"/>
      <c r="H21" s="1571"/>
      <c r="I21" s="1571"/>
      <c r="J21" s="1571"/>
      <c r="K21" s="1572"/>
      <c r="L21" s="524"/>
    </row>
    <row r="22" spans="1:12" ht="15.75" customHeight="1" collapsed="1" x14ac:dyDescent="0.2">
      <c r="A22" s="2138" t="s">
        <v>596</v>
      </c>
      <c r="B22" s="2139"/>
      <c r="C22" s="477"/>
      <c r="D22" s="477"/>
      <c r="E22" s="477"/>
      <c r="F22" s="477"/>
      <c r="G22" s="477"/>
      <c r="H22" s="477"/>
      <c r="I22" s="477"/>
      <c r="J22" s="477"/>
      <c r="K22" s="477"/>
      <c r="L22" s="347"/>
    </row>
    <row r="23" spans="1:12" s="485" customFormat="1" ht="15.75" customHeight="1" x14ac:dyDescent="0.2">
      <c r="A23" s="2134" t="s">
        <v>293</v>
      </c>
      <c r="B23" s="2135"/>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1793</v>
      </c>
      <c r="B30" s="527">
        <v>7160</v>
      </c>
      <c r="C30" s="477"/>
      <c r="D30" s="467"/>
      <c r="E30" s="477"/>
      <c r="F30" s="477"/>
      <c r="G30" s="477"/>
      <c r="H30" s="477"/>
      <c r="I30" s="477"/>
      <c r="J30" s="477"/>
      <c r="K30" s="477"/>
      <c r="L30" s="524"/>
    </row>
    <row r="31" spans="1:12" s="485" customFormat="1" ht="26.25" x14ac:dyDescent="0.2">
      <c r="A31" s="1489" t="s">
        <v>1797</v>
      </c>
      <c r="B31" s="527">
        <v>7170</v>
      </c>
      <c r="C31" s="477"/>
      <c r="D31" s="477"/>
      <c r="E31" s="474"/>
      <c r="F31" s="477"/>
      <c r="G31" s="477"/>
      <c r="H31" s="477"/>
      <c r="I31" s="477"/>
      <c r="J31" s="477"/>
      <c r="K31" s="477"/>
      <c r="L31" s="524"/>
    </row>
    <row r="32" spans="1:12" s="485" customFormat="1" ht="15.75" customHeight="1" x14ac:dyDescent="0.2">
      <c r="A32" s="2136" t="s">
        <v>981</v>
      </c>
      <c r="B32" s="2137"/>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4" t="s">
        <v>374</v>
      </c>
      <c r="B44" s="2145"/>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3">
        <f>D30</f>
        <v>0</v>
      </c>
      <c r="L52" s="524"/>
    </row>
    <row r="53" spans="1:12" s="485" customFormat="1" ht="26.25" x14ac:dyDescent="0.2">
      <c r="A53" s="1490" t="s">
        <v>1795</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0" t="s">
        <v>440</v>
      </c>
      <c r="B76" s="2121"/>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2" t="s">
        <v>1177</v>
      </c>
      <c r="B77" s="2123"/>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6" t="s">
        <v>597</v>
      </c>
      <c r="B78" s="2127"/>
      <c r="C78" s="1702">
        <f t="shared" ref="C78:K78" si="9">C20+C77</f>
        <v>175358</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1946</v>
      </c>
      <c r="B79" s="534"/>
      <c r="C79" s="478">
        <v>-100159</v>
      </c>
      <c r="D79" s="535"/>
      <c r="E79" s="535"/>
      <c r="F79" s="535"/>
      <c r="G79" s="535"/>
      <c r="H79" s="535"/>
      <c r="I79" s="535"/>
      <c r="J79" s="535"/>
      <c r="K79" s="535"/>
      <c r="L79" s="347"/>
    </row>
    <row r="80" spans="1:12" x14ac:dyDescent="0.2">
      <c r="A80" s="2132" t="s">
        <v>1794</v>
      </c>
      <c r="B80" s="2133"/>
      <c r="C80" s="467"/>
      <c r="D80" s="467"/>
      <c r="E80" s="467"/>
      <c r="F80" s="467"/>
      <c r="G80" s="467"/>
      <c r="H80" s="467"/>
      <c r="I80" s="467"/>
      <c r="J80" s="467"/>
      <c r="K80" s="467"/>
      <c r="L80" s="347"/>
    </row>
    <row r="81" spans="1:12" ht="13.5" thickBot="1" x14ac:dyDescent="0.25">
      <c r="A81" s="2124" t="s">
        <v>1947</v>
      </c>
      <c r="B81" s="2125"/>
      <c r="C81" s="1688">
        <f>(SUM(C78:C80))</f>
        <v>75199</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175358</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2.331919307437599</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5" orientation="landscape" useFirstPageNumber="1" r:id="rId1"/>
  <headerFooter alignWithMargins="0">
    <oddHeader>&amp;L&amp;8Page &amp;P&amp;C&amp;"Arial,Bold"&amp;9STATEMENT OF REVENUES RECEIVED/REVENUES, EXPENDITURES/DISBURSED/EXPENDITURES, OTHER 
SOURCES (USES) AND CHANGES IN FUND BALANCE
FOR THE YEAR ENDING JUNE 30, 2019 &amp;R&amp;8Page &amp;P</oddHeader>
    <oddFooter xml:space="preserve">&amp;CThe Notes to the Basic Financial Statements are an integral part of this statement.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B1" colorId="8" zoomScale="82" zoomScaleNormal="82" zoomScaleSheetLayoutView="75" workbookViewId="0">
      <pane ySplit="2" topLeftCell="A3" activePane="bottomLeft" state="frozen"/>
      <selection activeCell="T40" sqref="T40:AA40"/>
      <selection pane="bottomLeft" activeCell="C29" sqref="C2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1801</v>
      </c>
      <c r="B1" s="452"/>
      <c r="C1" s="453" t="s">
        <v>425</v>
      </c>
      <c r="D1" s="453" t="s">
        <v>426</v>
      </c>
      <c r="E1" s="453" t="s">
        <v>427</v>
      </c>
      <c r="F1" s="453" t="s">
        <v>428</v>
      </c>
      <c r="G1" s="453" t="s">
        <v>429</v>
      </c>
      <c r="H1" s="453" t="s">
        <v>430</v>
      </c>
      <c r="I1" s="453" t="s">
        <v>431</v>
      </c>
      <c r="J1" s="453" t="s">
        <v>432</v>
      </c>
      <c r="K1" s="453" t="s">
        <v>756</v>
      </c>
    </row>
    <row r="2" spans="1:12" ht="36" x14ac:dyDescent="0.2">
      <c r="A2" s="212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v>499577</v>
      </c>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499577</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1544</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1544</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73</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73</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501194</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31" t="s">
        <v>1933</v>
      </c>
      <c r="B120" s="562">
        <v>3030</v>
      </c>
      <c r="C120" s="551"/>
      <c r="D120" s="466"/>
      <c r="E120" s="466"/>
      <c r="F120" s="466"/>
      <c r="G120" s="466"/>
      <c r="H120" s="466"/>
      <c r="I120" s="468"/>
      <c r="J120" s="467"/>
      <c r="K120" s="466"/>
    </row>
    <row r="121" spans="1:11" x14ac:dyDescent="0.2">
      <c r="A121" s="1496" t="s">
        <v>1800</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131197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131197</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8" t="s">
        <v>398</v>
      </c>
      <c r="B169" s="2149"/>
      <c r="C169" s="1722">
        <f t="shared" ref="C169:K169" si="6">SUM(C132,C141,C145,C146:C150,C155,C156:C167,C168)</f>
        <v>131197</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131197</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0" t="s">
        <v>1492</v>
      </c>
      <c r="B172" s="215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4" t="s">
        <v>1665</v>
      </c>
      <c r="B175" s="2155"/>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8" t="s">
        <v>1664</v>
      </c>
      <c r="B176" s="215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6" t="s">
        <v>785</v>
      </c>
      <c r="B181" s="2157"/>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2" t="s">
        <v>1802</v>
      </c>
      <c r="B182" s="2153"/>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19039</v>
      </c>
      <c r="D220" s="466"/>
      <c r="E220" s="468"/>
      <c r="F220" s="468"/>
      <c r="G220" s="466"/>
      <c r="H220" s="468"/>
      <c r="I220" s="468"/>
      <c r="J220" s="468"/>
      <c r="K220" s="468"/>
    </row>
    <row r="221" spans="1:11" ht="12.75" customHeight="1" thickBot="1" x14ac:dyDescent="0.25">
      <c r="A221" s="1723" t="s">
        <v>1085</v>
      </c>
      <c r="B221" s="1724"/>
      <c r="C221" s="1707">
        <f>SUM(C219:C220)</f>
        <v>19039</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1934</v>
      </c>
      <c r="B261" s="470">
        <v>4981</v>
      </c>
      <c r="C261" s="575"/>
      <c r="D261" s="576"/>
      <c r="E261" s="468"/>
      <c r="F261" s="576"/>
      <c r="G261" s="576"/>
      <c r="H261" s="468"/>
      <c r="I261" s="468"/>
      <c r="J261" s="468"/>
      <c r="K261" s="468"/>
    </row>
    <row r="262" spans="1:11" ht="12.75" customHeight="1" thickTop="1" thickBot="1" x14ac:dyDescent="0.25">
      <c r="A262" s="1932"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19039</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19039</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651430</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7" orientation="landscape" useFirstPageNumber="1" r:id="rId1"/>
  <headerFooter alignWithMargins="0">
    <oddHeader>&amp;L&amp;8Page &amp;P&amp;C&amp;"Arial,Bold"&amp;9STATEMENT OF REVENUES RECEIVED/REVENUES
FOR THE YEAR ENDING JUNE 30, 2019&amp;R&amp;8Page &amp;P</oddHeader>
    <oddFooter xml:space="preserve">&amp;CThe Notes to the Basic Financial Statements are an integral part of this statement.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82" zoomScaleNormal="82" workbookViewId="0">
      <pane ySplit="2" topLeftCell="A24" activePane="bottomLeft" state="frozen"/>
      <selection activeCell="T40" sqref="T40:AA40"/>
      <selection pane="bottomLeft" activeCell="T40" sqref="T40:AA4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1801</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8" t="s">
        <v>297</v>
      </c>
      <c r="B3" s="2169"/>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v>0</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c r="D7" s="467"/>
      <c r="E7" s="467"/>
      <c r="F7" s="467"/>
      <c r="G7" s="467"/>
      <c r="H7" s="467"/>
      <c r="I7" s="467"/>
      <c r="J7" s="467"/>
      <c r="K7" s="1671">
        <f t="shared" ref="K7:K32" si="0">SUM(C7:J7)</f>
        <v>0</v>
      </c>
      <c r="L7" s="466">
        <v>0</v>
      </c>
    </row>
    <row r="8" spans="1:14" x14ac:dyDescent="0.2">
      <c r="A8" s="1504" t="s">
        <v>164</v>
      </c>
      <c r="B8" s="614">
        <v>1200</v>
      </c>
      <c r="C8" s="466"/>
      <c r="D8" s="466"/>
      <c r="E8" s="466"/>
      <c r="F8" s="466"/>
      <c r="G8" s="466"/>
      <c r="H8" s="466"/>
      <c r="I8" s="467"/>
      <c r="J8" s="467"/>
      <c r="K8" s="1671">
        <f t="shared" si="0"/>
        <v>0</v>
      </c>
      <c r="L8" s="466">
        <v>0</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c r="D10" s="466"/>
      <c r="E10" s="466"/>
      <c r="F10" s="466"/>
      <c r="G10" s="466"/>
      <c r="H10" s="466"/>
      <c r="I10" s="467"/>
      <c r="J10" s="467"/>
      <c r="K10" s="1671">
        <f t="shared" si="0"/>
        <v>0</v>
      </c>
      <c r="L10" s="466">
        <v>0</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v>336046</v>
      </c>
      <c r="D13" s="466">
        <v>55807</v>
      </c>
      <c r="E13" s="466">
        <v>8638</v>
      </c>
      <c r="F13" s="466">
        <v>57353</v>
      </c>
      <c r="G13" s="466">
        <v>18228</v>
      </c>
      <c r="H13" s="466"/>
      <c r="I13" s="467"/>
      <c r="J13" s="467"/>
      <c r="K13" s="1671">
        <f t="shared" si="0"/>
        <v>476072</v>
      </c>
      <c r="L13" s="466">
        <v>376974</v>
      </c>
    </row>
    <row r="14" spans="1:14" x14ac:dyDescent="0.2">
      <c r="A14" s="1504" t="s">
        <v>963</v>
      </c>
      <c r="B14" s="614">
        <v>1500</v>
      </c>
      <c r="C14" s="466"/>
      <c r="D14" s="466"/>
      <c r="E14" s="466"/>
      <c r="F14" s="466"/>
      <c r="G14" s="466"/>
      <c r="H14" s="466"/>
      <c r="I14" s="467"/>
      <c r="J14" s="467"/>
      <c r="K14" s="1671">
        <f t="shared" si="0"/>
        <v>0</v>
      </c>
      <c r="L14" s="466">
        <v>0</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c r="D17" s="467"/>
      <c r="E17" s="467"/>
      <c r="F17" s="467"/>
      <c r="G17" s="467"/>
      <c r="H17" s="467"/>
      <c r="I17" s="467"/>
      <c r="J17" s="467"/>
      <c r="K17" s="1671">
        <f t="shared" si="0"/>
        <v>0</v>
      </c>
      <c r="L17" s="466">
        <v>0</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336046</v>
      </c>
      <c r="D33" s="1670">
        <f t="shared" ref="D33:L33" si="1">SUM(D5:D32)</f>
        <v>55807</v>
      </c>
      <c r="E33" s="1670">
        <f t="shared" si="1"/>
        <v>8638</v>
      </c>
      <c r="F33" s="1670">
        <f t="shared" si="1"/>
        <v>57353</v>
      </c>
      <c r="G33" s="1670">
        <f t="shared" si="1"/>
        <v>18228</v>
      </c>
      <c r="H33" s="1670">
        <f t="shared" si="1"/>
        <v>0</v>
      </c>
      <c r="I33" s="1670">
        <f t="shared" si="1"/>
        <v>0</v>
      </c>
      <c r="J33" s="1670">
        <f t="shared" si="1"/>
        <v>0</v>
      </c>
      <c r="K33" s="1670">
        <f t="shared" si="1"/>
        <v>476072</v>
      </c>
      <c r="L33" s="1670">
        <f t="shared" si="1"/>
        <v>376974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v>0</v>
      </c>
    </row>
    <row r="37" spans="1:14" x14ac:dyDescent="0.2">
      <c r="A37" s="1504" t="s">
        <v>1090</v>
      </c>
      <c r="B37" s="614">
        <v>2120</v>
      </c>
      <c r="C37" s="466"/>
      <c r="D37" s="466"/>
      <c r="E37" s="466"/>
      <c r="F37" s="466"/>
      <c r="G37" s="466"/>
      <c r="H37" s="466"/>
      <c r="I37" s="467"/>
      <c r="J37" s="467"/>
      <c r="K37" s="1671">
        <f t="shared" si="2"/>
        <v>0</v>
      </c>
      <c r="L37" s="466">
        <v>0</v>
      </c>
    </row>
    <row r="38" spans="1:14" x14ac:dyDescent="0.2">
      <c r="A38" s="1504" t="s">
        <v>198</v>
      </c>
      <c r="B38" s="614">
        <v>2130</v>
      </c>
      <c r="C38" s="466"/>
      <c r="D38" s="466"/>
      <c r="E38" s="466"/>
      <c r="F38" s="466"/>
      <c r="G38" s="466"/>
      <c r="H38" s="466"/>
      <c r="I38" s="467"/>
      <c r="J38" s="467"/>
      <c r="K38" s="1671">
        <f t="shared" si="2"/>
        <v>0</v>
      </c>
      <c r="L38" s="466">
        <v>0</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c r="D40" s="466"/>
      <c r="E40" s="466"/>
      <c r="F40" s="466"/>
      <c r="G40" s="466"/>
      <c r="H40" s="466"/>
      <c r="I40" s="467"/>
      <c r="J40" s="467"/>
      <c r="K40" s="1671">
        <f t="shared" si="2"/>
        <v>0</v>
      </c>
      <c r="L40" s="466">
        <v>0</v>
      </c>
    </row>
    <row r="41" spans="1:14" x14ac:dyDescent="0.2">
      <c r="A41" s="1504" t="s">
        <v>1669</v>
      </c>
      <c r="B41" s="614">
        <v>2190</v>
      </c>
      <c r="C41" s="466"/>
      <c r="D41" s="466"/>
      <c r="E41" s="466"/>
      <c r="F41" s="466"/>
      <c r="G41" s="466"/>
      <c r="H41" s="466"/>
      <c r="I41" s="467"/>
      <c r="J41" s="467"/>
      <c r="K41" s="1671">
        <f t="shared" si="2"/>
        <v>0</v>
      </c>
      <c r="L41" s="466">
        <v>0</v>
      </c>
    </row>
    <row r="42" spans="1:14" ht="12.75" customHeight="1" thickBot="1" x14ac:dyDescent="0.25">
      <c r="A42" s="1668" t="s">
        <v>560</v>
      </c>
      <c r="B42" s="1669" t="s">
        <v>716</v>
      </c>
      <c r="C42" s="1670">
        <f>SUM(C36:C41)</f>
        <v>0</v>
      </c>
      <c r="D42" s="1670">
        <f t="shared" ref="D42:L42" si="3">SUM(D36:D41)</f>
        <v>0</v>
      </c>
      <c r="E42" s="1670">
        <f t="shared" si="3"/>
        <v>0</v>
      </c>
      <c r="F42" s="1670">
        <f t="shared" si="3"/>
        <v>0</v>
      </c>
      <c r="G42" s="1670">
        <f t="shared" si="3"/>
        <v>0</v>
      </c>
      <c r="H42" s="1670">
        <f t="shared" si="3"/>
        <v>0</v>
      </c>
      <c r="I42" s="1670">
        <f t="shared" si="3"/>
        <v>0</v>
      </c>
      <c r="J42" s="1670">
        <f t="shared" si="3"/>
        <v>0</v>
      </c>
      <c r="K42" s="1670">
        <f t="shared" si="3"/>
        <v>0</v>
      </c>
      <c r="L42" s="1670">
        <f t="shared" si="3"/>
        <v>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v>0</v>
      </c>
    </row>
    <row r="45" spans="1:14" x14ac:dyDescent="0.2">
      <c r="A45" s="1504" t="s">
        <v>815</v>
      </c>
      <c r="B45" s="614">
        <v>2220</v>
      </c>
      <c r="C45" s="466"/>
      <c r="D45" s="466"/>
      <c r="E45" s="466"/>
      <c r="F45" s="466"/>
      <c r="G45" s="466"/>
      <c r="H45" s="466"/>
      <c r="I45" s="467"/>
      <c r="J45" s="467"/>
      <c r="K45" s="1672">
        <f>SUM(C45:J45)</f>
        <v>0</v>
      </c>
      <c r="L45" s="466">
        <v>0</v>
      </c>
    </row>
    <row r="46" spans="1:14" x14ac:dyDescent="0.2">
      <c r="A46" s="1504" t="s">
        <v>816</v>
      </c>
      <c r="B46" s="614">
        <v>2230</v>
      </c>
      <c r="C46" s="466"/>
      <c r="D46" s="466"/>
      <c r="E46" s="466"/>
      <c r="F46" s="466"/>
      <c r="G46" s="466"/>
      <c r="H46" s="466"/>
      <c r="I46" s="467"/>
      <c r="J46" s="467"/>
      <c r="K46" s="1672">
        <f>SUM(C46:J46)</f>
        <v>0</v>
      </c>
      <c r="L46" s="466">
        <v>0</v>
      </c>
    </row>
    <row r="47" spans="1:14" ht="12.75" customHeight="1" thickBot="1" x14ac:dyDescent="0.25">
      <c r="A47" s="1668" t="s">
        <v>561</v>
      </c>
      <c r="B47" s="1669" t="s">
        <v>32</v>
      </c>
      <c r="C47" s="1670">
        <f>SUM(C44:C46)</f>
        <v>0</v>
      </c>
      <c r="D47" s="1670">
        <f t="shared" ref="D47:K47" si="4">SUM(D44:D46)</f>
        <v>0</v>
      </c>
      <c r="E47" s="1670">
        <f t="shared" si="4"/>
        <v>0</v>
      </c>
      <c r="F47" s="1670">
        <f t="shared" si="4"/>
        <v>0</v>
      </c>
      <c r="G47" s="1670">
        <f t="shared" si="4"/>
        <v>0</v>
      </c>
      <c r="H47" s="1670">
        <f t="shared" si="4"/>
        <v>0</v>
      </c>
      <c r="I47" s="1670">
        <f t="shared" si="4"/>
        <v>0</v>
      </c>
      <c r="J47" s="1670">
        <f t="shared" si="4"/>
        <v>0</v>
      </c>
      <c r="K47" s="1670">
        <f t="shared" si="4"/>
        <v>0</v>
      </c>
      <c r="L47" s="1670">
        <f>SUM(L44:L46)</f>
        <v>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v>0</v>
      </c>
    </row>
    <row r="50" spans="1:14" x14ac:dyDescent="0.2">
      <c r="A50" s="1504" t="s">
        <v>818</v>
      </c>
      <c r="B50" s="614">
        <v>2320</v>
      </c>
      <c r="C50" s="466"/>
      <c r="D50" s="466"/>
      <c r="E50" s="466"/>
      <c r="F50" s="466"/>
      <c r="G50" s="466"/>
      <c r="H50" s="466"/>
      <c r="I50" s="467"/>
      <c r="J50" s="467"/>
      <c r="K50" s="1672">
        <f>SUM(C50:J50)</f>
        <v>0</v>
      </c>
      <c r="L50" s="466">
        <v>0</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0</v>
      </c>
      <c r="D53" s="1670">
        <f t="shared" ref="D53:L53" si="5">SUM(D49:D52)</f>
        <v>0</v>
      </c>
      <c r="E53" s="1670">
        <f t="shared" si="5"/>
        <v>0</v>
      </c>
      <c r="F53" s="1670">
        <f t="shared" si="5"/>
        <v>0</v>
      </c>
      <c r="G53" s="1670">
        <f t="shared" si="5"/>
        <v>0</v>
      </c>
      <c r="H53" s="1670">
        <f t="shared" si="5"/>
        <v>0</v>
      </c>
      <c r="I53" s="1670">
        <f t="shared" si="5"/>
        <v>0</v>
      </c>
      <c r="J53" s="1670">
        <f t="shared" si="5"/>
        <v>0</v>
      </c>
      <c r="K53" s="1670">
        <f t="shared" si="5"/>
        <v>0</v>
      </c>
      <c r="L53" s="1670">
        <f t="shared" si="5"/>
        <v>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v>0</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c r="D60" s="466"/>
      <c r="E60" s="466"/>
      <c r="F60" s="466"/>
      <c r="G60" s="466"/>
      <c r="H60" s="466"/>
      <c r="I60" s="467"/>
      <c r="J60" s="467"/>
      <c r="K60" s="1672">
        <f t="shared" si="7"/>
        <v>0</v>
      </c>
      <c r="L60" s="466">
        <v>0</v>
      </c>
      <c r="M60" s="609"/>
      <c r="N60" s="609"/>
    </row>
    <row r="61" spans="1:14" s="343" customFormat="1" x14ac:dyDescent="0.2">
      <c r="A61" s="1504" t="s">
        <v>197</v>
      </c>
      <c r="B61" s="614">
        <v>2540</v>
      </c>
      <c r="C61" s="466"/>
      <c r="D61" s="466"/>
      <c r="E61" s="466"/>
      <c r="F61" s="466"/>
      <c r="G61" s="466"/>
      <c r="H61" s="466"/>
      <c r="I61" s="467"/>
      <c r="J61" s="467"/>
      <c r="K61" s="1672">
        <f t="shared" si="7"/>
        <v>0</v>
      </c>
      <c r="L61" s="466">
        <v>0</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c r="D63" s="466"/>
      <c r="E63" s="466"/>
      <c r="F63" s="466"/>
      <c r="G63" s="466"/>
      <c r="H63" s="466"/>
      <c r="I63" s="467"/>
      <c r="J63" s="467"/>
      <c r="K63" s="1672">
        <f t="shared" si="7"/>
        <v>0</v>
      </c>
      <c r="L63" s="466">
        <v>0</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0</v>
      </c>
      <c r="D65" s="1670">
        <f t="shared" ref="D65:L65" si="8">SUM(D59:D64)</f>
        <v>0</v>
      </c>
      <c r="E65" s="1670">
        <f t="shared" si="8"/>
        <v>0</v>
      </c>
      <c r="F65" s="1670">
        <f t="shared" si="8"/>
        <v>0</v>
      </c>
      <c r="G65" s="1670">
        <f t="shared" si="8"/>
        <v>0</v>
      </c>
      <c r="H65" s="1670">
        <f t="shared" si="8"/>
        <v>0</v>
      </c>
      <c r="I65" s="1670">
        <f t="shared" si="8"/>
        <v>0</v>
      </c>
      <c r="J65" s="1670">
        <f t="shared" si="8"/>
        <v>0</v>
      </c>
      <c r="K65" s="1670">
        <f t="shared" si="8"/>
        <v>0</v>
      </c>
      <c r="L65" s="1670">
        <f t="shared" si="8"/>
        <v>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0</v>
      </c>
      <c r="M73" s="609"/>
      <c r="N73" s="609"/>
    </row>
    <row r="74" spans="1:14" ht="12.75" customHeight="1" thickTop="1" thickBot="1" x14ac:dyDescent="0.25">
      <c r="A74" s="1668" t="s">
        <v>811</v>
      </c>
      <c r="B74" s="1676">
        <v>2000</v>
      </c>
      <c r="C74" s="1677">
        <f>SUM(C42,C47,C53,C57,C65,C72,C73)</f>
        <v>0</v>
      </c>
      <c r="D74" s="1677">
        <f t="shared" ref="D74:K74" si="10">SUM(D42,D47,D53,D57,D65,D72,D73)</f>
        <v>0</v>
      </c>
      <c r="E74" s="1677">
        <f t="shared" si="10"/>
        <v>0</v>
      </c>
      <c r="F74" s="1677">
        <f t="shared" si="10"/>
        <v>0</v>
      </c>
      <c r="G74" s="1677">
        <f t="shared" si="10"/>
        <v>0</v>
      </c>
      <c r="H74" s="1677">
        <f t="shared" si="10"/>
        <v>0</v>
      </c>
      <c r="I74" s="1677">
        <f t="shared" si="10"/>
        <v>0</v>
      </c>
      <c r="J74" s="1677">
        <f t="shared" si="10"/>
        <v>0</v>
      </c>
      <c r="K74" s="1677">
        <f t="shared" si="10"/>
        <v>0</v>
      </c>
      <c r="L74" s="1677">
        <f>SUM(L42,L47,L53,L57,L65,L72,L73)</f>
        <v>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c r="F79" s="616"/>
      <c r="G79" s="616"/>
      <c r="H79" s="466"/>
      <c r="I79" s="477"/>
      <c r="J79" s="477"/>
      <c r="K79" s="1671">
        <f t="shared" si="11"/>
        <v>0</v>
      </c>
      <c r="L79" s="466">
        <v>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0</v>
      </c>
      <c r="F102" s="616"/>
      <c r="G102" s="616"/>
      <c r="H102" s="1677">
        <f>SUM(H84,H92,H100,H101)</f>
        <v>0</v>
      </c>
      <c r="I102" s="477"/>
      <c r="J102" s="477"/>
      <c r="K102" s="1677">
        <f>SUM(K84,K92,K100,K101)</f>
        <v>0</v>
      </c>
      <c r="L102" s="1677">
        <f>SUM(L84,L92,L100,L101)</f>
        <v>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336046</v>
      </c>
      <c r="D114" s="1670">
        <f t="shared" ref="D114:K114" si="13">SUM(D33,D74,D75,D102,D112,D113)</f>
        <v>55807</v>
      </c>
      <c r="E114" s="1670">
        <f t="shared" si="13"/>
        <v>8638</v>
      </c>
      <c r="F114" s="1670">
        <f t="shared" si="13"/>
        <v>57353</v>
      </c>
      <c r="G114" s="1670">
        <f t="shared" si="13"/>
        <v>18228</v>
      </c>
      <c r="H114" s="1670">
        <f>SUM(H33,H74,H75,H102,H112,H113)</f>
        <v>0</v>
      </c>
      <c r="I114" s="1670">
        <f t="shared" si="13"/>
        <v>0</v>
      </c>
      <c r="J114" s="1670">
        <f t="shared" si="13"/>
        <v>0</v>
      </c>
      <c r="K114" s="1670">
        <f t="shared" si="13"/>
        <v>476072</v>
      </c>
      <c r="L114" s="1670">
        <f>SUM(L33,L74,L75,L102,L112,L113)</f>
        <v>376974</v>
      </c>
    </row>
    <row r="115" spans="1:14" ht="13.5" thickTop="1" x14ac:dyDescent="0.2">
      <c r="A115" s="2160" t="s">
        <v>996</v>
      </c>
      <c r="B115" s="2161"/>
      <c r="C115" s="618"/>
      <c r="D115" s="618"/>
      <c r="E115" s="618"/>
      <c r="F115" s="618"/>
      <c r="G115" s="618"/>
      <c r="H115" s="618"/>
      <c r="I115" s="618"/>
      <c r="J115" s="618"/>
      <c r="K115" s="1684">
        <f>'Revenues 9-14'!C268-'Expenditures 15-22'!K114</f>
        <v>175358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296</v>
      </c>
      <c r="B117" s="2166"/>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0</v>
      </c>
    </row>
    <row r="124" spans="1:14" ht="14.25" thickTop="1" thickBot="1" x14ac:dyDescent="0.25">
      <c r="A124" s="1504" t="s">
        <v>197</v>
      </c>
      <c r="B124" s="614">
        <v>2540</v>
      </c>
      <c r="C124" s="466"/>
      <c r="D124" s="466"/>
      <c r="E124" s="466"/>
      <c r="F124" s="466"/>
      <c r="G124" s="466"/>
      <c r="H124" s="466"/>
      <c r="I124" s="467"/>
      <c r="J124" s="467"/>
      <c r="K124" s="1670">
        <f>SUM(C124:J124)</f>
        <v>0</v>
      </c>
      <c r="L124" s="466">
        <v>0</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1843</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7" t="s">
        <v>620</v>
      </c>
      <c r="B151" s="2157"/>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80" t="s">
        <v>1178</v>
      </c>
      <c r="B152" s="2181"/>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621</v>
      </c>
      <c r="B154" s="2167"/>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1844</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1843</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1845</v>
      </c>
      <c r="C158" s="616"/>
      <c r="D158" s="616"/>
      <c r="E158" s="616"/>
      <c r="F158" s="616"/>
      <c r="G158" s="616"/>
      <c r="H158" s="467"/>
      <c r="I158" s="616"/>
      <c r="J158" s="616"/>
      <c r="K158" s="1671">
        <f>H158</f>
        <v>0</v>
      </c>
      <c r="L158" s="467">
        <v>0</v>
      </c>
      <c r="M158" s="619"/>
      <c r="N158" s="619"/>
    </row>
    <row r="159" spans="1:14" s="620" customFormat="1" ht="12" x14ac:dyDescent="0.2">
      <c r="A159" s="1826" t="s">
        <v>1846</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1847</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v>0</v>
      </c>
    </row>
    <row r="170" spans="1:14" ht="33.75" customHeight="1" x14ac:dyDescent="0.2">
      <c r="A170" s="669" t="s">
        <v>1670</v>
      </c>
      <c r="B170" s="671" t="s">
        <v>31</v>
      </c>
      <c r="C170" s="616"/>
      <c r="D170" s="616"/>
      <c r="E170" s="616"/>
      <c r="F170" s="616"/>
      <c r="G170" s="616"/>
      <c r="H170" s="569"/>
      <c r="I170" s="616"/>
      <c r="J170" s="616"/>
      <c r="K170" s="1671">
        <f>SUM(C170:J170)</f>
        <v>0</v>
      </c>
      <c r="L170" s="569">
        <v>0</v>
      </c>
    </row>
    <row r="171" spans="1:14" ht="15.75" customHeight="1" x14ac:dyDescent="0.2">
      <c r="A171" s="621" t="s">
        <v>766</v>
      </c>
      <c r="B171" s="672" t="s">
        <v>84</v>
      </c>
      <c r="C171" s="616"/>
      <c r="D171" s="616"/>
      <c r="E171" s="466"/>
      <c r="F171" s="616"/>
      <c r="G171" s="616"/>
      <c r="H171" s="569"/>
      <c r="I171" s="477"/>
      <c r="J171" s="616"/>
      <c r="K171" s="1671">
        <f>SUM(C171:J171)</f>
        <v>0</v>
      </c>
      <c r="L171" s="569">
        <v>0</v>
      </c>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60" t="s">
        <v>996</v>
      </c>
      <c r="B175" s="2161"/>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v>0</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60" t="s">
        <v>996</v>
      </c>
      <c r="B211" s="2161"/>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965</v>
      </c>
      <c r="B213" s="2183"/>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v>0</v>
      </c>
    </row>
    <row r="216" spans="1:14" x14ac:dyDescent="0.2">
      <c r="A216" s="1504" t="s">
        <v>163</v>
      </c>
      <c r="B216" s="614" t="s">
        <v>967</v>
      </c>
      <c r="C216" s="616"/>
      <c r="D216" s="467"/>
      <c r="E216" s="616"/>
      <c r="F216" s="616"/>
      <c r="G216" s="616"/>
      <c r="H216" s="616"/>
      <c r="I216" s="616"/>
      <c r="J216" s="616"/>
      <c r="K216" s="1671">
        <f t="shared" ref="K216:K228" si="19">D216</f>
        <v>0</v>
      </c>
      <c r="L216" s="466">
        <v>0</v>
      </c>
    </row>
    <row r="217" spans="1:14" x14ac:dyDescent="0.2">
      <c r="A217" s="1504" t="s">
        <v>164</v>
      </c>
      <c r="B217" s="614">
        <v>1200</v>
      </c>
      <c r="C217" s="616"/>
      <c r="D217" s="466"/>
      <c r="E217" s="616"/>
      <c r="F217" s="616"/>
      <c r="G217" s="616"/>
      <c r="H217" s="616"/>
      <c r="I217" s="616"/>
      <c r="J217" s="616"/>
      <c r="K217" s="1671">
        <f t="shared" si="19"/>
        <v>0</v>
      </c>
      <c r="L217" s="466">
        <v>0</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c r="E219" s="616"/>
      <c r="F219" s="616"/>
      <c r="G219" s="616"/>
      <c r="H219" s="616"/>
      <c r="I219" s="616"/>
      <c r="J219" s="616"/>
      <c r="K219" s="1671">
        <f t="shared" si="19"/>
        <v>0</v>
      </c>
      <c r="L219" s="466">
        <v>0</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c r="E222" s="616"/>
      <c r="F222" s="616"/>
      <c r="G222" s="616"/>
      <c r="H222" s="616"/>
      <c r="I222" s="616"/>
      <c r="J222" s="616"/>
      <c r="K222" s="1671">
        <f t="shared" si="19"/>
        <v>0</v>
      </c>
      <c r="L222" s="466">
        <v>0</v>
      </c>
    </row>
    <row r="223" spans="1:14" x14ac:dyDescent="0.2">
      <c r="A223" s="1504" t="s">
        <v>963</v>
      </c>
      <c r="B223" s="614">
        <v>1500</v>
      </c>
      <c r="C223" s="616"/>
      <c r="D223" s="466"/>
      <c r="E223" s="616"/>
      <c r="F223" s="616"/>
      <c r="G223" s="616"/>
      <c r="H223" s="616"/>
      <c r="I223" s="616"/>
      <c r="J223" s="616"/>
      <c r="K223" s="1671">
        <f t="shared" si="19"/>
        <v>0</v>
      </c>
      <c r="L223" s="466">
        <v>0</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0</v>
      </c>
    </row>
    <row r="233" spans="1:12" x14ac:dyDescent="0.2">
      <c r="A233" s="1504" t="s">
        <v>1090</v>
      </c>
      <c r="B233" s="614">
        <v>2120</v>
      </c>
      <c r="C233" s="616"/>
      <c r="D233" s="466"/>
      <c r="E233" s="616"/>
      <c r="F233" s="616"/>
      <c r="G233" s="616"/>
      <c r="H233" s="616"/>
      <c r="I233" s="616"/>
      <c r="J233" s="616"/>
      <c r="K233" s="1671">
        <f t="shared" si="20"/>
        <v>0</v>
      </c>
      <c r="L233" s="466">
        <v>0</v>
      </c>
    </row>
    <row r="234" spans="1:12" x14ac:dyDescent="0.2">
      <c r="A234" s="1504" t="s">
        <v>198</v>
      </c>
      <c r="B234" s="614">
        <v>2130</v>
      </c>
      <c r="C234" s="616"/>
      <c r="D234" s="466"/>
      <c r="E234" s="616"/>
      <c r="F234" s="616"/>
      <c r="G234" s="616"/>
      <c r="H234" s="616"/>
      <c r="I234" s="616"/>
      <c r="J234" s="616"/>
      <c r="K234" s="1671">
        <f t="shared" si="20"/>
        <v>0</v>
      </c>
      <c r="L234" s="466">
        <v>0</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c r="E236" s="616"/>
      <c r="F236" s="616"/>
      <c r="G236" s="616"/>
      <c r="H236" s="616"/>
      <c r="I236" s="616"/>
      <c r="J236" s="616"/>
      <c r="K236" s="1671">
        <f t="shared" si="20"/>
        <v>0</v>
      </c>
      <c r="L236" s="466">
        <v>0</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v>0</v>
      </c>
    </row>
    <row r="241" spans="1:12" x14ac:dyDescent="0.2">
      <c r="A241" s="1504" t="s">
        <v>815</v>
      </c>
      <c r="B241" s="614">
        <v>2220</v>
      </c>
      <c r="C241" s="616"/>
      <c r="D241" s="466"/>
      <c r="E241" s="616"/>
      <c r="F241" s="616"/>
      <c r="G241" s="616"/>
      <c r="H241" s="616"/>
      <c r="I241" s="616"/>
      <c r="J241" s="616"/>
      <c r="K241" s="1672">
        <f>D241</f>
        <v>0</v>
      </c>
      <c r="L241" s="466">
        <v>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v>0</v>
      </c>
    </row>
    <row r="246" spans="1:12" x14ac:dyDescent="0.2">
      <c r="A246" s="1504" t="s">
        <v>818</v>
      </c>
      <c r="B246" s="614">
        <v>2320</v>
      </c>
      <c r="C246" s="616"/>
      <c r="D246" s="466"/>
      <c r="E246" s="616"/>
      <c r="F246" s="616"/>
      <c r="G246" s="616"/>
      <c r="H246" s="616"/>
      <c r="I246" s="616"/>
      <c r="J246" s="616"/>
      <c r="K246" s="1672">
        <f t="shared" ref="K246:K256" si="21">D246</f>
        <v>0</v>
      </c>
      <c r="L246" s="466">
        <v>0</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1804</v>
      </c>
      <c r="B249" s="683" t="s">
        <v>282</v>
      </c>
      <c r="C249" s="616"/>
      <c r="D249" s="474"/>
      <c r="E249" s="616"/>
      <c r="F249" s="616"/>
      <c r="G249" s="616"/>
      <c r="H249" s="616"/>
      <c r="I249" s="616"/>
      <c r="J249" s="616"/>
      <c r="K249" s="1672">
        <f t="shared" si="21"/>
        <v>0</v>
      </c>
      <c r="L249" s="466">
        <v>0</v>
      </c>
    </row>
    <row r="250" spans="1:12" x14ac:dyDescent="0.2">
      <c r="A250" s="1505" t="s">
        <v>1805</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v>0</v>
      </c>
    </row>
    <row r="260" spans="1:14" s="597" customFormat="1" x14ac:dyDescent="0.2">
      <c r="A260" s="1522" t="s">
        <v>1803</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c r="E264" s="616"/>
      <c r="F264" s="616"/>
      <c r="G264" s="616"/>
      <c r="H264" s="616"/>
      <c r="I264" s="616"/>
      <c r="J264" s="616"/>
      <c r="K264" s="1672">
        <f t="shared" ref="K264:K269" si="22">D264</f>
        <v>0</v>
      </c>
      <c r="L264" s="466">
        <v>0</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c r="E266" s="616"/>
      <c r="F266" s="616"/>
      <c r="G266" s="616"/>
      <c r="H266" s="616"/>
      <c r="I266" s="616"/>
      <c r="J266" s="616"/>
      <c r="K266" s="1672">
        <f t="shared" si="22"/>
        <v>0</v>
      </c>
      <c r="L266" s="466">
        <v>0</v>
      </c>
    </row>
    <row r="267" spans="1:14" x14ac:dyDescent="0.2">
      <c r="A267" s="1504" t="s">
        <v>953</v>
      </c>
      <c r="B267" s="614">
        <v>2550</v>
      </c>
      <c r="C267" s="616"/>
      <c r="D267" s="466"/>
      <c r="E267" s="616"/>
      <c r="F267" s="616"/>
      <c r="G267" s="616"/>
      <c r="H267" s="616"/>
      <c r="I267" s="616"/>
      <c r="J267" s="616"/>
      <c r="K267" s="1672">
        <f t="shared" si="22"/>
        <v>0</v>
      </c>
      <c r="L267" s="466">
        <v>0</v>
      </c>
    </row>
    <row r="268" spans="1:14" x14ac:dyDescent="0.2">
      <c r="A268" s="1504" t="s">
        <v>100</v>
      </c>
      <c r="B268" s="614">
        <v>2560</v>
      </c>
      <c r="C268" s="616"/>
      <c r="D268" s="466"/>
      <c r="E268" s="616"/>
      <c r="F268" s="616"/>
      <c r="G268" s="616"/>
      <c r="H268" s="616"/>
      <c r="I268" s="616"/>
      <c r="J268" s="616"/>
      <c r="K268" s="1672">
        <f t="shared" si="22"/>
        <v>0</v>
      </c>
      <c r="L268" s="466">
        <v>0</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1843</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8" t="s">
        <v>505</v>
      </c>
      <c r="B295" s="2179"/>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60" t="s">
        <v>996</v>
      </c>
      <c r="B296" s="2161"/>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1848</v>
      </c>
      <c r="B306" s="690" t="s">
        <v>1843</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5" t="s">
        <v>277</v>
      </c>
      <c r="B312" s="2176"/>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1" t="s">
        <v>996</v>
      </c>
      <c r="B313" s="2172"/>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898</v>
      </c>
      <c r="B317" s="2185"/>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1804</v>
      </c>
      <c r="B320" s="698" t="s">
        <v>282</v>
      </c>
      <c r="C320" s="467"/>
      <c r="D320" s="467"/>
      <c r="E320" s="467"/>
      <c r="F320" s="467"/>
      <c r="G320" s="467"/>
      <c r="H320" s="467"/>
      <c r="I320" s="467"/>
      <c r="J320" s="467"/>
      <c r="K320" s="1671">
        <f t="shared" ref="K320:K327" si="24">SUM(C320:J320)</f>
        <v>0</v>
      </c>
      <c r="L320" s="467">
        <v>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1849</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1843</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1845</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1850</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0</v>
      </c>
    </row>
    <row r="343" spans="1:14" ht="12.75" customHeight="1" thickTop="1" x14ac:dyDescent="0.2">
      <c r="A343" s="2173" t="s">
        <v>996</v>
      </c>
      <c r="B343" s="2174"/>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966</v>
      </c>
      <c r="B345" s="2164"/>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0</v>
      </c>
    </row>
    <row r="349" spans="1:14" x14ac:dyDescent="0.2">
      <c r="A349" s="1504" t="s">
        <v>197</v>
      </c>
      <c r="B349" s="614">
        <v>2540</v>
      </c>
      <c r="C349" s="466"/>
      <c r="D349" s="466"/>
      <c r="E349" s="466"/>
      <c r="F349" s="466"/>
      <c r="G349" s="466"/>
      <c r="H349" s="466"/>
      <c r="I349" s="467"/>
      <c r="J349" s="467"/>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1851</v>
      </c>
      <c r="B354" s="683" t="s">
        <v>1843</v>
      </c>
      <c r="C354" s="616"/>
      <c r="D354" s="616"/>
      <c r="E354" s="616"/>
      <c r="F354" s="616"/>
      <c r="G354" s="616"/>
      <c r="H354" s="474"/>
      <c r="I354" s="701"/>
      <c r="J354" s="616"/>
      <c r="K354" s="1699">
        <f>H354</f>
        <v>0</v>
      </c>
      <c r="L354" s="471">
        <v>0</v>
      </c>
    </row>
    <row r="355" spans="1:14" ht="12.75" customHeight="1" x14ac:dyDescent="0.2">
      <c r="A355" s="1513" t="s">
        <v>1852</v>
      </c>
      <c r="B355" s="690" t="s">
        <v>1845</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60" t="s">
        <v>996</v>
      </c>
      <c r="B368" s="2161"/>
      <c r="C368" s="654"/>
      <c r="D368" s="654"/>
      <c r="E368" s="626"/>
      <c r="F368" s="626"/>
      <c r="G368" s="626"/>
      <c r="H368" s="626"/>
      <c r="I368" s="626"/>
      <c r="J368" s="623"/>
      <c r="K368" s="167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3"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&amp;CThe Notes to the Basic Financial Statements are an integral part of this statement.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purl.org/dc/elements/1.1/"/>
    <ds:schemaRef ds:uri="http://www.w3.org/XML/1998/namespace"/>
    <ds:schemaRef ds:uri="http://schemas.microsoft.com/office/2006/metadata/properties"/>
    <ds:schemaRef ds:uri="http://schemas.microsoft.com/office/infopath/2007/PartnerControls"/>
    <ds:schemaRef ds:uri="6ce3111e-7420-4802-b50a-75d4e9a0b980"/>
    <ds:schemaRef ds:uri="http://schemas.microsoft.com/office/2006/documentManagement/types"/>
    <ds:schemaRef ds:uri="http://schemas.openxmlformats.org/package/2006/metadata/core-properties"/>
    <ds:schemaRef ds:uri="http://schemas.microsoft.com/sharepoint/v3"/>
    <ds:schemaRef ds:uri="4d435f69-8686-490b-bd6d-b153bf22ab50"/>
    <ds:schemaRef ds:uri="d21dc803-237d-4c68-8692-8d731fd29118"/>
    <ds:schemaRef ds:uri="http://purl.org/dc/te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2019-11-12T21:19:44Z</cp:lastPrinted>
  <dcterms:created xsi:type="dcterms:W3CDTF">2003-10-29T19:06:34Z</dcterms:created>
  <dcterms:modified xsi:type="dcterms:W3CDTF">2019-12-13T16:48:02Z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