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2EC863BA-E6AA-4E34-939F-056CF3BA6C74}" xr6:coauthVersionLast="36" xr6:coauthVersionMax="36" xr10:uidLastSave="{00000000-0000-0000-0000-000000000000}"/>
  <bookViews>
    <workbookView xWindow="0" yWindow="0" windowWidth="28800" windowHeight="12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4" i="173" l="1"/>
  <c r="D28" i="173"/>
  <c r="D29" i="173" l="1"/>
  <c r="L19" i="179"/>
  <c r="L14" i="179"/>
  <c r="F20" i="179"/>
  <c r="F21" i="179" s="1"/>
  <c r="F25" i="179" s="1"/>
  <c r="K20" i="179"/>
  <c r="K21" i="179" s="1"/>
  <c r="K25" i="179" s="1"/>
  <c r="J20" i="179"/>
  <c r="J21" i="179" s="1"/>
  <c r="J25" i="179" s="1"/>
  <c r="I20" i="179"/>
  <c r="I21" i="179" s="1"/>
  <c r="I25" i="179" s="1"/>
  <c r="H20" i="179"/>
  <c r="H21" i="179" s="1"/>
  <c r="H25" i="179" s="1"/>
  <c r="G20" i="179"/>
  <c r="G21" i="179" s="1"/>
  <c r="G25" i="179" s="1"/>
  <c r="E20" i="179"/>
  <c r="E21" i="179" s="1"/>
  <c r="E25" i="179" s="1"/>
  <c r="H13" i="145"/>
  <c r="L25" i="179" l="1"/>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E31" i="181"/>
  <c r="E30" i="181"/>
  <c r="F30" i="181" s="1"/>
  <c r="E29" i="181"/>
  <c r="E28" i="181"/>
  <c r="F28" i="181" s="1"/>
  <c r="E26" i="181"/>
  <c r="F26" i="181" s="1"/>
  <c r="E24" i="181"/>
  <c r="E23" i="181"/>
  <c r="E22" i="181"/>
  <c r="E19" i="181"/>
  <c r="F19" i="181" s="1"/>
  <c r="F32" i="181" l="1"/>
  <c r="G32" i="181" s="1"/>
  <c r="F31" i="181"/>
  <c r="G31" i="181" s="1"/>
  <c r="F29" i="181"/>
  <c r="G29" i="181" s="1"/>
  <c r="F24" i="181"/>
  <c r="G24" i="181" s="1"/>
  <c r="F23" i="181"/>
  <c r="G23" i="181" s="1"/>
  <c r="F22" i="181"/>
  <c r="G22" i="181" s="1"/>
  <c r="G44" i="181"/>
  <c r="G43" i="181"/>
  <c r="G34" i="181"/>
  <c r="G30" i="181"/>
  <c r="G28" i="181"/>
  <c r="G26" i="181"/>
  <c r="G19" i="181"/>
  <c r="D142" i="181"/>
  <c r="D80" i="36" l="1"/>
  <c r="B7797" i="106"/>
  <c r="E142" i="181"/>
  <c r="E17" i="181"/>
  <c r="F17" i="181" s="1"/>
  <c r="G17" i="181" l="1"/>
  <c r="G142" i="181"/>
  <c r="G40" i="108" l="1"/>
  <c r="B7799" i="106"/>
  <c r="F142" i="181"/>
  <c r="B7798" i="106" s="1"/>
  <c r="E40" i="108"/>
  <c r="B4" i="179" l="1"/>
  <c r="D17" i="171" l="1"/>
  <c r="L24" i="179" l="1"/>
  <c r="L23" i="179"/>
  <c r="L22" i="179"/>
  <c r="L21" i="179"/>
  <c r="L20" i="179"/>
  <c r="L18" i="179"/>
  <c r="L17" i="179"/>
  <c r="L16" i="179"/>
  <c r="L15"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82" i="36"/>
  <c r="D78" i="36"/>
  <c r="K75" i="29"/>
  <c r="C14" i="4" s="1"/>
  <c r="B2558" i="106" s="1"/>
  <c r="D2558" i="106" s="1"/>
  <c r="K130" i="29"/>
  <c r="D14" i="4" s="1"/>
  <c r="B2570" i="106" s="1"/>
  <c r="D2570" i="106" s="1"/>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7"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31" i="108" l="1"/>
  <c r="B1274" i="106"/>
  <c r="D1274" i="106" s="1"/>
  <c r="F56" i="34"/>
  <c r="J22" i="37"/>
  <c r="G14" i="4"/>
  <c r="B2609" i="106" s="1"/>
  <c r="D2609" i="106" s="1"/>
  <c r="E33" i="108"/>
  <c r="D22" i="37"/>
  <c r="L22" i="37"/>
  <c r="B1126" i="106"/>
  <c r="D1126" i="106" s="1"/>
  <c r="G35" i="108"/>
  <c r="E35" i="108"/>
  <c r="H28" i="118"/>
  <c r="B7047" i="106"/>
  <c r="D7047" i="106" s="1"/>
  <c r="B7078" i="106"/>
  <c r="D7078" i="106" s="1"/>
  <c r="F34" i="34"/>
  <c r="D69" i="36"/>
  <c r="F38" i="34"/>
  <c r="E34" i="108"/>
  <c r="G26" i="108"/>
  <c r="E26" i="108"/>
  <c r="H365" i="29"/>
  <c r="B7242" i="106" s="1"/>
  <c r="D7242" i="106" s="1"/>
  <c r="F72" i="34"/>
  <c r="F71" i="34"/>
  <c r="B7074" i="106"/>
  <c r="D7074" i="106" s="1"/>
  <c r="F52" i="34"/>
  <c r="G15" i="145"/>
  <c r="F37" i="34"/>
  <c r="H112" i="29"/>
  <c r="B7018" i="106" s="1"/>
  <c r="D7018" i="106" s="1"/>
  <c r="G30" i="108"/>
  <c r="B3647" i="106"/>
  <c r="D3647" i="106" s="1"/>
  <c r="I210" i="29"/>
  <c r="B7071" i="106" s="1"/>
  <c r="D7071" i="106" s="1"/>
  <c r="L367" i="29"/>
  <c r="D6103" i="106"/>
  <c r="D24" i="37"/>
  <c r="B4270" i="106" s="1"/>
  <c r="D4270" i="106" s="1"/>
  <c r="D68" i="36"/>
  <c r="H33" i="118"/>
  <c r="L13" i="11"/>
  <c r="B2060" i="106" s="1"/>
  <c r="D2060" i="106" s="1"/>
  <c r="L5" i="11"/>
  <c r="B2056" i="106" s="1"/>
  <c r="D2056" i="106" s="1"/>
  <c r="F19" i="7"/>
  <c r="B1807" i="106" s="1"/>
  <c r="D1807" i="106" s="1"/>
  <c r="D54" i="36"/>
  <c r="B6289" i="106"/>
  <c r="D6289" i="106" s="1"/>
  <c r="F36" i="108"/>
  <c r="F68" i="34"/>
  <c r="F46" i="34"/>
  <c r="F36" i="34"/>
  <c r="F28" i="108"/>
  <c r="J129" i="29"/>
  <c r="B7038" i="106" s="1"/>
  <c r="D7038" i="106" s="1"/>
  <c r="I129" i="29"/>
  <c r="B7037" i="106" s="1"/>
  <c r="D7037" i="106" s="1"/>
  <c r="E29" i="108"/>
  <c r="F42" i="34"/>
  <c r="H342" i="29"/>
  <c r="B7221" i="106" s="1"/>
  <c r="D7221" i="106" s="1"/>
  <c r="F70" i="34"/>
  <c r="D36" i="108"/>
  <c r="L342" i="29"/>
  <c r="B1124" i="106"/>
  <c r="D1124" i="106" s="1"/>
  <c r="F50" i="34"/>
  <c r="G39" i="108"/>
  <c r="H76" i="4"/>
  <c r="B3298" i="106" s="1"/>
  <c r="D3298" i="106" s="1"/>
  <c r="J41" i="3"/>
  <c r="B6216" i="106" s="1"/>
  <c r="D6216" i="106" s="1"/>
  <c r="J77" i="4"/>
  <c r="B6262" i="106" s="1"/>
  <c r="D6262" i="106" s="1"/>
  <c r="F77" i="4"/>
  <c r="B3255" i="106" s="1"/>
  <c r="D3255" i="106" s="1"/>
  <c r="K76" i="4"/>
  <c r="B3586" i="106" s="1"/>
  <c r="D3586" i="106" s="1"/>
  <c r="B6995" i="106"/>
  <c r="D6995" i="106" s="1"/>
  <c r="E38" i="108"/>
  <c r="G29" i="108"/>
  <c r="B2724" i="106"/>
  <c r="D2724" i="106" s="1"/>
  <c r="C352" i="29"/>
  <c r="C367" i="29" s="1"/>
  <c r="B3622" i="106" s="1"/>
  <c r="D3622" i="106" s="1"/>
  <c r="C129" i="29"/>
  <c r="B1225" i="106" s="1"/>
  <c r="D1225" i="106" s="1"/>
  <c r="J352" i="29"/>
  <c r="J367" i="29" s="1"/>
  <c r="B7245" i="106" s="1"/>
  <c r="D7245" i="106" s="1"/>
  <c r="C342" i="29"/>
  <c r="B7216" i="106" s="1"/>
  <c r="D7216" i="106" s="1"/>
  <c r="J210" i="29"/>
  <c r="B7072" i="106" s="1"/>
  <c r="D7072" i="106" s="1"/>
  <c r="K184" i="29"/>
  <c r="F13" i="4" s="1"/>
  <c r="B2596" i="106" s="1"/>
  <c r="D2596" i="106" s="1"/>
  <c r="G210" i="29"/>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K28" i="118" l="1"/>
  <c r="O27" i="118" s="1"/>
  <c r="O29" i="118" s="1"/>
  <c r="B1328" i="106"/>
  <c r="D1328" i="106" s="1"/>
  <c r="B3621" i="106"/>
  <c r="D3621" i="106" s="1"/>
  <c r="D7254" i="106"/>
  <c r="D7250" i="106"/>
  <c r="D7251" i="106"/>
  <c r="D7256" i="106"/>
  <c r="B1266" i="106"/>
  <c r="D1266" i="106" s="1"/>
  <c r="I151" i="29"/>
  <c r="F59" i="34" s="1"/>
  <c r="J151" i="29"/>
  <c r="B7052" i="106" s="1"/>
  <c r="D7052" i="106" s="1"/>
  <c r="B1381" i="106"/>
  <c r="D1381" i="106" s="1"/>
  <c r="I7" i="4"/>
  <c r="B4444" i="106" s="1"/>
  <c r="D4444" i="106" s="1"/>
  <c r="F66" i="34"/>
  <c r="C151" i="29"/>
  <c r="B1226" i="106" s="1"/>
  <c r="D1226" i="106" s="1"/>
  <c r="J16" i="4"/>
  <c r="B6226" i="106" s="1"/>
  <c r="D6226" i="106" s="1"/>
  <c r="F41" i="108"/>
  <c r="G43" i="108" s="1"/>
  <c r="L114" i="29"/>
  <c r="D41" i="108"/>
  <c r="E43" i="108" s="1"/>
  <c r="H77" i="4"/>
  <c r="B3299" i="106" s="1"/>
  <c r="D3299" i="106" s="1"/>
  <c r="L16" i="11"/>
  <c r="B2061" i="106" s="1"/>
  <c r="D2061" i="106" s="1"/>
  <c r="D51" i="36"/>
  <c r="B1365" i="106"/>
  <c r="D1365" i="106" s="1"/>
  <c r="F65" i="34"/>
  <c r="B5778" i="106"/>
  <c r="D5778" i="106" s="1"/>
  <c r="G6" i="4"/>
  <c r="B2604" i="106" s="1"/>
  <c r="D2604" i="106" s="1"/>
  <c r="B5527" i="106"/>
  <c r="D5527" i="106" s="1"/>
  <c r="B5770" i="106"/>
  <c r="D5770" i="106" s="1"/>
  <c r="K77" i="4"/>
  <c r="B3587" i="106" s="1"/>
  <c r="D3587" i="106" s="1"/>
  <c r="C114" i="29"/>
  <c r="B757" i="106" s="1"/>
  <c r="D757" i="106" s="1"/>
  <c r="K365" i="29"/>
  <c r="B7243" i="106" s="1"/>
  <c r="D7243" i="106" s="1"/>
  <c r="K342" i="29"/>
  <c r="F13" i="34" s="1"/>
  <c r="D44" i="36"/>
  <c r="N23" i="3"/>
  <c r="B284" i="106" s="1"/>
  <c r="D284"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051" i="106"/>
  <c r="D7051" i="106" s="1"/>
  <c r="K16" i="4"/>
  <c r="B7224" i="106"/>
  <c r="D7224" i="106" s="1"/>
  <c r="K367" i="29"/>
  <c r="B3678" i="106" s="1"/>
  <c r="D3678"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19" i="4"/>
  <c r="B6229" i="106" s="1"/>
  <c r="D6229" i="106" s="1"/>
  <c r="J20" i="4"/>
  <c r="J78" i="4" s="1"/>
  <c r="F8" i="4"/>
  <c r="B2595" i="106" s="1"/>
  <c r="D2595" i="106" s="1"/>
  <c r="J10" i="4"/>
  <c r="B6225" i="106" s="1"/>
  <c r="D62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B6230" i="106"/>
  <c r="D6230" i="106" s="1"/>
  <c r="F10" i="4"/>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<sst xmlns="http://schemas.openxmlformats.org/spreadsheetml/2006/main" count="5235" uniqueCount="2145">
  <si>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</si>
  <si>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</si>
  <si>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</si>
  <si>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</si>
  <si>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</si>
  <si>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</si>
  <si>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</si>
  <si>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</si>
  <si>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</si>
  <si>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</si>
  <si>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</si>
  <si>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</si>
  <si>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</si>
  <si>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</si>
  <si>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</si>
  <si>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</si>
  <si>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</si>
  <si>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</si>
  <si>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</si>
  <si>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</si>
  <si>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</si>
  <si>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</si>
  <si>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</si>
  <si>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</si>
  <si>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</si>
  <si>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</si>
  <si>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</si>
  <si>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</si>
  <si>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</si>
  <si>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</si>
  <si>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</si>
  <si>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</si>
  <si>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</si>
  <si>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</si>
  <si>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</si>
  <si>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</si>
  <si>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</si>
  <si>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</si>
  <si>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</si>
  <si>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</si>
  <si>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</si>
  <si>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</si>
  <si>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</si>
  <si>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</si>
  <si>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</si>
  <si>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</si>
  <si>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</si>
  <si>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</si>
  <si>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</si>
  <si>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</si>
  <si>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</si>
  <si>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</si>
  <si>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</si>
  <si>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</si>
  <si>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</si>
  <si>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</si>
  <si>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</si>
  <si>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</si>
  <si>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</si>
  <si>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</si>
  <si>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</si>
  <si>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</si>
  <si>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</si>
  <si>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</si>
  <si>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</si>
  <si>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</si>
  <si>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</si>
  <si>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</si>
  <si>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</si>
  <si>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</si>
  <si>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</si>
  <si>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</si>
  <si>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</si>
  <si>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</si>
  <si>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</si>
  <si>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</si>
  <si>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</si>
  <si>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</si>
  <si>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</si>
  <si>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</si>
  <si>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</si>
  <si>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</si>
  <si>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</si>
  <si>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</si>
  <si>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</si>
  <si>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</si>
  <si>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</si>
  <si>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</si>
  <si>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</si>
  <si>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</si>
  <si>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</si>
  <si>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</si>
  <si>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</si>
  <si>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</si>
  <si>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</si>
  <si>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</si>
  <si>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</si>
  <si>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</si>
  <si>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</si>
  <si>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</si>
  <si>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</si>
  <si>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</si>
  <si>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</si>
  <si>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</si>
  <si>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</si>
  <si>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</si>
  <si>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</si>
  <si>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</si>
  <si>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</si>
  <si>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</si>
  <si>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</si>
  <si>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</si>
  <si>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</si>
  <si>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</si>
  <si>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</si>
  <si>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</si>
  <si>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</si>
  <si>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</si>
  <si>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</si>
  <si>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</si>
  <si>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</si>
  <si>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</si>
  <si>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</si>
  <si>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</si>
  <si>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</si>
  <si>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</si>
  <si>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</si>
  <si>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</si>
  <si>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</si>
  <si>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</si>
  <si>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</si>
  <si>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</si>
  <si>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</si>
  <si>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</si>
  <si>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</si>
  <si>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</si>
  <si>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</si>
  <si>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</si>
  <si>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</si>
  <si>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</si>
  <si>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</si>
  <si>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</si>
  <si>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</si>
  <si>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</si>
  <si>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</si>
  <si>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</si>
  <si>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</si>
  <si>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</si>
  <si>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</si>
  <si>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</si>
  <si>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</si>
  <si>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</si>
  <si>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</si>
  <si>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</si>
  <si>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</si>
  <si>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</si>
  <si>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</si>
  <si>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</si>
  <si>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</si>
  <si>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</si>
  <si>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</si>
  <si>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</si>
  <si>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</si>
  <si>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</si>
  <si>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</si>
  <si>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</si>
  <si>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</si>
  <si>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</si>
  <si>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</si>
  <si>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</si>
  <si>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</si>
  <si>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</si>
  <si>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</si>
  <si>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</si>
  <si>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</si>
  <si>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</si>
  <si>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</si>
  <si>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</si>
  <si>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</si>
  <si>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</si>
  <si>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</si>
  <si>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</si>
  <si>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</si>
  <si>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</si>
  <si>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</si>
  <si>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</si>
  <si>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</si>
  <si>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</si>
  <si>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</si>
  <si>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</si>
  <si>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</si>
  <si>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</si>
  <si>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</si>
  <si>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</si>
  <si>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</si>
  <si>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</si>
  <si>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</si>
  <si>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</si>
  <si>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</si>
  <si>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</si>
  <si>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</si>
  <si>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</si>
  <si>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</si>
  <si>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</si>
  <si>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</si>
  <si>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</si>
  <si>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</si>
  <si>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</si>
  <si>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</si>
  <si>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</si>
  <si>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</si>
  <si>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</si>
  <si>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</si>
  <si>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</si>
  <si>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</si>
  <si>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</si>
  <si>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</si>
  <si>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</si>
  <si>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</si>
  <si>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</si>
  <si>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</si>
  <si>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</si>
  <si>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</si>
  <si>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</si>
  <si>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</si>
  <si>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</si>
  <si>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</si>
  <si>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</si>
  <si>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</si>
  <si>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</si>
  <si>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</si>
  <si>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</si>
  <si>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</si>
  <si>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</si>
  <si>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</si>
  <si>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</si>
  <si>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</si>
  <si>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</si>
  <si>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</si>
  <si>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</si>
  <si>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</si>
  <si>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</si>
  <si>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</si>
  <si>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</si>
  <si>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</si>
  <si>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</si>
  <si>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</si>
  <si>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</si>
  <si>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</si>
  <si>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</si>
  <si>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</si>
  <si>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</si>
  <si>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</si>
  <si>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</si>
  <si>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</si>
  <si>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</si>
  <si>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</si>
  <si>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</si>
  <si>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</si>
  <si>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</si>
  <si>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</si>
  <si>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</si>
  <si>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</si>
  <si>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</si>
  <si>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</si>
  <si>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</si>
  <si>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</si>
  <si>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</si>
  <si>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</si>
  <si>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</si>
  <si>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</si>
  <si>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</si>
  <si>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</si>
  <si>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</si>
  <si>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</si>
  <si>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</si>
  <si>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</si>
  <si>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</si>
  <si>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</si>
  <si>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</si>
  <si>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</si>
  <si>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</si>
  <si>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</si>
  <si>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</si>
  <si>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</si>
  <si>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</si>
  <si>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</si>
  <si>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</si>
  <si>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</si>
  <si>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</si>
  <si>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</si>
  <si>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</si>
  <si>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</si>
  <si>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</si>
  <si>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</si>
  <si>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</si>
  <si>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</si>
  <si>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</si>
  <si>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</si>
  <si>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</si>
  <si>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</si>
  <si>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</si>
  <si>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</si>
  <si>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</si>
  <si>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</si>
  <si>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</si>
  <si>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</si>
  <si>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</si>
  <si>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</si>
  <si>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</si>
  <si>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</si>
  <si>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</si>
  <si>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</si>
  <si>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</si>
  <si>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</si>
  <si>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</si>
  <si>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</si>
  <si>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</si>
  <si>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</si>
  <si>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</si>
  <si>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</si>
  <si>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</si>
  <si>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</si>
  <si>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</si>
  <si>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</si>
  <si>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</si>
  <si>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</si>
  <si>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</si>
  <si>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</si>
  <si>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</si>
  <si>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</si>
  <si>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</si>
  <si>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</si>
  <si>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</si>
  <si>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</si>
  <si>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</si>
  <si>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</si>
  <si>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</si>
  <si>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</si>
  <si>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</si>
  <si>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</si>
  <si>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</si>
  <si>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</si>
  <si>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</si>
  <si>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</si>
  <si>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</si>
  <si>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</si>
  <si>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</si>
  <si>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</si>
  <si>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</si>
  <si>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</si>
  <si>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</si>
  <si>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</si>
  <si>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</si>
  <si>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</si>
  <si>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</si>
  <si>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</si>
  <si>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</si>
  <si>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</si>
  <si>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</si>
  <si>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</si>
  <si>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</si>
  <si>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</si>
  <si>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</si>
  <si>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</si>
  <si>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</si>
  <si>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</si>
  <si>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</si>
  <si>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</si>
  <si>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</si>
  <si>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</si>
  <si>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</si>
  <si>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</si>
  <si>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</si>
  <si>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</si>
  <si>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</si>
  <si>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</si>
  <si>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</si>
  <si>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</si>
  <si>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</si>
  <si>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</si>
  <si>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</si>
  <si>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</si>
  <si>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</si>
  <si>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</si>
  <si>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</si>
  <si>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</si>
  <si>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</si>
  <si>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</si>
  <si>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</si>
  <si>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</si>
  <si>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</si>
  <si>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</si>
  <si>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</si>
  <si>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</si>
  <si>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</si>
  <si>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</si>
  <si>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</si>
  <si>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</si>
  <si>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</si>
  <si>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</si>
  <si>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</si>
  <si>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</si>
  <si>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</si>
  <si>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</si>
  <si>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</si>
  <si>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</si>
  <si>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</si>
  <si>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</si>
  <si>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</si>
  <si>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</si>
  <si>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</si>
  <si>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</si>
  <si>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</si>
  <si>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</si>
  <si>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</si>
  <si>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</si>
  <si>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</si>
  <si>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</si>
  <si>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</si>
  <si>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</si>
  <si>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</si>
  <si>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</si>
  <si>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</si>
  <si>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</si>
  <si>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</si>
  <si>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</si>
  <si>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</si>
  <si>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</si>
  <si>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</si>
  <si>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</si>
  <si>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</si>
  <si>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</si>
  <si>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</si>
  <si>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</si>
  <si>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</si>
  <si>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</si>
  <si>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</si>
  <si>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</si>
  <si>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</si>
  <si>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</si>
  <si>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</si>
  <si>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</si>
  <si>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</si>
  <si>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</si>
  <si>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</si>
  <si>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</si>
  <si>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</si>
  <si>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</si>
  <si>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</si>
  <si>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</si>
  <si>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</si>
  <si>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</si>
  <si>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</si>
  <si>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</si>
  <si>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</si>
  <si>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</si>
  <si>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</si>
  <si>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</si>
  <si>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</si>
  <si>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</si>
  <si>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</si>
  <si>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</si>
  <si>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</si>
  <si>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</si>
  <si>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</si>
  <si>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</si>
  <si>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</si>
  <si>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</si>
  <si>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</si>
  <si>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</si>
  <si>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</si>
  <si>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</si>
  <si>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</si>
  <si>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</si>
  <si>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</si>
  <si>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</si>
  <si>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</si>
  <si>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</si>
  <si>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</si>
  <si>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</si>
  <si>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</si>
  <si>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</si>
  <si>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</si>
  <si>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</si>
  <si>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</si>
  <si>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</si>
  <si>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</si>
  <si>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</si>
  <si>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</si>
  <si>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</si>
  <si>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</si>
  <si>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</si>
  <si>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</si>
  <si>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</si>
  <si>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</si>
  <si>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</si>
  <si>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</si>
  <si>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</si>
  <si>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</si>
  <si>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</si>
  <si>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</si>
  <si>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</si>
  <si>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</si>
  <si>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</si>
  <si>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</si>
  <si>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</si>
  <si>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</si>
  <si>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</si>
  <si>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</si>
  <si>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</si>
  <si>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</si>
  <si>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</si>
  <si>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</si>
  <si>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</si>
  <si>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</si>
  <si>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</si>
  <si>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</si>
  <si>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</si>
  <si>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</si>
  <si>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</si>
  <si>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</si>
  <si>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</si>
  <si>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</si>
  <si>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</si>
  <si>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</si>
  <si>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</si>
  <si>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</si>
  <si>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</si>
  <si>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</si>
  <si>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</si>
  <si>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</si>
  <si>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</si>
  <si>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</si>
  <si>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</si>
  <si>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</si>
  <si>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</si>
  <si>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</si>
  <si>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</si>
  <si>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</si>
  <si>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</si>
  <si>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</si>
  <si>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</si>
  <si>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</si>
  <si>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</si>
  <si>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</si>
  <si>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</si>
  <si>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</si>
  <si>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</si>
  <si>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</si>
  <si>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</si>
  <si>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</si>
  <si>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</si>
  <si>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</si>
  <si>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</si>
  <si>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</si>
  <si>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</si>
  <si>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</si>
  <si>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</si>
  <si>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</si>
  <si>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</si>
  <si>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</si>
  <si>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</si>
  <si>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</si>
  <si>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</si>
  <si>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</si>
  <si>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</si>
  <si>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</si>
  <si>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</si>
  <si>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</si>
  <si>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</si>
  <si>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</si>
  <si>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</si>
  <si>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</si>
  <si>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</si>
  <si>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</si>
  <si>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</si>
  <si>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</si>
  <si>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</si>
  <si>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</si>
  <si>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</si>
  <si>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</si>
  <si>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</si>
  <si>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</si>
  <si>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</si>
  <si>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</si>
  <si>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</si>
  <si>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</si>
  <si>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</si>
  <si>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</si>
  <si>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</si>
  <si>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</si>
  <si>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</si>
  <si>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</si>
  <si>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</si>
  <si>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</si>
  <si>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</si>
  <si>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</si>
  <si>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</si>
  <si>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</si>
  <si>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</si>
  <si>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</si>
  <si>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</si>
  <si>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</si>
  <si>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</si>
  <si>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</si>
  <si>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</si>
  <si>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</si>
  <si>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</si>
  <si>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</si>
  <si>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</si>
  <si>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</si>
  <si>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</si>
  <si>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</si>
  <si>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</si>
  <si>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</si>
  <si>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</si>
  <si>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</si>
  <si>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</si>
  <si>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</si>
  <si>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</si>
  <si>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</si>
  <si>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</si>
  <si>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</si>
  <si>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</si>
  <si>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</si>
  <si>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</si>
  <si>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</si>
  <si>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</si>
  <si>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</si>
  <si>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</si>
  <si>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</si>
  <si>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</si>
  <si>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</si>
  <si>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</si>
  <si>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</si>
  <si>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</si>
  <si>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</si>
  <si>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</si>
  <si>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</si>
  <si>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</si>
  <si>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</si>
  <si>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</si>
  <si>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</si>
  <si>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</si>
  <si>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</si>
  <si>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</si>
  <si>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</si>
  <si>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</si>
  <si>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</si>
  <si>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</si>
  <si>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</si>
  <si>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</si>
  <si>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</si>
  <si>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</si>
  <si>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</si>
  <si>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</si>
  <si>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</si>
  <si>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</si>
  <si>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</si>
  <si>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</si>
  <si>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</si>
  <si>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</si>
  <si>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</si>
  <si>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</si>
  <si>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</si>
  <si>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</si>
  <si>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</si>
  <si>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</si>
  <si>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</si>
  <si>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</si>
  <si>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</si>
  <si>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</si>
  <si>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</si>
  <si>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</si>
  <si>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</si>
  <si>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</si>
  <si>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</si>
  <si>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</si>
  <si>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</si>
  <si>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</si>
  <si>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</si>
  <si>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</si>
  <si>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</si>
  <si>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</si>
  <si>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</si>
  <si>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</si>
  <si>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</si>
  <si>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</si>
  <si>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</si>
  <si>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</si>
  <si>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</si>
  <si>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</si>
  <si>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</si>
  <si>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</si>
  <si>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</si>
  <si>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</si>
  <si>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</si>
  <si>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</si>
  <si>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</si>
  <si>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</si>
  <si>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</si>
  <si>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</si>
  <si>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</si>
  <si>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</si>
  <si>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</si>
  <si>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</si>
  <si>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</si>
  <si>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</si>
  <si>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</si>
  <si>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</si>
  <si>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</si>
  <si>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</si>
  <si>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</si>
  <si>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</si>
  <si>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</si>
  <si>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</si>
  <si>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</si>
  <si>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</si>
  <si>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</si>
  <si>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</si>
  <si>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</si>
  <si>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</si>
  <si>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</si>
  <si>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</si>
  <si>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</si>
  <si>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</si>
  <si>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</si>
  <si>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</si>
  <si>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</si>
  <si>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</si>
  <si>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</si>
  <si>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</si>
  <si>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</si>
  <si>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</si>
  <si>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</si>
  <si>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</si>
  <si>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</si>
  <si>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</si>
  <si>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</si>
  <si>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</si>
  <si>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</si>
  <si>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</si>
  <si>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</si>
  <si>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</si>
  <si>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</si>
  <si>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</si>
  <si>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</si>
  <si>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</si>
  <si>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</si>
  <si>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</si>
  <si>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</si>
  <si>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</si>
  <si>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</si>
  <si>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</si>
  <si>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</si>
  <si>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</si>
  <si>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</si>
  <si>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</si>
  <si>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</si>
  <si>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</si>
  <si>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</si>
  <si>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</si>
  <si>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</si>
  <si>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</si>
  <si>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</si>
  <si>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</si>
  <si>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</si>
  <si>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</si>
  <si>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</si>
  <si>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</si>
  <si>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</si>
  <si>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</si>
  <si>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</si>
  <si>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</si>
  <si>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</si>
  <si>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</si>
  <si>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</si>
  <si>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</si>
  <si>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</si>
  <si>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</si>
  <si>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</si>
  <si>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</si>
  <si>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</si>
  <si>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</si>
  <si>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</si>
  <si>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</si>
  <si>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</si>
  <si>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</si>
  <si>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</si>
  <si>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</si>
  <si>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</si>
  <si>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</si>
  <si>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</si>
  <si>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</si>
  <si>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</si>
  <si>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</si>
  <si>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</si>
  <si>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</si>
  <si>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</si>
  <si>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</si>
  <si>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</si>
  <si>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</si>
  <si>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</si>
  <si>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</si>
  <si>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</si>
  <si>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</si>
  <si>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</si>
  <si>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</si>
  <si>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</si>
  <si>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</si>
  <si>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</si>
  <si>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</si>
  <si>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</si>
  <si>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</si>
  <si>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</si>
  <si>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</si>
  <si>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</si>
  <si>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</si>
  <si>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</si>
  <si>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</si>
  <si>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</si>
  <si>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</si>
  <si>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</si>
  <si>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</si>
  <si>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</si>
  <si>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</si>
  <si>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</si>
  <si>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</si>
  <si>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</si>
  <si>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</si>
  <si>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</si>
  <si>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</si>
  <si>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</si>
  <si>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</si>
  <si>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</si>
  <si>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</si>
  <si>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</si>
  <si>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</si>
  <si>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</si>
  <si>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</si>
  <si>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</si>
  <si>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</si>
  <si>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</si>
  <si>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</si>
  <si>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</si>
  <si>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</si>
  <si>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</si>
  <si>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</si>
  <si>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</si>
  <si>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</si>
  <si>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</si>
  <si>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</si>
  <si>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</si>
  <si>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</si>
  <si>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</si>
  <si>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</si>
  <si>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</si>
  <si>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</si>
  <si>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</si>
  <si>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</si>
  <si>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</si>
  <si>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</si>
  <si>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</si>
  <si>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</si>
  <si>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</si>
  <si>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</si>
  <si>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</si>
  <si>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</si>
  <si>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</si>
  <si>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</si>
  <si>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</si>
  <si>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</si>
  <si>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</si>
  <si>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</si>
  <si>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</si>
  <si>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</si>
  <si>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</si>
  <si>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</si>
  <si>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</si>
  <si>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</si>
  <si>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</si>
  <si>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</si>
  <si>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</si>
  <si>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</si>
  <si>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</si>
  <si>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</si>
  <si>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</si>
  <si>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</si>
  <si>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</si>
  <si>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</si>
  <si>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</si>
  <si>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</si>
  <si>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</si>
  <si>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</si>
  <si>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</si>
  <si>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</si>
  <si>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</si>
  <si>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</si>
  <si>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</si>
  <si>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</si>
  <si>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</si>
  <si>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</si>
  <si>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</si>
  <si>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</si>
  <si>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</si>
  <si>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</si>
  <si>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</si>
  <si>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</si>
  <si>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</si>
  <si>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</si>
  <si>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</si>
  <si>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</si>
  <si>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</si>
  <si>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</si>
  <si>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</si>
  <si>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</si>
  <si>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</si>
  <si>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</si>
  <si>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</si>
  <si>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</si>
  <si>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</si>
  <si>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</si>
  <si>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</si>
  <si>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</si>
  <si>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</si>
  <si>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</si>
  <si>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</si>
  <si>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</si>
  <si>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</si>
  <si>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</si>
  <si>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</si>
  <si>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</si>
  <si>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</si>
  <si>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</si>
  <si>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</si>
  <si>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</si>
  <si>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</si>
  <si>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</si>
  <si>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</si>
  <si>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</si>
  <si>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</si>
  <si>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</si>
  <si>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</si>
  <si>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</si>
  <si>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</si>
  <si>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</si>
  <si>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</si>
  <si>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</si>
  <si>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</si>
  <si>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</si>
  <si>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</si>
  <si>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</si>
  <si>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</si>
  <si>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</si>
  <si>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</si>
  <si>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</si>
  <si>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</si>
  <si>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</si>
  <si>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</si>
  <si>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</si>
  <si>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</si>
  <si>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</si>
  <si>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</si>
  <si>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</si>
  <si>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</si>
  <si>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</si>
  <si>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</si>
  <si>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</si>
  <si>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</si>
  <si>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</si>
  <si>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</si>
  <si>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</si>
  <si>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</si>
  <si>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</si>
  <si>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</si>
  <si>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</si>
  <si>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</si>
  <si>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</si>
  <si>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</si>
  <si>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</si>
  <si>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</si>
  <si>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</si>
  <si>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</si>
  <si>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</si>
  <si>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</si>
  <si>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</si>
  <si>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</si>
  <si>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</si>
  <si>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</si>
  <si>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</si>
  <si>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</si>
  <si>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</si>
  <si>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</si>
  <si>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</si>
  <si>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</si>
  <si>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</si>
  <si>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</si>
  <si>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</si>
  <si>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</si>
  <si>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</si>
  <si>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</si>
  <si>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</si>
  <si>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</si>
  <si>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</si>
  <si>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</si>
  <si>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</si>
  <si>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</si>
  <si>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</si>
  <si>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</si>
  <si>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</si>
  <si>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</si>
  <si>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</si>
  <si>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</si>
  <si>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</si>
  <si>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</si>
  <si>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</si>
  <si>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</si>
  <si>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</si>
  <si>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</si>
  <si>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</si>
  <si>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</si>
  <si>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</si>
  <si>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</si>
  <si>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</si>
  <si>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</si>
  <si>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</si>
  <si>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</si>
  <si>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</si>
  <si>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</si>
  <si>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</si>
  <si>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</si>
  <si>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</si>
  <si>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</si>
  <si>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</si>
  <si>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</si>
  <si>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</si>
  <si>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</si>
  <si>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</si>
  <si>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</si>
  <si>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</si>
  <si>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</si>
  <si>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</si>
  <si>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</si>
  <si>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</si>
  <si>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</si>
  <si>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</si>
  <si>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</si>
  <si>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</si>
  <si>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</si>
  <si>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</si>
  <si>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</si>
  <si>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</si>
  <si>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</si>
  <si>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</si>
  <si>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</si>
  <si>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</si>
  <si>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</si>
  <si>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</si>
  <si>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</si>
  <si>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</si>
  <si>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</si>
  <si>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</si>
  <si>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</si>
  <si>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</si>
  <si>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</si>
  <si>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</si>
  <si>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</si>
  <si>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</si>
  <si>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</si>
  <si>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</si>
  <si>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</si>
  <si>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</si>
  <si>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</si>
  <si>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</si>
  <si>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</si>
  <si>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</si>
  <si>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</si>
  <si>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</si>
  <si>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</si>
  <si>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</si>
  <si>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</si>
  <si>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</si>
  <si>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</si>
  <si>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</si>
  <si>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</si>
  <si>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</si>
  <si>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</si>
  <si>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</si>
  <si>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</si>
  <si>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</si>
  <si>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</si>
  <si>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</si>
  <si>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</si>
  <si>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</si>
  <si>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</si>
  <si>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</si>
  <si>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</si>
  <si>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</si>
  <si>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</si>
  <si>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</si>
  <si>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</si>
  <si>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</si>
  <si>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</si>
  <si>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</si>
  <si>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</si>
  <si>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</si>
  <si>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</si>
  <si>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</si>
  <si>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</si>
  <si>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</si>
  <si>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</si>
  <si>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</si>
  <si>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</si>
  <si>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</si>
  <si>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</si>
  <si>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</si>
  <si>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</si>
  <si>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</si>
  <si>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</si>
  <si>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</si>
  <si>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</si>
  <si>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</si>
  <si>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</si>
  <si>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</si>
  <si>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</si>
  <si>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</si>
  <si>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</si>
  <si>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</si>
  <si>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</si>
  <si>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</si>
  <si>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</si>
  <si>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</si>
  <si>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</si>
  <si>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</si>
  <si>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</si>
  <si>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</si>
  <si>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</si>
  <si>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</si>
  <si>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</si>
  <si>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</si>
  <si>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</si>
  <si>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</si>
  <si>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</si>
  <si>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</si>
  <si>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</si>
  <si>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</si>
  <si>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</si>
  <si>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</si>
  <si>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</si>
  <si>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</si>
  <si>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</si>
  <si>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</si>
  <si>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</si>
  <si>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</si>
  <si>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</si>
  <si>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</si>
  <si>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</si>
  <si>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</si>
  <si>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</si>
  <si>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</si>
  <si>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</si>
  <si>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</si>
  <si>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</si>
  <si>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</si>
  <si>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</si>
  <si>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</si>
  <si>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</si>
  <si>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</si>
  <si>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</si>
  <si>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</si>
  <si>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</si>
  <si>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</si>
  <si>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</si>
  <si>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</si>
  <si>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</si>
  <si>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</si>
  <si>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</si>
  <si>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</si>
  <si>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</si>
  <si>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</si>
  <si>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</si>
  <si>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</si>
  <si>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</si>
  <si>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</si>
  <si>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</si>
  <si>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</si>
  <si>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</si>
  <si>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</si>
  <si>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</si>
  <si>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</si>
  <si>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</si>
  <si>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</si>
  <si>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</si>
  <si>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</si>
  <si>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</si>
  <si>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</si>
  <si>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</si>
  <si>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</si>
  <si>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</si>
  <si>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</si>
  <si>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</si>
  <si>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</si>
  <si>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</si>
  <si>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</si>
  <si>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</si>
  <si>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</si>
  <si>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</si>
  <si>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</si>
  <si>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</si>
  <si>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</si>
  <si>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</si>
  <si>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</si>
  <si>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</si>
  <si>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</si>
  <si>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</si>
  <si>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</si>
  <si>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</si>
  <si>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</si>
  <si>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</si>
  <si>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</si>
  <si>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</si>
  <si>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</si>
  <si>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</si>
  <si>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</si>
  <si>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</si>
  <si>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</si>
  <si>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</si>
  <si>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</si>
  <si>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</si>
  <si>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</si>
  <si>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</si>
  <si>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</si>
  <si>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</si>
  <si>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</si>
  <si>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</si>
  <si>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</si>
  <si>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</si>
  <si>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</si>
  <si>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</si>
  <si>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</si>
  <si>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</si>
  <si>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</si>
  <si>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</si>
  <si>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</si>
  <si>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</si>
  <si>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</si>
  <si>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</si>
  <si>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</si>
  <si>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</si>
  <si>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</si>
  <si>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</si>
  <si>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</si>
  <si>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</si>
  <si>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</si>
  <si>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</si>
  <si>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</si>
  <si>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</si>
  <si>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</si>
  <si>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</si>
  <si>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</si>
  <si>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</si>
  <si>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</si>
  <si>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</si>
  <si>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</si>
  <si>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</si>
  <si>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</si>
  <si>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</si>
  <si>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</si>
  <si>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</si>
  <si>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</si>
  <si>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</si>
  <si>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</si>
  <si>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</si>
  <si>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</si>
  <si>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</si>
  <si>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</si>
  <si>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</si>
  <si>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</si>
  <si>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</si>
  <si>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</si>
  <si>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</si>
  <si>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</si>
  <si>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</si>
  <si>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</si>
  <si>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</si>
  <si>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</si>
  <si>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</si>
  <si>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</si>
  <si>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</si>
  <si>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</si>
  <si>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</si>
  <si>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</si>
  <si>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</si>
  <si>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</si>
  <si>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</si>
  <si>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</si>
  <si>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</si>
  <si>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</si>
  <si>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</si>
  <si>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</si>
  <si>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</si>
  <si>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</si>
  <si>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</si>
  <si>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</si>
  <si>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</si>
  <si>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</si>
  <si>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</si>
  <si>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</si>
  <si>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</si>
  <si>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</si>
  <si>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</si>
  <si>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</si>
  <si>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</si>
  <si>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</si>
  <si>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</si>
  <si>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</si>
  <si>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</si>
  <si>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</si>
  <si>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</si>
  <si>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</si>
  <si>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</si>
  <si>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</si>
  <si>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</si>
  <si>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</si>
  <si>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</si>
  <si>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</si>
  <si>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</si>
  <si>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</si>
  <si>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</si>
  <si>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</si>
  <si>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</si>
  <si>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</si>
  <si>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</si>
  <si>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</si>
  <si>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</si>
  <si>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</si>
  <si>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</si>
  <si>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</si>
  <si>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</si>
  <si>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</si>
  <si>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</si>
  <si>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</si>
  <si>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</si>
  <si>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</si>
  <si>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</si>
  <si>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</si>
  <si>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</si>
  <si>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</si>
  <si>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</si>
  <si>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</si>
  <si>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</si>
  <si>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</si>
  <si>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</si>
  <si>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</si>
  <si>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</si>
  <si>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</si>
  <si>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</si>
  <si>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</si>
  <si>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</si>
  <si>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</si>
  <si>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</si>
  <si>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</si>
  <si>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</si>
  <si>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</si>
  <si>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</si>
  <si>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</si>
  <si>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</si>
  <si>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</si>
  <si>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</si>
  <si>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</si>
  <si>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</si>
  <si>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</si>
  <si>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</si>
  <si>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</si>
  <si>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</si>
  <si>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</si>
  <si>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</si>
  <si>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</si>
  <si>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</si>
  <si>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</si>
  <si>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</si>
  <si>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</si>
  <si>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</si>
  <si>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</si>
  <si>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</si>
  <si>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</si>
  <si>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</si>
  <si>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</si>
  <si>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</si>
  <si>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</si>
  <si>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</si>
  <si>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</si>
  <si>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</si>
  <si>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</si>
  <si>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</si>
  <si>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</si>
  <si>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</si>
  <si>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</si>
  <si>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</si>
  <si>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</si>
  <si>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</si>
  <si>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</si>
  <si>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</si>
  <si>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</si>
  <si>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</si>
  <si>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</si>
  <si>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</si>
  <si>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</si>
  <si>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</si>
  <si>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</si>
  <si>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</si>
  <si>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</si>
  <si>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</si>
  <si>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</si>
  <si>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</si>
  <si>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</si>
  <si>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</si>
  <si>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</si>
  <si>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</si>
  <si>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</si>
  <si>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</si>
  <si>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</si>
  <si>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</si>
  <si>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</si>
  <si>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</si>
  <si>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</si>
  <si>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</si>
  <si>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</si>
  <si>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</si>
  <si>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</si>
  <si>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</si>
  <si>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</si>
  <si>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</si>
  <si>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</si>
  <si>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</si>
  <si>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</si>
  <si>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</si>
  <si>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</si>
  <si>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</si>
  <si>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</si>
  <si>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</si>
  <si>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</si>
  <si>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</si>
  <si>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</si>
  <si>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</si>
  <si>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</si>
  <si>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</si>
  <si>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</si>
  <si>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</si>
  <si>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</si>
  <si>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</si>
  <si>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</si>
  <si>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</si>
  <si>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</si>
  <si>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</si>
  <si>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</si>
  <si>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</si>
  <si>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</si>
  <si>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</si>
  <si>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</si>
  <si>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</si>
  <si>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</si>
  <si>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</si>
  <si>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</si>
  <si>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</si>
  <si>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</si>
  <si>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</si>
  <si>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</si>
  <si>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</si>
  <si>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</si>
  <si>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</si>
  <si>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</si>
  <si>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</si>
  <si>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</si>
  <si>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</si>
  <si>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</si>
  <si>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</si>
  <si>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</si>
  <si>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</si>
  <si>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</si>
  <si>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</si>
  <si>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</si>
  <si>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</si>
  <si>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</si>
  <si>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</si>
  <si>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</si>
  <si>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</si>
  <si>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</si>
  <si>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</si>
  <si>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</si>
  <si>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</si>
  <si>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</si>
  <si>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</si>
  <si>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</si>
  <si>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</si>
  <si>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</si>
  <si>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</si>
  <si>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</si>
  <si>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</si>
  <si>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</si>
  <si>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</si>
  <si>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</si>
  <si>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</si>
  <si>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</si>
  <si>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</si>
  <si>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</si>
  <si>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</si>
  <si>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</si>
  <si>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</si>
  <si>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</si>
  <si>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</si>
  <si>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</si>
  <si>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</si>
  <si>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</si>
  <si>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</si>
  <si>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</si>
  <si>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</si>
  <si>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</si>
  <si>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</si>
  <si>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</si>
  <si>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</si>
  <si>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</si>
  <si>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</si>
  <si>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</si>
  <si>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</si>
  <si>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</si>
  <si>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</si>
  <si>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</si>
  <si>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</si>
  <si>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</si>
  <si>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</si>
  <si>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</si>
  <si>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</si>
  <si>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</si>
  <si>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</si>
  <si>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</si>
  <si>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</si>
  <si>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</si>
  <si>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</si>
  <si>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</si>
  <si>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</si>
  <si>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</si>
  <si>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</si>
  <si>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</si>
  <si>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</si>
  <si>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</si>
  <si>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</si>
  <si>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</si>
  <si>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</si>
  <si>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</si>
  <si>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</si>
  <si>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</si>
  <si>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</si>
  <si>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</si>
  <si>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</si>
  <si>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</si>
  <si>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</si>
  <si>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</si>
  <si>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</si>
  <si>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</si>
  <si>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</si>
  <si>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</si>
  <si>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</si>
  <si>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</si>
  <si>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</si>
  <si>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</si>
  <si>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</si>
  <si>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</si>
  <si>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</si>
  <si>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</si>
  <si>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</si>
  <si>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</si>
  <si>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</si>
  <si>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</si>
  <si>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</si>
  <si>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</si>
  <si>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</si>
  <si>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</si>
  <si>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</si>
  <si>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</si>
  <si>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</si>
  <si>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</si>
  <si>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</si>
  <si>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</si>
  <si>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</si>
  <si>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</si>
  <si>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</si>
  <si>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</si>
  <si>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</si>
  <si>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</si>
  <si>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</si>
  <si>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</si>
  <si>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</si>
  <si>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</si>
  <si>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</si>
  <si>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</si>
  <si>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</si>
  <si>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</si>
  <si>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</si>
  <si>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</si>
  <si>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</si>
  <si>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</si>
  <si>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</si>
  <si>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</si>
  <si>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</si>
  <si>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</si>
  <si>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</si>
  <si>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</si>
  <si>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</si>
  <si>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</si>
  <si>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</si>
  <si>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</si>
  <si>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</si>
  <si>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</si>
  <si>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</si>
  <si>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</si>
  <si>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</si>
  <si>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</si>
  <si>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</si>
  <si>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</si>
  <si>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</si>
  <si>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</si>
  <si>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</si>
  <si>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</si>
  <si>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</si>
  <si>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</si>
  <si>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</si>
  <si>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</si>
  <si>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</si>
  <si>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</si>
  <si>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</si>
  <si>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</si>
  <si>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</si>
  <si>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</si>
  <si>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</si>
  <si>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</si>
  <si>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</si>
  <si>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</si>
  <si>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</si>
  <si>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</si>
  <si>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</si>
  <si>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</si>
  <si>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</si>
  <si>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</si>
  <si>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</si>
  <si>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</si>
  <si>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</si>
  <si>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</si>
  <si>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</si>
  <si>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</si>
  <si>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</si>
  <si>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</si>
  <si>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</si>
  <si>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</si>
  <si>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</si>
  <si>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</si>
  <si>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</si>
  <si>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</si>
  <si>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</si>
  <si>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</si>
  <si>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</si>
  <si>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</si>
  <si>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</si>
  <si>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</si>
  <si>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</si>
  <si>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</si>
  <si>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</si>
  <si>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</si>
  <si>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</si>
  <si>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</si>
  <si>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</si>
  <si>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</si>
  <si>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</si>
  <si>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</si>
  <si>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</si>
  <si>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</si>
  <si>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</si>
  <si>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</si>
  <si>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</si>
  <si>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</si>
  <si>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</si>
  <si>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</si>
  <si>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</si>
  <si>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</si>
  <si>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</si>
  <si>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</si>
  <si>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</si>
  <si>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</si>
  <si>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</si>
  <si>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</si>
  <si>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</si>
  <si>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</si>
  <si>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</si>
  <si>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</si>
  <si>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</si>
  <si>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</si>
  <si>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</si>
  <si>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</si>
  <si>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</si>
  <si>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</si>
  <si>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</si>
  <si>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</si>
  <si>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</si>
  <si>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</si>
  <si>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</si>
  <si>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</si>
  <si>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</si>
  <si>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</si>
  <si>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</si>
  <si>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</si>
  <si>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</si>
  <si>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</si>
  <si>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</si>
  <si>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</si>
  <si>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</si>
  <si>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</si>
  <si>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</si>
  <si>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</si>
  <si>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</si>
  <si>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</si>
  <si>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</si>
  <si>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</si>
  <si>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</si>
  <si>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</si>
  <si>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</si>
  <si>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</si>
  <si>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</si>
  <si>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</si>
  <si>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</si>
  <si>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</si>
  <si>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</si>
  <si>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</si>
  <si>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</si>
  <si>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</si>
  <si>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</si>
  <si>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</si>
  <si>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</si>
  <si>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</si>
  <si>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</si>
  <si>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</si>
  <si>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</si>
  <si>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</si>
  <si>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</si>
  <si>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</si>
  <si>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</si>
  <si>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</si>
  <si>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</si>
  <si>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</si>
  <si>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</si>
  <si>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</si>
  <si>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</si>
  <si>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</si>
  <si>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</si>
  <si>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</si>
  <si>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</si>
  <si>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</si>
  <si>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</si>
  <si>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</si>
  <si>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</si>
  <si>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</si>
  <si>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</si>
  <si>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</si>
  <si>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</si>
  <si>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</si>
  <si>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</si>
  <si>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</si>
  <si>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</si>
  <si>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</si>
  <si>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</si>
  <si>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</si>
  <si>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</si>
  <si>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</si>
  <si>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</si>
  <si>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</si>
  <si>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</si>
  <si>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</si>
  <si>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</si>
  <si>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</si>
  <si>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</si>
  <si>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</si>
  <si>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</si>
  <si>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</si>
  <si>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</si>
  <si>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</si>
  <si>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</si>
  <si>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</si>
  <si>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</si>
  <si>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</si>
  <si>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</si>
  <si>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</si>
  <si>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</si>
  <si>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</si>
  <si>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</si>
  <si>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</si>
  <si>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</si>
  <si>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</si>
  <si>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</si>
  <si>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</si>
  <si>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</si>
  <si>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</si>
  <si>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</si>
  <si>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</si>
  <si>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</si>
  <si>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</si>
  <si>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</si>
  <si>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</si>
  <si>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</si>
  <si>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</si>
  <si>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</si>
  <si>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</si>
  <si>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</si>
  <si>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</si>
  <si>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</si>
  <si>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</si>
  <si>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</si>
  <si>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</si>
  <si>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</si>
  <si>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</si>
  <si>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</si>
  <si>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</si>
  <si>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</si>
  <si>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</si>
  <si>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</si>
  <si>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</si>
  <si>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</si>
  <si>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</si>
  <si>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</si>
  <si>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</si>
  <si>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</si>
  <si>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</si>
  <si>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</si>
  <si>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</si>
  <si>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</si>
  <si>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</si>
  <si>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</si>
  <si>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</si>
  <si>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</si>
  <si>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</si>
  <si>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</si>
  <si>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</si>
  <si>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</si>
  <si>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</si>
  <si>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</si>
  <si>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</si>
  <si>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</si>
  <si>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</si>
  <si>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</si>
  <si>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</si>
  <si>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</si>
  <si>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</si>
  <si>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</si>
  <si>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</si>
  <si>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</si>
  <si>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</si>
  <si>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</si>
  <si>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</si>
  <si>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</si>
  <si>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</si>
  <si>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</si>
  <si>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</si>
  <si>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</si>
  <si>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</si>
  <si>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</si>
  <si>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</si>
  <si>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</si>
  <si>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</si>
  <si>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</si>
  <si>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</si>
  <si>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</si>
  <si>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</si>
  <si>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</si>
  <si>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</si>
  <si>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</si>
  <si>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</si>
  <si>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</si>
  <si>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</si>
  <si>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</si>
  <si>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</si>
  <si>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</si>
  <si>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</si>
  <si>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</si>
  <si>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</si>
  <si>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</si>
  <si>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</si>
  <si>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</si>
  <si>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</si>
  <si>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</si>
  <si>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</si>
  <si>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</si>
  <si>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</si>
  <si>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</si>
  <si>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</si>
  <si>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</si>
  <si>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</si>
  <si>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</si>
  <si>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</si>
  <si>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</si>
  <si>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</si>
  <si>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</si>
  <si>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</si>
  <si>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</si>
  <si>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</si>
  <si>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</si>
  <si>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</si>
  <si>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</si>
  <si>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</si>
  <si>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</si>
  <si>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</si>
  <si>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</si>
  <si>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</si>
  <si>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</si>
  <si>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</si>
  <si>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</si>
  <si>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</si>
  <si>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</si>
  <si>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</si>
  <si>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</si>
  <si>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</si>
  <si>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</si>
  <si>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</si>
  <si>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</si>
  <si>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</si>
  <si>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</si>
  <si>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</si>
  <si>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</si>
  <si>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</si>
  <si>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</si>
  <si>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</si>
  <si>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</si>
  <si>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</si>
  <si>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</si>
  <si>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</si>
  <si>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</si>
  <si>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</si>
  <si>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</si>
  <si>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</si>
  <si>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</si>
  <si>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</si>
  <si>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</si>
  <si>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</si>
  <si>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</si>
  <si>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</si>
  <si>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</si>
  <si>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</si>
  <si>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</si>
  <si>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</si>
  <si>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</si>
  <si>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</si>
  <si>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</si>
  <si>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</si>
  <si>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</si>
  <si>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</si>
  <si>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</si>
  <si>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</si>
  <si>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</si>
  <si>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</si>
  <si>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</si>
  <si>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</si>
  <si>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</si>
  <si>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</si>
  <si>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</si>
  <si>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</si>
  <si>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</si>
  <si>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</si>
  <si>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</si>
  <si>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</si>
  <si>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</si>
  <si>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</si>
  <si>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</si>
  <si>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</si>
  <si>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</si>
  <si>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</si>
  <si>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</si>
  <si>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</si>
  <si>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</si>
  <si>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</si>
  <si>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</si>
  <si>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</si>
  <si>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</si>
  <si>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</si>
  <si>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</si>
  <si>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</si>
  <si>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</si>
  <si>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</si>
  <si>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</si>
  <si>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</si>
  <si>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</si>
  <si>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</si>
  <si>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</si>
  <si>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</si>
  <si>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</si>
  <si>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</si>
  <si>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</si>
  <si>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</si>
  <si>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</si>
  <si>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</si>
  <si>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</si>
  <si>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</si>
  <si>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</si>
  <si>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</si>
  <si>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</si>
  <si>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</si>
  <si>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</si>
  <si>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</si>
  <si>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</si>
  <si>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</si>
  <si>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</si>
  <si>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</si>
  <si>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</si>
  <si>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</si>
  <si>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</si>
  <si>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</si>
  <si>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</si>
  <si>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</si>
  <si>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</si>
  <si>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</si>
  <si>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</si>
  <si>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</si>
  <si>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</si>
  <si>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</si>
  <si>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</si>
  <si>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</si>
  <si>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</si>
  <si>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</si>
  <si>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</si>
  <si>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</si>
  <si>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</si>
  <si>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</si>
  <si>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</si>
  <si>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</si>
  <si>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</si>
  <si>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</si>
  <si>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</si>
  <si>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</si>
  <si>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</si>
  <si>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</si>
  <si>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</si>
  <si>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</si>
  <si>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</si>
  <si>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</si>
  <si>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</si>
  <si>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</si>
  <si>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</si>
  <si>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</si>
  <si>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</si>
  <si>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</si>
  <si>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</si>
  <si>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</si>
  <si>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</si>
  <si>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</si>
  <si>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</si>
  <si>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</si>
  <si>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</si>
  <si>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</si>
  <si>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</si>
  <si>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</si>
  <si>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</si>
  <si>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</si>
  <si>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</si>
  <si>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</si>
  <si>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</si>
  <si>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Jasper</t>
  </si>
  <si>
    <t>P.O. Box 185</t>
  </si>
  <si>
    <t>St. Marie</t>
  </si>
  <si>
    <t>jweems@sese.org</t>
  </si>
  <si>
    <t>Jill Keller-Weems</t>
  </si>
  <si>
    <t>618-455-3396</t>
  </si>
  <si>
    <t>618-455-3134</t>
  </si>
  <si>
    <t>Kemper CPA Group LLP</t>
  </si>
  <si>
    <t>Jodi Truitt</t>
  </si>
  <si>
    <t>302 E Walnut Street</t>
  </si>
  <si>
    <t>Robinson</t>
  </si>
  <si>
    <t>IL</t>
  </si>
  <si>
    <t>618-546-1502</t>
  </si>
  <si>
    <t>618-544-2140</t>
  </si>
  <si>
    <t>066-003998</t>
  </si>
  <si>
    <t>jtruitt@kempercpa.com</t>
  </si>
  <si>
    <t>Part C, Number 23:  The Auditor's Report issued a modified opinion because the financial statements do not include disclosures regarding postemployment health insurance benefits required by the financial reporting provisions of the ISBE.</t>
  </si>
  <si>
    <t>Egyption Area Schools Employee Benefit Trust</t>
  </si>
  <si>
    <t>Illinois School District Agency &amp; WCSIT</t>
  </si>
  <si>
    <t>Eastern Illinois Area of Special Education</t>
  </si>
  <si>
    <t>Page 12, Line 168, Column 10, Other Restricted Revenue from State Sources: DIVS of Rehab - $27,873</t>
  </si>
  <si>
    <t>Page 16, Line 73, Column 300, Other Supported Services: Technical purchased services - $6,298</t>
  </si>
  <si>
    <t>N/A</t>
  </si>
  <si>
    <t>DEPARTMENT OF EDUCATION:</t>
  </si>
  <si>
    <t>PASSED THROUGH IL STATE BOARD OF                                           EDUCATION</t>
  </si>
  <si>
    <t>Special Education Cluster:</t>
  </si>
  <si>
    <t>I.D.E.A. Flow Through - FY19 (M)</t>
  </si>
  <si>
    <t xml:space="preserve"> I.D.E.A. Flow Through - FY18 (M)</t>
  </si>
  <si>
    <t>Pre-School Flow Through - FY19 (M)</t>
  </si>
  <si>
    <t>Total Special Education Cluster</t>
  </si>
  <si>
    <t>Total Department of Education</t>
  </si>
  <si>
    <t>DEPARTMENT OF HEALTH AND HUMAN SERVICES:</t>
  </si>
  <si>
    <t>PASSED THROUGH IL DEPARTMENT OF HEALTHCARE AND FAMILY SERVICES:</t>
  </si>
  <si>
    <t>Medical Assistance Program - Medicaid Admin Outreach</t>
  </si>
  <si>
    <t>84.027A</t>
  </si>
  <si>
    <t>84.173A</t>
  </si>
  <si>
    <t>2019-4620</t>
  </si>
  <si>
    <t>2018-4620</t>
  </si>
  <si>
    <t>2019-2200</t>
  </si>
  <si>
    <t>2019-4600</t>
  </si>
  <si>
    <t>2018-4600</t>
  </si>
  <si>
    <t>Pre-School Flow Through - FY18 (M)</t>
  </si>
  <si>
    <t>Unmodified</t>
  </si>
  <si>
    <t>84.027A/84.173A</t>
  </si>
  <si>
    <t>Special Education Cluster</t>
  </si>
  <si>
    <t>Although internal controls are in place, there are some reporting functions that the entity cannot perform.</t>
  </si>
  <si>
    <t>The entity does not have an individual with the necessary knowledge and technical expertise to properly prepare the notes to the financial statements.</t>
  </si>
  <si>
    <t>In the absence of the necessary knowledge and expertise, the entity must rely on the auditors to ensure the notes to the financial statements are properly presented.</t>
  </si>
  <si>
    <t>The entity cannot prepare the notes to the financial statements.</t>
  </si>
  <si>
    <t>The entity's personnel have not obtained the necessary knowledge or expertise.</t>
  </si>
  <si>
    <t>The entity should provide the necessary training to personnel or contract with an independent contractor with the necessary knowledge to properly prepare the notes to the financial statements.</t>
  </si>
  <si>
    <t>2018-001</t>
  </si>
  <si>
    <t>The entity did not have the necessary</t>
  </si>
  <si>
    <t>knowledge and technical expertise to properly</t>
  </si>
  <si>
    <t>prepare the notes to the financial statements.</t>
  </si>
  <si>
    <t>Repeated as 2019-001</t>
  </si>
  <si>
    <t>ED-Support Services - PS</t>
  </si>
  <si>
    <t>10-2540-300</t>
  </si>
  <si>
    <t>Clay City Comm. #10</t>
  </si>
  <si>
    <t>Flora Comm. #35</t>
  </si>
  <si>
    <t>Griffith Lawn Service</t>
  </si>
  <si>
    <t>Hutsonville Comm #1</t>
  </si>
  <si>
    <t>Long, Jeff</t>
  </si>
  <si>
    <t>North Clay #25</t>
  </si>
  <si>
    <t>Oblong Comm #4</t>
  </si>
  <si>
    <t>Red Hill Comm #10</t>
  </si>
  <si>
    <t>Richland County Comm #1</t>
  </si>
  <si>
    <t>Robinson Comm #2</t>
  </si>
  <si>
    <r>
      <t xml:space="preserve">The following amounts were expended in the form of non-cash assistance by </t>
    </r>
    <r>
      <rPr>
        <b/>
        <sz val="9"/>
        <rFont val="Calibri"/>
        <family val="2"/>
        <scheme val="minor"/>
      </rPr>
      <t>South Eastern Special Education</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</si>
  <si>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South Eastern Special Education Program</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</si>
  <si>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South Eastern Special Education Program provided federal awards to subrecipients as follows:</t>
  </si>
  <si>
    <t>I.D.E.A. Flow Through</t>
  </si>
  <si>
    <t>North Clay CUSD 25</t>
  </si>
  <si>
    <t>Flora CUSD 35</t>
  </si>
  <si>
    <t>Robinson CUSD 2</t>
  </si>
  <si>
    <t>Jasper County CUSD 1</t>
  </si>
  <si>
    <t>Richland County CUSD 1</t>
  </si>
  <si>
    <t>Lawrence County CUSD 20</t>
  </si>
  <si>
    <t>Pre-School Flow Through</t>
  </si>
  <si>
    <t>The entity does not intend to correct the finding in the next fiscal year.</t>
  </si>
  <si>
    <t>Page 16, Line 73, Column 400, Other Supported Services: Medicaid supplies - $26,713</t>
  </si>
  <si>
    <t>Page 16, Line 73, Column 500, Other Supported Services: Medicaid equipment - $98,652</t>
  </si>
  <si>
    <t xml:space="preserve">South Eastern Sp Ed Program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</si>
</sst>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diagonal/>
    </border>
    <border>
      <left style="thin">
        <color indexed="55"/>
      </left>
      <right style="thin">
        <color indexed="55"/>
      </right>
      <top style="thin">
        <color indexed="64"/>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3" fontId="61" fillId="0" borderId="22" xfId="3" applyNumberFormat="1" applyFont="1" applyBorder="1" applyAlignment="1" applyProtection="1">
      <alignment horizontal="left" vertical="center" wrapText="1" indent="3"/>
      <protection locked="0"/>
    </xf>
    <xf numFmtId="3" fontId="61" fillId="0" borderId="45"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166" xfId="3" applyNumberFormat="1" applyFont="1" applyBorder="1" applyAlignment="1" applyProtection="1">
      <alignment horizontal="center"/>
      <protection locked="0"/>
    </xf>
    <xf numFmtId="3" fontId="61" fillId="0" borderId="165" xfId="3" applyNumberFormat="1" applyFont="1" applyBorder="1" applyAlignment="1" applyProtection="1">
      <alignment horizontal="center"/>
      <protection locked="0"/>
    </xf>
    <xf numFmtId="3" fontId="61" fillId="0" borderId="167" xfId="3" applyNumberFormat="1" applyFont="1" applyBorder="1" applyAlignment="1" applyProtection="1">
      <alignment horizontal="center"/>
      <protection locked="0"/>
    </xf>
    <xf numFmtId="0" fontId="56" fillId="0" borderId="0" xfId="3" applyFont="1" applyBorder="1" applyAlignment="1" applyProtection="1">
      <alignment horizontal="left"/>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4" fillId="0" borderId="147" xfId="3" applyFont="1" applyBorder="1" applyAlignment="1" applyProtection="1">
      <alignment horizontal="left" indent="1"/>
      <protection locked="0"/>
    </xf>
    <xf numFmtId="0" fontId="54" fillId="0" borderId="147" xfId="3" applyFont="1" applyBorder="1" applyAlignment="1" applyProtection="1">
      <alignment horizontal="left" indent="2"/>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1114425</xdr:colOff>
          <xdr:row>1</xdr:row>
          <xdr:rowOff>152400</xdr:rowOff>
        </xdr:from>
        <xdr:to>
          <xdr:col>1</xdr:col>
          <xdr:colOff>2028825</xdr:colOff>
          <xdr:row>6</xdr:row>
          <xdr:rowOff>28575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2219325</xdr:colOff>
          <xdr:row>1</xdr:row>
          <xdr:rowOff>142875</xdr:rowOff>
        </xdr:from>
        <xdr:to>
          <xdr:col>1</xdr:col>
          <xdr:colOff>3133725</xdr:colOff>
          <xdr:row>6</xdr:row>
          <xdr:rowOff>19050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3286125</xdr:colOff>
          <xdr:row>1</xdr:row>
          <xdr:rowOff>133350</xdr:rowOff>
        </xdr:from>
        <xdr:to>
          <xdr:col>2</xdr:col>
          <xdr:colOff>219075</xdr:colOff>
          <xdr:row>6</xdr:row>
          <xdr:rowOff>9525</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xdr:row>
          <xdr:rowOff>133350</xdr:rowOff>
        </xdr:from>
        <xdr:to>
          <xdr:col>4</xdr:col>
          <xdr:colOff>142875</xdr:colOff>
          <xdr:row>6</xdr:row>
          <xdr:rowOff>9525</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oleObject" Target="../embeddings/oleObject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1996" t="s">
        <v>405</v>
      </c>
      <c r="J1" s="1997"/>
      <c r="K1" s="1997"/>
      <c r="L1" s="1997"/>
      <c r="M1" s="1997"/>
      <c r="N1" s="1997"/>
      <c r="O1" s="1997"/>
      <c r="P1" s="1997"/>
      <c r="Q1" s="1997"/>
      <c r="R1" s="1997"/>
      <c r="S1" s="1997"/>
    </row>
    <row r="2" spans="1:28" ht="12" customHeight="1" x14ac:dyDescent="0.2">
      <c r="A2" s="47" t="s">
        <v>1987</v>
      </c>
      <c r="D2" s="48"/>
      <c r="I2" s="1998" t="s">
        <v>979</v>
      </c>
      <c r="J2" s="1997"/>
      <c r="K2" s="1997"/>
      <c r="L2" s="1997"/>
      <c r="M2" s="1997"/>
      <c r="N2" s="1997"/>
      <c r="O2" s="1997"/>
      <c r="P2" s="1997"/>
      <c r="Q2" s="1997"/>
      <c r="R2" s="1997"/>
      <c r="S2" s="1997"/>
    </row>
    <row r="3" spans="1:28" ht="12" customHeight="1" x14ac:dyDescent="0.2">
      <c r="A3" s="155" t="s">
        <v>1939</v>
      </c>
      <c r="B3" s="156"/>
      <c r="C3" s="156"/>
      <c r="D3" s="157"/>
      <c r="I3" s="1998" t="s">
        <v>52</v>
      </c>
      <c r="J3" s="1997"/>
      <c r="K3" s="1997"/>
      <c r="L3" s="1997"/>
      <c r="M3" s="1997"/>
      <c r="N3" s="1997"/>
      <c r="O3" s="1997"/>
      <c r="P3" s="1997"/>
      <c r="Q3" s="1997"/>
      <c r="R3" s="1997"/>
      <c r="S3" s="1997"/>
    </row>
    <row r="4" spans="1:28" ht="12" customHeight="1" x14ac:dyDescent="0.2">
      <c r="A4" s="37"/>
      <c r="I4" s="1998" t="s">
        <v>524</v>
      </c>
      <c r="J4" s="1997"/>
      <c r="K4" s="1997"/>
      <c r="L4" s="1997"/>
      <c r="M4" s="1997"/>
      <c r="N4" s="1997"/>
      <c r="O4" s="1997"/>
      <c r="P4" s="1997"/>
      <c r="Q4" s="1997"/>
      <c r="R4" s="1997"/>
      <c r="S4" s="1997"/>
    </row>
    <row r="5" spans="1:28" ht="14.1" customHeight="1" x14ac:dyDescent="0.2">
      <c r="B5" s="104"/>
      <c r="C5" s="26" t="s">
        <v>910</v>
      </c>
      <c r="D5" s="84"/>
      <c r="E5" s="84"/>
      <c r="H5" s="38"/>
      <c r="I5" s="2006" t="s">
        <v>680</v>
      </c>
      <c r="J5" s="2005"/>
      <c r="K5" s="2005"/>
      <c r="L5" s="2005"/>
      <c r="M5" s="2005"/>
      <c r="N5" s="2005"/>
      <c r="O5" s="2005"/>
      <c r="P5" s="2005"/>
      <c r="Q5" s="2005"/>
      <c r="R5" s="2005"/>
      <c r="S5" s="2005"/>
    </row>
    <row r="6" spans="1:28" ht="14.1" customHeight="1" x14ac:dyDescent="0.2">
      <c r="B6" s="104" t="s">
        <v>2061</v>
      </c>
      <c r="C6" s="26" t="s">
        <v>911</v>
      </c>
      <c r="D6" s="84"/>
      <c r="E6" s="84"/>
      <c r="I6" s="2004" t="s">
        <v>883</v>
      </c>
      <c r="J6" s="2005"/>
      <c r="K6" s="2005"/>
      <c r="L6" s="2005"/>
      <c r="M6" s="2005"/>
      <c r="N6" s="2005"/>
      <c r="O6" s="2005"/>
      <c r="P6" s="2005"/>
      <c r="Q6" s="2005"/>
      <c r="R6" s="2005"/>
      <c r="S6" s="2005"/>
    </row>
    <row r="7" spans="1:28" ht="12.2" customHeight="1" x14ac:dyDescent="0.2">
      <c r="I7" s="1999">
        <v>43646</v>
      </c>
      <c r="J7" s="2000"/>
      <c r="K7" s="2000"/>
      <c r="L7" s="2000"/>
      <c r="M7" s="2000"/>
      <c r="N7" s="2000"/>
      <c r="O7" s="2000"/>
      <c r="P7" s="2000"/>
      <c r="Q7" s="2000"/>
      <c r="R7" s="2000"/>
      <c r="S7" s="200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1" t="s">
        <v>674</v>
      </c>
      <c r="J9" s="2002"/>
      <c r="K9" s="2002"/>
      <c r="L9" s="2002"/>
      <c r="M9" s="2002"/>
      <c r="N9" s="2002"/>
      <c r="O9" s="2002"/>
      <c r="P9" s="2002"/>
      <c r="Q9" s="2002"/>
      <c r="R9" s="2002"/>
      <c r="S9" s="2003"/>
      <c r="T9" s="2017" t="s">
        <v>533</v>
      </c>
      <c r="U9" s="2018"/>
      <c r="V9" s="2018"/>
      <c r="W9" s="2018"/>
      <c r="X9" s="2018"/>
      <c r="Y9" s="2018"/>
      <c r="Z9" s="2018"/>
      <c r="AA9" s="2019"/>
    </row>
    <row r="10" spans="1:28" ht="13.5" customHeight="1" x14ac:dyDescent="0.2">
      <c r="A10" s="2024" t="s">
        <v>675</v>
      </c>
      <c r="B10" s="2025"/>
      <c r="C10" s="2025"/>
      <c r="D10" s="2025"/>
      <c r="E10" s="2025"/>
      <c r="F10" s="2025"/>
      <c r="G10" s="2025"/>
      <c r="H10" s="2026"/>
      <c r="I10" s="29"/>
      <c r="J10" s="30"/>
      <c r="K10" s="28"/>
      <c r="R10" s="30"/>
      <c r="S10" s="30"/>
      <c r="T10" s="2020"/>
      <c r="U10" s="2005"/>
      <c r="V10" s="2005"/>
      <c r="W10" s="2005"/>
      <c r="X10" s="2005"/>
      <c r="Y10" s="2005"/>
      <c r="Z10" s="2005"/>
      <c r="AA10" s="2011"/>
    </row>
    <row r="11" spans="1:28" ht="14.25" customHeight="1" x14ac:dyDescent="0.2">
      <c r="A11" s="2027" t="s">
        <v>955</v>
      </c>
      <c r="B11" s="2028"/>
      <c r="C11" s="2028"/>
      <c r="D11" s="2028"/>
      <c r="E11" s="2028"/>
      <c r="F11" s="2028"/>
      <c r="G11" s="2028"/>
      <c r="H11" s="2029"/>
      <c r="I11" s="27"/>
      <c r="J11" s="74"/>
      <c r="K11" s="27"/>
      <c r="O11" s="148" t="s">
        <v>2061</v>
      </c>
      <c r="P11" s="100" t="s">
        <v>201</v>
      </c>
      <c r="Q11" s="30"/>
      <c r="R11" s="28"/>
      <c r="S11" s="27"/>
      <c r="T11" s="2021"/>
      <c r="U11" s="2022"/>
      <c r="V11" s="2022"/>
      <c r="W11" s="2022"/>
      <c r="X11" s="2022"/>
      <c r="Y11" s="2022"/>
      <c r="Z11" s="2022"/>
      <c r="AA11" s="202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1">
        <v>12017801060</v>
      </c>
      <c r="B13" s="2032"/>
      <c r="C13" s="2032"/>
      <c r="D13" s="2032"/>
      <c r="E13" s="2032"/>
      <c r="F13" s="2032"/>
      <c r="G13" s="2032"/>
      <c r="H13" s="2033"/>
      <c r="I13" s="31"/>
      <c r="J13" s="30"/>
      <c r="K13" s="28"/>
      <c r="L13" s="30"/>
      <c r="M13" s="30"/>
      <c r="N13" s="30"/>
      <c r="O13" s="30"/>
      <c r="P13" s="30"/>
      <c r="Q13" s="30"/>
      <c r="R13" s="30"/>
      <c r="S13" s="30"/>
      <c r="T13" s="2036" t="s">
        <v>2069</v>
      </c>
      <c r="U13" s="2037"/>
      <c r="V13" s="2037"/>
      <c r="W13" s="2037"/>
      <c r="X13" s="2037"/>
      <c r="Y13" s="2038"/>
      <c r="Z13" s="2038"/>
      <c r="AA13" s="203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0" t="s">
        <v>2062</v>
      </c>
      <c r="B15" s="2034"/>
      <c r="C15" s="2034"/>
      <c r="D15" s="2034"/>
      <c r="E15" s="2034"/>
      <c r="F15" s="2034"/>
      <c r="G15" s="2034"/>
      <c r="H15" s="2035"/>
      <c r="T15" s="2040" t="s">
        <v>2070</v>
      </c>
      <c r="U15" s="1984"/>
      <c r="V15" s="1984"/>
      <c r="W15" s="1984"/>
      <c r="X15" s="1984"/>
      <c r="Y15" s="2041"/>
      <c r="Z15" s="2041"/>
      <c r="AA15" s="204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0" t="s">
        <v>2144</v>
      </c>
      <c r="B17" s="1991"/>
      <c r="C17" s="1991"/>
      <c r="D17" s="1991"/>
      <c r="E17" s="1991"/>
      <c r="F17" s="1991"/>
      <c r="G17" s="1991"/>
      <c r="H17" s="2016"/>
      <c r="T17" s="2047" t="s">
        <v>2071</v>
      </c>
      <c r="U17" s="2048"/>
      <c r="V17" s="2048"/>
      <c r="W17" s="2048"/>
      <c r="X17" s="2048"/>
      <c r="Y17" s="2048"/>
      <c r="Z17" s="2048"/>
      <c r="AA17" s="2049"/>
    </row>
    <row r="18" spans="1:27" ht="13.5" customHeight="1" x14ac:dyDescent="0.2">
      <c r="A18" s="85" t="s">
        <v>530</v>
      </c>
      <c r="B18" s="76"/>
      <c r="C18" s="72"/>
      <c r="D18" s="76"/>
      <c r="E18" s="76"/>
      <c r="F18" s="76"/>
      <c r="G18" s="76"/>
      <c r="H18" s="56"/>
      <c r="I18" s="2015" t="s">
        <v>676</v>
      </c>
      <c r="J18" s="1966"/>
      <c r="K18" s="1966"/>
      <c r="L18" s="1966"/>
      <c r="M18" s="1966"/>
      <c r="N18" s="1966"/>
      <c r="O18" s="1966"/>
      <c r="P18" s="1966"/>
      <c r="Q18" s="1966"/>
      <c r="R18" s="1966"/>
      <c r="S18" s="1967"/>
      <c r="T18" s="85" t="s">
        <v>711</v>
      </c>
      <c r="U18" s="51"/>
      <c r="V18" s="72"/>
      <c r="W18" s="50"/>
      <c r="X18" s="85" t="s">
        <v>266</v>
      </c>
      <c r="Y18" s="81"/>
      <c r="Z18" s="159" t="s">
        <v>677</v>
      </c>
      <c r="AA18" s="46"/>
    </row>
    <row r="19" spans="1:27" ht="13.5" customHeight="1" x14ac:dyDescent="0.2">
      <c r="A19" s="2030" t="s">
        <v>2063</v>
      </c>
      <c r="B19" s="1976"/>
      <c r="C19" s="1976"/>
      <c r="D19" s="1976"/>
      <c r="E19" s="1976"/>
      <c r="F19" s="1976"/>
      <c r="G19" s="1976"/>
      <c r="H19" s="1956"/>
      <c r="I19" s="30"/>
      <c r="J19" s="99"/>
      <c r="K19" s="40"/>
      <c r="L19" s="38"/>
      <c r="M19" s="112" t="s">
        <v>315</v>
      </c>
      <c r="P19" s="27"/>
      <c r="Q19" s="27"/>
      <c r="R19" s="27"/>
      <c r="S19" s="31"/>
      <c r="T19" s="2030" t="s">
        <v>2072</v>
      </c>
      <c r="U19" s="1955"/>
      <c r="V19" s="1955"/>
      <c r="W19" s="1956"/>
      <c r="X19" s="2045" t="s">
        <v>2073</v>
      </c>
      <c r="Y19" s="2046"/>
      <c r="Z19" s="2043">
        <v>62454</v>
      </c>
      <c r="AA19" s="204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4" t="s">
        <v>2064</v>
      </c>
      <c r="B21" s="1955"/>
      <c r="C21" s="1955"/>
      <c r="D21" s="1955"/>
      <c r="E21" s="1955"/>
      <c r="F21" s="1955"/>
      <c r="G21" s="1955"/>
      <c r="H21" s="1956"/>
      <c r="I21" s="2010" t="s">
        <v>678</v>
      </c>
      <c r="J21" s="2005"/>
      <c r="K21" s="2005"/>
      <c r="L21" s="2005"/>
      <c r="M21" s="2005"/>
      <c r="N21" s="2005"/>
      <c r="O21" s="2005"/>
      <c r="P21" s="2005"/>
      <c r="Q21" s="2005"/>
      <c r="R21" s="2005"/>
      <c r="S21" s="2011"/>
      <c r="T21" s="2054" t="s">
        <v>2074</v>
      </c>
      <c r="U21" s="2055"/>
      <c r="V21" s="2055"/>
      <c r="W21" s="2055"/>
      <c r="X21" s="2060" t="s">
        <v>2075</v>
      </c>
      <c r="Y21" s="2061"/>
      <c r="Z21" s="2061"/>
      <c r="AA21" s="2062"/>
    </row>
    <row r="22" spans="1:27" ht="13.5" customHeight="1" x14ac:dyDescent="0.2">
      <c r="A22" s="87" t="s">
        <v>531</v>
      </c>
      <c r="B22" s="59"/>
      <c r="C22" s="59"/>
      <c r="D22" s="59"/>
      <c r="E22" s="59"/>
      <c r="F22" s="59"/>
      <c r="G22" s="59"/>
      <c r="H22" s="60"/>
      <c r="I22" s="2012" t="s">
        <v>1429</v>
      </c>
      <c r="J22" s="2013"/>
      <c r="K22" s="2013"/>
      <c r="L22" s="2013"/>
      <c r="M22" s="2013"/>
      <c r="N22" s="2013"/>
      <c r="O22" s="2013"/>
      <c r="P22" s="2013"/>
      <c r="Q22" s="2013"/>
      <c r="R22" s="2013"/>
      <c r="S22" s="2014"/>
      <c r="T22" s="85" t="s">
        <v>1516</v>
      </c>
      <c r="U22" s="51"/>
      <c r="V22" s="72"/>
      <c r="W22" s="51"/>
      <c r="X22" s="160" t="s">
        <v>1318</v>
      </c>
      <c r="Z22" s="45"/>
      <c r="AA22" s="46"/>
    </row>
    <row r="23" spans="1:27" ht="13.5" customHeight="1" x14ac:dyDescent="0.2">
      <c r="A23" s="2007" t="s">
        <v>2065</v>
      </c>
      <c r="B23" s="2008"/>
      <c r="C23" s="2008"/>
      <c r="D23" s="2008"/>
      <c r="E23" s="2008"/>
      <c r="F23" s="2008"/>
      <c r="G23" s="2008"/>
      <c r="H23" s="2009"/>
      <c r="T23" s="1990" t="s">
        <v>2076</v>
      </c>
      <c r="U23" s="2053"/>
      <c r="V23" s="2053"/>
      <c r="W23" s="2053"/>
      <c r="X23" s="2057">
        <v>44469</v>
      </c>
      <c r="Y23" s="2058"/>
      <c r="Z23" s="2058"/>
      <c r="AA23" s="2059"/>
    </row>
    <row r="24" spans="1:27" ht="14.1" customHeight="1" x14ac:dyDescent="0.2">
      <c r="A24" s="88" t="s">
        <v>677</v>
      </c>
      <c r="B24" s="49"/>
      <c r="C24" s="49"/>
      <c r="D24" s="49"/>
      <c r="E24" s="49"/>
      <c r="F24" s="49"/>
      <c r="G24" s="49"/>
      <c r="H24" s="61"/>
      <c r="J24" s="1977" t="str">
        <f>IF(B5="x",IF(AUDITCHECK!D29="AFR form Incomplete.","",IF(AUDITCHECK!D29="Deficit reduction plan is required.","School District must complete a deficit reduction plan in the 2019-2020 Budget",)),"")</f>
        <v/>
      </c>
      <c r="K24" s="1977"/>
      <c r="L24" s="1977"/>
      <c r="M24" s="1977"/>
      <c r="N24" s="1977"/>
      <c r="O24" s="1977"/>
      <c r="P24" s="1977"/>
      <c r="Q24" s="1977"/>
      <c r="R24" s="1977"/>
      <c r="S24" s="1978"/>
      <c r="T24" s="105" t="s">
        <v>531</v>
      </c>
      <c r="U24" s="106"/>
      <c r="V24" s="106"/>
      <c r="W24" s="106"/>
      <c r="X24" s="107"/>
      <c r="Y24" s="107"/>
      <c r="Z24" s="107"/>
      <c r="AA24" s="108"/>
    </row>
    <row r="25" spans="1:27" ht="14.1" customHeight="1" x14ac:dyDescent="0.2">
      <c r="A25" s="1954">
        <v>62459</v>
      </c>
      <c r="B25" s="1955"/>
      <c r="C25" s="1955"/>
      <c r="D25" s="1955"/>
      <c r="E25" s="1955"/>
      <c r="F25" s="1955"/>
      <c r="G25" s="1955"/>
      <c r="H25" s="1956"/>
      <c r="I25" s="113"/>
      <c r="J25" s="1979"/>
      <c r="K25" s="1979"/>
      <c r="L25" s="1979"/>
      <c r="M25" s="1979"/>
      <c r="N25" s="1979"/>
      <c r="O25" s="1979"/>
      <c r="P25" s="1979"/>
      <c r="Q25" s="1979"/>
      <c r="R25" s="1979"/>
      <c r="S25" s="1980"/>
      <c r="T25" s="2050" t="s">
        <v>2077</v>
      </c>
      <c r="U25" s="2051"/>
      <c r="V25" s="2051"/>
      <c r="W25" s="2051"/>
      <c r="X25" s="2051"/>
      <c r="Y25" s="2051"/>
      <c r="Z25" s="2051"/>
      <c r="AA25" s="205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5" t="s">
        <v>1511</v>
      </c>
      <c r="J27" s="1966"/>
      <c r="K27" s="1966"/>
      <c r="L27" s="1966"/>
      <c r="M27" s="1966"/>
      <c r="N27" s="1966"/>
      <c r="O27" s="1966"/>
      <c r="P27" s="1966"/>
      <c r="Q27" s="1966"/>
      <c r="R27" s="1966"/>
      <c r="S27" s="196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2061</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6"/>
      <c r="Q35" s="1955"/>
      <c r="R35" s="195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0" t="s">
        <v>2066</v>
      </c>
      <c r="B38" s="1991"/>
      <c r="C38" s="1991"/>
      <c r="D38" s="1991"/>
      <c r="E38" s="1991"/>
      <c r="F38" s="1955"/>
      <c r="G38" s="1955"/>
      <c r="H38" s="1956"/>
      <c r="I38" s="1983"/>
      <c r="J38" s="1984"/>
      <c r="K38" s="1984"/>
      <c r="L38" s="1984"/>
      <c r="M38" s="1984"/>
      <c r="N38" s="1984"/>
      <c r="O38" s="1984"/>
      <c r="P38" s="1985"/>
      <c r="Q38" s="1985"/>
      <c r="R38" s="1985"/>
      <c r="S38" s="1986"/>
      <c r="T38" s="2040"/>
      <c r="U38" s="1984"/>
      <c r="V38" s="1984"/>
      <c r="W38" s="1984"/>
      <c r="X38" s="1985"/>
      <c r="Y38" s="1985"/>
      <c r="Z38" s="1985"/>
      <c r="AA38" s="1986"/>
    </row>
    <row r="39" spans="1:27" ht="12" customHeight="1" x14ac:dyDescent="0.2">
      <c r="A39" s="1960" t="s">
        <v>531</v>
      </c>
      <c r="B39" s="1961"/>
      <c r="C39" s="72"/>
      <c r="D39" s="69"/>
      <c r="E39" s="69"/>
      <c r="F39" s="79"/>
      <c r="G39" s="69"/>
      <c r="H39" s="56"/>
      <c r="I39" s="1960" t="s">
        <v>531</v>
      </c>
      <c r="J39" s="1961"/>
      <c r="K39" s="1961"/>
      <c r="L39" s="1961"/>
      <c r="M39" s="1961"/>
      <c r="N39" s="67"/>
      <c r="O39" s="72"/>
      <c r="P39" s="72"/>
      <c r="Q39" s="78"/>
      <c r="R39" s="72"/>
      <c r="S39" s="56"/>
      <c r="T39" s="72" t="s">
        <v>531</v>
      </c>
      <c r="U39" s="51"/>
      <c r="V39" s="72"/>
      <c r="W39" s="50"/>
      <c r="X39" s="78"/>
      <c r="Y39" s="45"/>
      <c r="Z39" s="45"/>
      <c r="AA39" s="46"/>
    </row>
    <row r="40" spans="1:27" ht="13.5" customHeight="1" x14ac:dyDescent="0.2">
      <c r="A40" s="1968" t="s">
        <v>2065</v>
      </c>
      <c r="B40" s="1969"/>
      <c r="C40" s="1970"/>
      <c r="D40" s="1970"/>
      <c r="E40" s="1970"/>
      <c r="F40" s="1971"/>
      <c r="G40" s="1971"/>
      <c r="H40" s="1972"/>
      <c r="I40" s="1993"/>
      <c r="J40" s="1994"/>
      <c r="K40" s="1994"/>
      <c r="L40" s="1994"/>
      <c r="M40" s="1994"/>
      <c r="N40" s="1994"/>
      <c r="O40" s="1994"/>
      <c r="P40" s="1994"/>
      <c r="Q40" s="1994"/>
      <c r="R40" s="1994"/>
      <c r="S40" s="1995"/>
      <c r="T40" s="1993"/>
      <c r="U40" s="2056"/>
      <c r="V40" s="1994"/>
      <c r="W40" s="1994"/>
      <c r="X40" s="1994"/>
      <c r="Y40" s="1994"/>
      <c r="Z40" s="1994"/>
      <c r="AA40" s="199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2" t="s">
        <v>2067</v>
      </c>
      <c r="B42" s="1974"/>
      <c r="C42" s="1975"/>
      <c r="D42" s="1973" t="s">
        <v>2068</v>
      </c>
      <c r="E42" s="1974"/>
      <c r="F42" s="1974"/>
      <c r="G42" s="1974"/>
      <c r="H42" s="1975"/>
      <c r="I42" s="1957"/>
      <c r="J42" s="1958"/>
      <c r="K42" s="1958"/>
      <c r="L42" s="1958"/>
      <c r="M42" s="1958"/>
      <c r="N42" s="1958"/>
      <c r="O42" s="1959"/>
      <c r="P42" s="1992"/>
      <c r="Q42" s="1958"/>
      <c r="R42" s="1958"/>
      <c r="S42" s="1959"/>
      <c r="T42" s="1957"/>
      <c r="U42" s="1958"/>
      <c r="V42" s="1958"/>
      <c r="W42" s="1959"/>
      <c r="X42" s="1992"/>
      <c r="Y42" s="1958"/>
      <c r="Z42" s="1958"/>
      <c r="AA42" s="195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7"/>
      <c r="B44" s="1988"/>
      <c r="C44" s="1988"/>
      <c r="D44" s="1988"/>
      <c r="E44" s="1988"/>
      <c r="F44" s="1988"/>
      <c r="G44" s="1988"/>
      <c r="H44" s="1989"/>
      <c r="I44" s="1962"/>
      <c r="J44" s="1963"/>
      <c r="K44" s="1963"/>
      <c r="L44" s="1963"/>
      <c r="M44" s="1963"/>
      <c r="N44" s="1963"/>
      <c r="O44" s="1963"/>
      <c r="P44" s="1963"/>
      <c r="Q44" s="1963"/>
      <c r="R44" s="1963"/>
      <c r="S44" s="1964"/>
      <c r="T44" s="1962"/>
      <c r="U44" s="1981"/>
      <c r="V44" s="1981"/>
      <c r="W44" s="1981"/>
      <c r="X44" s="1981"/>
      <c r="Y44" s="1981"/>
      <c r="Z44" s="1963"/>
      <c r="AA44" s="196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1938</v>
      </c>
      <c r="D46" s="41"/>
      <c r="E46" s="41"/>
      <c r="F46" s="41"/>
      <c r="G46" s="41"/>
      <c r="Q46" s="29" t="s">
        <v>1420</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6" t="s">
        <v>1798</v>
      </c>
      <c r="B2" s="1528" t="s">
        <v>1945</v>
      </c>
      <c r="C2" s="714" t="s">
        <v>1946</v>
      </c>
      <c r="D2" s="714" t="s">
        <v>1947</v>
      </c>
      <c r="E2" s="714" t="s">
        <v>1948</v>
      </c>
      <c r="F2" s="714" t="s">
        <v>1949</v>
      </c>
    </row>
    <row r="3" spans="1:6" ht="12" customHeight="1" x14ac:dyDescent="0.2">
      <c r="A3" s="2197"/>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1804</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67"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8" t="s">
        <v>629</v>
      </c>
      <c r="B1" s="2216"/>
      <c r="C1" s="721"/>
    </row>
    <row r="2" spans="1:7" ht="33.75" x14ac:dyDescent="0.2">
      <c r="A2" s="2223" t="s">
        <v>1798</v>
      </c>
      <c r="B2" s="2224"/>
      <c r="C2" s="1884" t="s">
        <v>1950</v>
      </c>
      <c r="D2" s="723" t="s">
        <v>1951</v>
      </c>
      <c r="E2" s="723" t="s">
        <v>1952</v>
      </c>
      <c r="F2" s="1884" t="s">
        <v>1953</v>
      </c>
    </row>
    <row r="3" spans="1:7" ht="15.75" customHeight="1" x14ac:dyDescent="0.2">
      <c r="A3" s="2225" t="s">
        <v>1114</v>
      </c>
      <c r="B3" s="2226"/>
      <c r="C3" s="2219"/>
      <c r="D3" s="2220"/>
      <c r="E3" s="2220"/>
      <c r="F3" s="2221"/>
    </row>
    <row r="4" spans="1:7" ht="12.75" customHeight="1" thickBot="1" x14ac:dyDescent="0.25">
      <c r="A4" s="2213" t="s">
        <v>630</v>
      </c>
      <c r="B4" s="2214"/>
      <c r="C4" s="581"/>
      <c r="D4" s="581"/>
      <c r="E4" s="581"/>
      <c r="F4" s="1755">
        <f>SUM(C4+D4)-E4</f>
        <v>0</v>
      </c>
    </row>
    <row r="5" spans="1:7" ht="15.75" customHeight="1" thickTop="1" x14ac:dyDescent="0.2">
      <c r="A5" s="2217" t="s">
        <v>1110</v>
      </c>
      <c r="B5" s="2212"/>
      <c r="C5" s="2206"/>
      <c r="D5" s="2207"/>
      <c r="E5" s="2207"/>
      <c r="F5" s="220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9" t="s">
        <v>631</v>
      </c>
      <c r="B15" s="2210"/>
      <c r="C15" s="1755">
        <f>SUM(C6:C14)</f>
        <v>0</v>
      </c>
      <c r="D15" s="1755">
        <f>SUM(D6:D14)</f>
        <v>0</v>
      </c>
      <c r="E15" s="1755">
        <f>SUM(E6:E14)</f>
        <v>0</v>
      </c>
      <c r="F15" s="1755">
        <f>SUM(F6:F14)</f>
        <v>0</v>
      </c>
      <c r="G15" s="552"/>
    </row>
    <row r="16" spans="1:7" s="202" customFormat="1" ht="15.75" customHeight="1" thickTop="1" x14ac:dyDescent="0.2">
      <c r="A16" s="2222" t="s">
        <v>1111</v>
      </c>
      <c r="B16" s="2212"/>
      <c r="C16" s="2206"/>
      <c r="D16" s="2207"/>
      <c r="E16" s="2207"/>
      <c r="F16" s="2208"/>
    </row>
    <row r="17" spans="1:11" ht="12.75" customHeight="1" thickBot="1" x14ac:dyDescent="0.25">
      <c r="A17" s="2204" t="s">
        <v>64</v>
      </c>
      <c r="B17" s="2205"/>
      <c r="C17" s="726"/>
      <c r="D17" s="585"/>
      <c r="E17" s="726"/>
      <c r="F17" s="1755">
        <f>SUM(C17+D17)-E17</f>
        <v>0</v>
      </c>
    </row>
    <row r="18" spans="1:11" ht="12.75" customHeight="1" thickTop="1" thickBot="1" x14ac:dyDescent="0.25">
      <c r="A18" s="2204" t="s">
        <v>6</v>
      </c>
      <c r="B18" s="2205"/>
      <c r="C18" s="726"/>
      <c r="D18" s="585"/>
      <c r="E18" s="726"/>
      <c r="F18" s="1755">
        <f>SUM(C18+D18)-E18</f>
        <v>0</v>
      </c>
    </row>
    <row r="19" spans="1:11" ht="12.75" customHeight="1" thickTop="1" thickBot="1" x14ac:dyDescent="0.25">
      <c r="A19" s="2204" t="s">
        <v>388</v>
      </c>
      <c r="B19" s="2205"/>
      <c r="C19" s="726"/>
      <c r="D19" s="585"/>
      <c r="E19" s="726"/>
      <c r="F19" s="1755">
        <f>SUM(C19+D19)-E19</f>
        <v>0</v>
      </c>
    </row>
    <row r="20" spans="1:11" ht="12.75" customHeight="1" thickTop="1" thickBot="1" x14ac:dyDescent="0.25">
      <c r="A20" s="2204" t="s">
        <v>448</v>
      </c>
      <c r="B20" s="2205"/>
      <c r="C20" s="726"/>
      <c r="D20" s="585"/>
      <c r="E20" s="726"/>
      <c r="F20" s="1755">
        <f>SUM(C20+D20)-E20</f>
        <v>0</v>
      </c>
    </row>
    <row r="21" spans="1:11" ht="14.25" thickTop="1" thickBot="1" x14ac:dyDescent="0.25">
      <c r="A21" s="2209" t="s">
        <v>632</v>
      </c>
      <c r="B21" s="2210"/>
      <c r="C21" s="1755">
        <f>SUM(C17:C20)</f>
        <v>0</v>
      </c>
      <c r="D21" s="1755">
        <f>SUM(D17:D20)</f>
        <v>0</v>
      </c>
      <c r="E21" s="1755">
        <f>SUM(E17:E20)</f>
        <v>0</v>
      </c>
      <c r="F21" s="1755">
        <f>SUM(F17:F20)</f>
        <v>0</v>
      </c>
      <c r="G21" s="552"/>
    </row>
    <row r="22" spans="1:11" ht="15.75" customHeight="1" thickTop="1" x14ac:dyDescent="0.2">
      <c r="A22" s="2211" t="s">
        <v>1112</v>
      </c>
      <c r="B22" s="2212"/>
      <c r="C22" s="2206"/>
      <c r="D22" s="2207"/>
      <c r="E22" s="2207"/>
      <c r="F22" s="2208"/>
    </row>
    <row r="23" spans="1:11" ht="13.5" thickBot="1" x14ac:dyDescent="0.25">
      <c r="A23" s="2213" t="s">
        <v>633</v>
      </c>
      <c r="B23" s="2214"/>
      <c r="C23" s="581"/>
      <c r="D23" s="581"/>
      <c r="E23" s="581"/>
      <c r="F23" s="1755">
        <f>SUM(C23+D23)-E23</f>
        <v>0</v>
      </c>
      <c r="G23" s="552"/>
    </row>
    <row r="24" spans="1:11" ht="15.75" customHeight="1" thickTop="1" x14ac:dyDescent="0.2">
      <c r="A24" s="2211" t="s">
        <v>1113</v>
      </c>
      <c r="B24" s="2212"/>
      <c r="C24" s="2206"/>
      <c r="D24" s="2207"/>
      <c r="E24" s="2207"/>
      <c r="F24" s="2208"/>
    </row>
    <row r="25" spans="1:11" ht="13.5" thickBot="1" x14ac:dyDescent="0.25">
      <c r="A25" s="2213" t="s">
        <v>634</v>
      </c>
      <c r="B25" s="2214"/>
      <c r="C25" s="581"/>
      <c r="D25" s="581"/>
      <c r="E25" s="581"/>
      <c r="F25" s="1755">
        <f>SUM(C25+D25)-E25</f>
        <v>0</v>
      </c>
      <c r="G25" s="552"/>
    </row>
    <row r="26" spans="1:11" ht="15.75" customHeight="1" thickTop="1" x14ac:dyDescent="0.2">
      <c r="A26" s="2217" t="s">
        <v>657</v>
      </c>
      <c r="B26" s="2212"/>
      <c r="C26" s="727"/>
      <c r="D26" s="727"/>
      <c r="E26" s="727"/>
      <c r="F26" s="728"/>
    </row>
    <row r="27" spans="1:11" ht="13.5" thickBot="1" x14ac:dyDescent="0.25">
      <c r="A27" s="2209" t="s">
        <v>1070</v>
      </c>
      <c r="B27" s="2210"/>
      <c r="C27" s="585"/>
      <c r="D27" s="585"/>
      <c r="E27" s="585"/>
      <c r="F27" s="1755">
        <f>SUM(C27+D27)-E27</f>
        <v>0</v>
      </c>
      <c r="G27" s="552"/>
    </row>
    <row r="28" spans="1:11" ht="7.5" customHeight="1" thickTop="1" x14ac:dyDescent="0.2">
      <c r="A28" s="593"/>
    </row>
    <row r="29" spans="1:11" ht="23.25" customHeight="1" x14ac:dyDescent="0.2">
      <c r="A29" s="2215" t="s">
        <v>582</v>
      </c>
      <c r="B29" s="2216"/>
      <c r="C29" s="729"/>
      <c r="D29" s="729"/>
      <c r="E29" s="729"/>
      <c r="F29" s="729"/>
      <c r="G29" s="729"/>
      <c r="H29" s="729"/>
      <c r="I29" s="729"/>
      <c r="J29" s="729"/>
    </row>
    <row r="30" spans="1:11" ht="33.75" x14ac:dyDescent="0.2">
      <c r="A30" s="1529" t="s">
        <v>1071</v>
      </c>
      <c r="B30" s="730" t="s">
        <v>1124</v>
      </c>
      <c r="C30" s="1885" t="s">
        <v>583</v>
      </c>
      <c r="D30" s="1885" t="s">
        <v>1673</v>
      </c>
      <c r="E30" s="1885" t="s">
        <v>1954</v>
      </c>
      <c r="F30" s="1885" t="s">
        <v>1955</v>
      </c>
      <c r="G30" s="1885" t="s">
        <v>1906</v>
      </c>
      <c r="H30" s="1885" t="s">
        <v>1956</v>
      </c>
      <c r="I30" s="1885" t="s">
        <v>1957</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912</v>
      </c>
      <c r="B52" s="2198" t="s">
        <v>584</v>
      </c>
      <c r="C52" s="2199"/>
      <c r="D52" s="2199"/>
      <c r="E52" s="749" t="s">
        <v>845</v>
      </c>
      <c r="F52" s="2200"/>
      <c r="G52" s="2201"/>
      <c r="H52" s="736"/>
      <c r="I52" s="736"/>
      <c r="J52" s="746"/>
    </row>
    <row r="53" spans="1:11" ht="11.25" customHeight="1" x14ac:dyDescent="0.2">
      <c r="A53" s="750" t="s">
        <v>913</v>
      </c>
      <c r="B53" s="751" t="s">
        <v>951</v>
      </c>
      <c r="C53" s="746"/>
      <c r="D53" s="737"/>
      <c r="E53" s="749" t="s">
        <v>497</v>
      </c>
      <c r="F53" s="2202"/>
      <c r="G53" s="2203"/>
      <c r="H53" s="736"/>
      <c r="I53" s="736"/>
      <c r="J53" s="746"/>
    </row>
    <row r="54" spans="1:11" ht="11.25" customHeight="1" x14ac:dyDescent="0.2">
      <c r="A54" s="752" t="s">
        <v>914</v>
      </c>
      <c r="B54" s="747" t="s">
        <v>952</v>
      </c>
      <c r="C54" s="746"/>
      <c r="D54" s="737"/>
      <c r="E54" s="749" t="s">
        <v>498</v>
      </c>
      <c r="F54" s="2202"/>
      <c r="G54" s="220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61"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7" t="s">
        <v>856</v>
      </c>
      <c r="B1" s="2228"/>
      <c r="C1" s="2228"/>
      <c r="D1" s="2228"/>
      <c r="E1" s="2228"/>
      <c r="F1" s="2228"/>
      <c r="G1" s="2229"/>
      <c r="H1" s="1530"/>
      <c r="I1" s="760"/>
      <c r="J1" s="433"/>
    </row>
    <row r="2" spans="1:11" ht="26.25" x14ac:dyDescent="0.2">
      <c r="A2" s="2246" t="s">
        <v>1677</v>
      </c>
      <c r="B2" s="2247"/>
      <c r="C2" s="2247"/>
      <c r="D2" s="2247"/>
      <c r="E2" s="2248"/>
      <c r="F2" s="761" t="s">
        <v>904</v>
      </c>
      <c r="G2" s="762" t="s">
        <v>1674</v>
      </c>
      <c r="H2" s="762" t="s">
        <v>410</v>
      </c>
      <c r="I2" s="762" t="s">
        <v>1158</v>
      </c>
      <c r="J2" s="762" t="s">
        <v>1808</v>
      </c>
      <c r="K2" s="762" t="s">
        <v>138</v>
      </c>
    </row>
    <row r="3" spans="1:11" x14ac:dyDescent="0.2">
      <c r="A3" s="2249" t="s">
        <v>1958</v>
      </c>
      <c r="B3" s="2250"/>
      <c r="C3" s="2250"/>
      <c r="D3" s="2250"/>
      <c r="E3" s="2251"/>
      <c r="F3" s="763"/>
      <c r="G3" s="764"/>
      <c r="H3" s="764"/>
      <c r="I3" s="764"/>
      <c r="J3" s="765"/>
      <c r="K3" s="765"/>
    </row>
    <row r="4" spans="1:11" x14ac:dyDescent="0.2">
      <c r="A4" s="2252" t="s">
        <v>369</v>
      </c>
      <c r="B4" s="2253"/>
      <c r="C4" s="2253"/>
      <c r="D4" s="2253"/>
      <c r="E4" s="2199"/>
      <c r="F4" s="766"/>
      <c r="G4" s="767"/>
      <c r="H4" s="768"/>
      <c r="I4" s="767"/>
      <c r="J4" s="769"/>
      <c r="K4" s="769"/>
    </row>
    <row r="5" spans="1:11" x14ac:dyDescent="0.2">
      <c r="A5" s="2230" t="s">
        <v>1069</v>
      </c>
      <c r="B5" s="2231"/>
      <c r="C5" s="2231"/>
      <c r="D5" s="2231"/>
      <c r="E5" s="2232"/>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0" t="s">
        <v>1809</v>
      </c>
      <c r="B10" s="2231"/>
      <c r="C10" s="2231"/>
      <c r="D10" s="2231"/>
      <c r="E10" s="2233"/>
      <c r="F10" s="783" t="s">
        <v>862</v>
      </c>
      <c r="G10" s="782"/>
      <c r="H10" s="784"/>
      <c r="I10" s="764"/>
      <c r="J10" s="765"/>
      <c r="K10" s="765"/>
    </row>
    <row r="11" spans="1:11" x14ac:dyDescent="0.2">
      <c r="A11" s="2230" t="s">
        <v>160</v>
      </c>
      <c r="B11" s="2231"/>
      <c r="C11" s="2231"/>
      <c r="D11" s="2231"/>
      <c r="E11" s="2232"/>
      <c r="F11" s="770" t="s">
        <v>852</v>
      </c>
      <c r="G11" s="771"/>
      <c r="H11" s="764"/>
      <c r="I11" s="764"/>
      <c r="J11" s="765"/>
      <c r="K11" s="773"/>
    </row>
    <row r="12" spans="1:11" ht="13.5" thickBot="1" x14ac:dyDescent="0.25">
      <c r="A12" s="2257" t="s">
        <v>905</v>
      </c>
      <c r="B12" s="2258"/>
      <c r="C12" s="2258"/>
      <c r="D12" s="2258"/>
      <c r="E12" s="2259"/>
      <c r="F12" s="1757"/>
      <c r="G12" s="1758">
        <f>SUM(G5:G11)</f>
        <v>0</v>
      </c>
      <c r="H12" s="1758">
        <f>SUM(H5:H11)</f>
        <v>0</v>
      </c>
      <c r="I12" s="1758">
        <f>SUM(I5:I11)</f>
        <v>0</v>
      </c>
      <c r="J12" s="1758">
        <f>SUM(J5:J11)</f>
        <v>0</v>
      </c>
      <c r="K12" s="1758">
        <f>SUM(K5:K11)</f>
        <v>0</v>
      </c>
    </row>
    <row r="13" spans="1:11" ht="13.5" thickTop="1" x14ac:dyDescent="0.2">
      <c r="A13" s="2254" t="s">
        <v>370</v>
      </c>
      <c r="B13" s="2255"/>
      <c r="C13" s="2255"/>
      <c r="D13" s="2255"/>
      <c r="E13" s="2256"/>
      <c r="F13" s="785"/>
      <c r="G13" s="786"/>
      <c r="H13" s="787"/>
      <c r="I13" s="788"/>
      <c r="J13" s="788"/>
      <c r="K13" s="788"/>
    </row>
    <row r="14" spans="1:11" x14ac:dyDescent="0.2">
      <c r="A14" s="2237" t="s">
        <v>456</v>
      </c>
      <c r="B14" s="2237"/>
      <c r="C14" s="2237"/>
      <c r="D14" s="2237"/>
      <c r="E14" s="2238"/>
      <c r="F14" s="789" t="s">
        <v>854</v>
      </c>
      <c r="G14" s="782"/>
      <c r="H14" s="764"/>
      <c r="I14" s="771"/>
      <c r="J14" s="773"/>
      <c r="K14" s="765"/>
    </row>
    <row r="15" spans="1:11" x14ac:dyDescent="0.2">
      <c r="A15" s="2231" t="s">
        <v>4</v>
      </c>
      <c r="B15" s="2231"/>
      <c r="C15" s="2231"/>
      <c r="D15" s="2231"/>
      <c r="E15" s="2232"/>
      <c r="F15" s="789" t="s">
        <v>855</v>
      </c>
      <c r="G15" s="771"/>
      <c r="H15" s="764"/>
      <c r="I15" s="764"/>
      <c r="J15" s="765"/>
      <c r="K15" s="765"/>
    </row>
    <row r="16" spans="1:11" x14ac:dyDescent="0.2">
      <c r="A16" s="2231" t="s">
        <v>298</v>
      </c>
      <c r="B16" s="2231"/>
      <c r="C16" s="2231"/>
      <c r="D16" s="2231"/>
      <c r="E16" s="2232"/>
      <c r="F16" s="789" t="s">
        <v>923</v>
      </c>
      <c r="G16" s="772"/>
      <c r="H16" s="767"/>
      <c r="I16" s="767"/>
      <c r="J16" s="769"/>
      <c r="K16" s="769"/>
    </row>
    <row r="17" spans="1:11" x14ac:dyDescent="0.2">
      <c r="A17" s="2262" t="s">
        <v>935</v>
      </c>
      <c r="B17" s="2262"/>
      <c r="C17" s="2262"/>
      <c r="D17" s="2262"/>
      <c r="E17" s="2263"/>
      <c r="F17" s="790"/>
      <c r="G17" s="791"/>
      <c r="H17" s="792"/>
      <c r="I17" s="792"/>
      <c r="J17" s="793"/>
      <c r="K17" s="794"/>
    </row>
    <row r="18" spans="1:11" x14ac:dyDescent="0.2">
      <c r="A18" s="2241" t="s">
        <v>368</v>
      </c>
      <c r="B18" s="2242"/>
      <c r="C18" s="2242"/>
      <c r="D18" s="2242"/>
      <c r="E18" s="2243"/>
      <c r="F18" s="789" t="s">
        <v>932</v>
      </c>
      <c r="G18" s="782"/>
      <c r="H18" s="782"/>
      <c r="I18" s="782"/>
      <c r="J18" s="765"/>
      <c r="K18" s="795"/>
    </row>
    <row r="19" spans="1:11" ht="21.75" customHeight="1" x14ac:dyDescent="0.2">
      <c r="A19" s="2239" t="s">
        <v>1805</v>
      </c>
      <c r="B19" s="2239"/>
      <c r="C19" s="2239"/>
      <c r="D19" s="2239"/>
      <c r="E19" s="2240"/>
      <c r="F19" s="789" t="s">
        <v>933</v>
      </c>
      <c r="G19" s="782"/>
      <c r="H19" s="782"/>
      <c r="I19" s="782"/>
      <c r="J19" s="765"/>
      <c r="K19" s="795"/>
    </row>
    <row r="20" spans="1:11" x14ac:dyDescent="0.2">
      <c r="A20" s="2241" t="s">
        <v>1810</v>
      </c>
      <c r="B20" s="2242"/>
      <c r="C20" s="2242"/>
      <c r="D20" s="2242"/>
      <c r="E20" s="2243"/>
      <c r="F20" s="789" t="s">
        <v>934</v>
      </c>
      <c r="G20" s="782"/>
      <c r="H20" s="782"/>
      <c r="I20" s="782"/>
      <c r="J20" s="765"/>
      <c r="K20" s="795"/>
    </row>
    <row r="21" spans="1:11" ht="13.5" thickBot="1" x14ac:dyDescent="0.25">
      <c r="A21" s="2260" t="s">
        <v>638</v>
      </c>
      <c r="B21" s="2260"/>
      <c r="C21" s="2260"/>
      <c r="D21" s="2260"/>
      <c r="E21" s="2260"/>
      <c r="F21" s="1759"/>
      <c r="G21" s="792"/>
      <c r="H21" s="796"/>
      <c r="I21" s="796"/>
      <c r="J21" s="1760">
        <f>SUM(J18:J20)</f>
        <v>0</v>
      </c>
      <c r="K21" s="793"/>
    </row>
    <row r="22" spans="1:11" ht="13.5" thickTop="1" x14ac:dyDescent="0.2">
      <c r="A22" s="2231" t="s">
        <v>1811</v>
      </c>
      <c r="B22" s="2231"/>
      <c r="C22" s="2231"/>
      <c r="D22" s="2231"/>
      <c r="E22" s="2232"/>
      <c r="F22" s="789" t="s">
        <v>862</v>
      </c>
      <c r="G22" s="782"/>
      <c r="H22" s="764"/>
      <c r="I22" s="764"/>
      <c r="J22" s="797"/>
      <c r="K22" s="765"/>
    </row>
    <row r="23" spans="1:11" ht="13.5" thickBot="1" x14ac:dyDescent="0.25">
      <c r="A23" s="2261" t="s">
        <v>906</v>
      </c>
      <c r="B23" s="2260"/>
      <c r="C23" s="2260"/>
      <c r="D23" s="2260"/>
      <c r="E23" s="2260"/>
      <c r="F23" s="1761"/>
      <c r="G23" s="1758">
        <f>SUM(G14:G16,G21,G22)</f>
        <v>0</v>
      </c>
      <c r="H23" s="1758">
        <f>SUM(H14:H16,H21,H22)</f>
        <v>0</v>
      </c>
      <c r="I23" s="1758">
        <f>SUM(I14:I16,I21,I22)</f>
        <v>0</v>
      </c>
      <c r="J23" s="1758">
        <f>SUM(J14:J16,J21,J22)</f>
        <v>0</v>
      </c>
      <c r="K23" s="1758">
        <f>SUM(K14:K16,K21,K22)</f>
        <v>0</v>
      </c>
    </row>
    <row r="24" spans="1:11" ht="14.25" thickTop="1" thickBot="1" x14ac:dyDescent="0.25">
      <c r="A24" s="2261" t="s">
        <v>1959</v>
      </c>
      <c r="B24" s="2260"/>
      <c r="C24" s="2260"/>
      <c r="D24" s="2260"/>
      <c r="E24" s="2260"/>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1905</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4"/>
      <c r="I31" s="2235"/>
      <c r="J31" s="2235"/>
      <c r="K31" s="2235"/>
    </row>
    <row r="32" spans="1:11" x14ac:dyDescent="0.2">
      <c r="A32" s="809"/>
      <c r="B32" s="237"/>
      <c r="C32" s="237"/>
      <c r="D32" s="237"/>
      <c r="E32" s="805"/>
      <c r="F32" s="811" t="s">
        <v>540</v>
      </c>
      <c r="G32" s="764"/>
      <c r="H32" s="2236"/>
      <c r="I32" s="2235"/>
      <c r="J32" s="2235"/>
      <c r="K32" s="2235"/>
    </row>
    <row r="33" spans="1:11" ht="1.5" customHeight="1" x14ac:dyDescent="0.2">
      <c r="A33" s="812" t="s">
        <v>1169</v>
      </c>
      <c r="B33" s="364"/>
      <c r="C33" s="364"/>
      <c r="D33" s="364"/>
      <c r="E33" s="364"/>
      <c r="F33" s="364"/>
      <c r="G33" s="813"/>
      <c r="H33" s="2236"/>
      <c r="I33" s="2235"/>
      <c r="J33" s="2235"/>
      <c r="K33" s="2235"/>
    </row>
    <row r="34" spans="1:11" x14ac:dyDescent="0.2">
      <c r="A34" s="814" t="s">
        <v>1812</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1" t="s">
        <v>541</v>
      </c>
      <c r="B41" s="2244"/>
      <c r="C41" s="2244"/>
      <c r="D41" s="2244"/>
      <c r="E41" s="2244"/>
      <c r="F41" s="224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1806</v>
      </c>
      <c r="B46" s="408" t="s">
        <v>1675</v>
      </c>
    </row>
    <row r="47" spans="1:11" s="823" customFormat="1" ht="12.75" customHeight="1" x14ac:dyDescent="0.2">
      <c r="A47" s="821"/>
      <c r="B47" s="822" t="s">
        <v>1676</v>
      </c>
      <c r="E47" s="822"/>
      <c r="K47" s="824"/>
    </row>
    <row r="48" spans="1:11" ht="12.75" customHeight="1" x14ac:dyDescent="0.2">
      <c r="A48" s="1532" t="s">
        <v>1807</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1904</v>
      </c>
      <c r="B1" s="2267"/>
      <c r="C1" s="2268"/>
      <c r="D1" s="826"/>
      <c r="E1" s="827"/>
      <c r="F1" s="827"/>
      <c r="G1" s="828"/>
      <c r="H1" s="829"/>
      <c r="I1" s="830"/>
      <c r="J1" s="2264"/>
      <c r="K1" s="2265"/>
      <c r="L1" s="2265"/>
    </row>
    <row r="2" spans="1:14" ht="69.75" customHeight="1" x14ac:dyDescent="0.2">
      <c r="A2" s="831" t="s">
        <v>1678</v>
      </c>
      <c r="B2" s="832" t="s">
        <v>378</v>
      </c>
      <c r="C2" s="833" t="s">
        <v>1960</v>
      </c>
      <c r="D2" s="833" t="s">
        <v>1961</v>
      </c>
      <c r="E2" s="833" t="s">
        <v>1962</v>
      </c>
      <c r="F2" s="833" t="s">
        <v>1963</v>
      </c>
      <c r="G2" s="833" t="s">
        <v>605</v>
      </c>
      <c r="H2" s="833" t="s">
        <v>1964</v>
      </c>
      <c r="I2" s="833" t="s">
        <v>1965</v>
      </c>
      <c r="J2" s="833" t="s">
        <v>1966</v>
      </c>
      <c r="K2" s="833" t="s">
        <v>1967</v>
      </c>
      <c r="L2" s="833" t="s">
        <v>1968</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2348261</v>
      </c>
      <c r="D8" s="844">
        <v>92506</v>
      </c>
      <c r="E8" s="844"/>
      <c r="F8" s="1760">
        <f>(C8+D8)-E8</f>
        <v>2440767</v>
      </c>
      <c r="G8" s="843">
        <v>50</v>
      </c>
      <c r="H8" s="765">
        <v>611700</v>
      </c>
      <c r="I8" s="765">
        <v>47743</v>
      </c>
      <c r="J8" s="765"/>
      <c r="K8" s="1769">
        <f>(H8+I8)-J8</f>
        <v>659443</v>
      </c>
      <c r="L8" s="1769">
        <f>F8-K8</f>
        <v>1781324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6382</v>
      </c>
      <c r="D10" s="846"/>
      <c r="E10" s="846"/>
      <c r="F10" s="1764">
        <f>(C10+D10)-E10</f>
        <v>6382</v>
      </c>
      <c r="G10" s="843">
        <v>20</v>
      </c>
      <c r="H10" s="847">
        <v>6382</v>
      </c>
      <c r="I10" s="847"/>
      <c r="J10" s="847"/>
      <c r="K10" s="1769">
        <f>(H10+I10)-J10</f>
        <v>6382</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668978</v>
      </c>
      <c r="D12" s="844"/>
      <c r="E12" s="844">
        <v>21031</v>
      </c>
      <c r="F12" s="1760">
        <f>(C12+D12)-E12</f>
        <v>647947</v>
      </c>
      <c r="G12" s="843">
        <v>10</v>
      </c>
      <c r="H12" s="765">
        <v>490764</v>
      </c>
      <c r="I12" s="765">
        <v>63971</v>
      </c>
      <c r="J12" s="765">
        <v>21031</v>
      </c>
      <c r="K12" s="1769">
        <f>(H12+I12)-J12</f>
        <v>533704</v>
      </c>
      <c r="L12" s="1769">
        <f>F12-K12</f>
        <v>114243</v>
      </c>
    </row>
    <row r="13" spans="1:14" ht="14.25" thickTop="1" thickBot="1" x14ac:dyDescent="0.25">
      <c r="A13" s="848" t="s">
        <v>1122</v>
      </c>
      <c r="B13" s="840">
        <v>252</v>
      </c>
      <c r="C13" s="844">
        <v>52665</v>
      </c>
      <c r="D13" s="844">
        <v>94417</v>
      </c>
      <c r="E13" s="844"/>
      <c r="F13" s="1760">
        <f>(C13+D13)-E13</f>
        <v>147082</v>
      </c>
      <c r="G13" s="843">
        <v>5</v>
      </c>
      <c r="H13" s="765">
        <v>8395</v>
      </c>
      <c r="I13" s="765">
        <v>18396</v>
      </c>
      <c r="J13" s="765"/>
      <c r="K13" s="1769">
        <f>(H13+I13)-J13</f>
        <v>26791</v>
      </c>
      <c r="L13" s="1769">
        <f>F13-K13</f>
        <v>120291</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3076286</v>
      </c>
      <c r="D16" s="1760">
        <f>SUM(D3,D5:D6,D8:D10,D12:D15)</f>
        <v>186923</v>
      </c>
      <c r="E16" s="1760">
        <f>SUM(E3,E5:E6,E8:E10,E12:E15)</f>
        <v>21031</v>
      </c>
      <c r="F16" s="1760">
        <f>SUM(F3,F5:F6,F8:F10,F12:F15)</f>
        <v>3242178</v>
      </c>
      <c r="G16" s="843"/>
      <c r="H16" s="1760">
        <f>SUM(H3,H6,H8:H10,H12:H14,)</f>
        <v>1117241</v>
      </c>
      <c r="I16" s="1760">
        <f>SUM(I3,I6,I8:I10,I12:I14,)</f>
        <v>130110</v>
      </c>
      <c r="J16" s="1760">
        <f>SUM(J3,J6,J8:J10,J12:J14,)</f>
        <v>21031</v>
      </c>
      <c r="K16" s="1760">
        <f>(H16+I16)-J16</f>
        <v>1226320</v>
      </c>
      <c r="L16" s="1760">
        <f>F16-K16</f>
        <v>2015858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130110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2" t="s">
        <v>1969</v>
      </c>
      <c r="B1" s="2273"/>
      <c r="C1" s="2273"/>
      <c r="D1" s="2273"/>
      <c r="E1" s="2273"/>
      <c r="F1" s="2274"/>
      <c r="G1" s="855"/>
    </row>
    <row r="2" spans="1:7" ht="15" customHeight="1" thickBot="1" x14ac:dyDescent="0.25">
      <c r="A2" s="2275" t="s">
        <v>477</v>
      </c>
      <c r="B2" s="2276"/>
      <c r="C2" s="2276"/>
      <c r="D2" s="2276"/>
      <c r="E2" s="2276"/>
      <c r="F2" s="227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8"/>
      <c r="B5" s="2279"/>
      <c r="C5" s="2279"/>
      <c r="D5" s="2279"/>
      <c r="E5" s="2279"/>
      <c r="F5" s="2279"/>
    </row>
    <row r="6" spans="1:7" ht="13.5" customHeight="1" thickBot="1" x14ac:dyDescent="0.25">
      <c r="A6" s="2269" t="s">
        <v>1104</v>
      </c>
      <c r="B6" s="2270"/>
      <c r="C6" s="2270"/>
      <c r="D6" s="2270"/>
      <c r="E6" s="2270"/>
      <c r="F6" s="227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6661312</v>
      </c>
      <c r="G8" s="865"/>
    </row>
    <row r="9" spans="1:7" x14ac:dyDescent="0.2">
      <c r="A9" s="869" t="s">
        <v>460</v>
      </c>
      <c r="B9" s="870" t="s">
        <v>1872</v>
      </c>
      <c r="C9" s="871"/>
      <c r="D9" s="869" t="s">
        <v>501</v>
      </c>
      <c r="E9" s="868"/>
      <c r="F9" s="1909">
        <f>'Expenditures 15-22'!K151</f>
        <v>0</v>
      </c>
      <c r="G9" s="872"/>
    </row>
    <row r="10" spans="1:7" x14ac:dyDescent="0.2">
      <c r="A10" s="869" t="s">
        <v>499</v>
      </c>
      <c r="B10" s="870" t="s">
        <v>1873</v>
      </c>
      <c r="C10" s="871"/>
      <c r="D10" s="869" t="s">
        <v>501</v>
      </c>
      <c r="E10" s="868"/>
      <c r="F10" s="1909">
        <f>'Expenditures 15-22'!K174</f>
        <v>0</v>
      </c>
      <c r="G10" s="872"/>
    </row>
    <row r="11" spans="1:7" x14ac:dyDescent="0.2">
      <c r="A11" s="869" t="s">
        <v>461</v>
      </c>
      <c r="B11" s="870" t="s">
        <v>1874</v>
      </c>
      <c r="C11" s="871"/>
      <c r="D11" s="869" t="s">
        <v>501</v>
      </c>
      <c r="E11" s="868"/>
      <c r="F11" s="1909">
        <f>'Expenditures 15-22'!K210</f>
        <v>0</v>
      </c>
      <c r="G11" s="872"/>
    </row>
    <row r="12" spans="1:7" x14ac:dyDescent="0.2">
      <c r="A12" s="869" t="s">
        <v>462</v>
      </c>
      <c r="B12" s="870" t="s">
        <v>1875</v>
      </c>
      <c r="C12" s="871"/>
      <c r="D12" s="869" t="s">
        <v>501</v>
      </c>
      <c r="E12" s="868"/>
      <c r="F12" s="1909">
        <f>'Expenditures 15-22'!K295</f>
        <v>0</v>
      </c>
      <c r="G12" s="872"/>
    </row>
    <row r="13" spans="1:7" x14ac:dyDescent="0.2">
      <c r="A13" s="869" t="s">
        <v>106</v>
      </c>
      <c r="B13" s="870" t="s">
        <v>1876</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6661312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1993</v>
      </c>
      <c r="C30" s="880">
        <f>'Revenues 9-14'!B150</f>
        <v>3499</v>
      </c>
      <c r="D30" s="881" t="str">
        <f>'Revenues 9-14'!A150</f>
        <v>Adult Ed - Other (Describe &amp; Itemize)</v>
      </c>
      <c r="E30" s="868"/>
      <c r="F30" s="1914">
        <f>('Revenues 9-14'!D150+'Revenues 9-14'!F150)</f>
        <v>0</v>
      </c>
      <c r="G30" s="865"/>
    </row>
    <row r="31" spans="1:7" x14ac:dyDescent="0.2">
      <c r="A31" s="869" t="s">
        <v>1097</v>
      </c>
      <c r="B31" s="870" t="s">
        <v>1994</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1995</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1996</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485271</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528332</v>
      </c>
      <c r="G53" s="865"/>
    </row>
    <row r="54" spans="1:7" x14ac:dyDescent="0.2">
      <c r="A54" s="869" t="s">
        <v>459</v>
      </c>
      <c r="B54" s="869" t="s">
        <v>1476</v>
      </c>
      <c r="C54" s="889" t="s">
        <v>982</v>
      </c>
      <c r="D54" s="885" t="s">
        <v>1095</v>
      </c>
      <c r="E54" s="868"/>
      <c r="F54" s="1913">
        <f>'Expenditures 15-22'!G114</f>
        <v>186923</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1877</v>
      </c>
      <c r="C57" s="889">
        <f>'Expenditures 15-22'!B139</f>
        <v>4000</v>
      </c>
      <c r="D57" s="887" t="str">
        <f>'Expenditures 15-22'!A139</f>
        <v>Total Payments to Other Govt Units</v>
      </c>
      <c r="E57" s="868"/>
      <c r="F57" s="1913">
        <f>'Expenditures 15-22'!K139</f>
        <v>0</v>
      </c>
      <c r="G57" s="865"/>
    </row>
    <row r="58" spans="1:7" x14ac:dyDescent="0.2">
      <c r="A58" s="869" t="s">
        <v>460</v>
      </c>
      <c r="B58" s="869" t="s">
        <v>1878</v>
      </c>
      <c r="C58" s="886" t="s">
        <v>982</v>
      </c>
      <c r="D58" s="885" t="s">
        <v>1095</v>
      </c>
      <c r="E58" s="868"/>
      <c r="F58" s="1915">
        <f>'Expenditures 15-22'!G151</f>
        <v>0</v>
      </c>
      <c r="G58" s="865"/>
    </row>
    <row r="59" spans="1:7" x14ac:dyDescent="0.2">
      <c r="A59" s="893" t="s">
        <v>460</v>
      </c>
      <c r="B59" s="856" t="s">
        <v>1879</v>
      </c>
      <c r="C59" s="894" t="s">
        <v>982</v>
      </c>
      <c r="D59" s="856" t="s">
        <v>291</v>
      </c>
      <c r="F59" s="1916">
        <f>'Expenditures 15-22'!I151</f>
        <v>0</v>
      </c>
      <c r="G59" s="865"/>
    </row>
    <row r="60" spans="1:7" x14ac:dyDescent="0.2">
      <c r="A60" s="893" t="s">
        <v>499</v>
      </c>
      <c r="B60" s="856" t="s">
        <v>1880</v>
      </c>
      <c r="C60" s="894">
        <v>4000</v>
      </c>
      <c r="D60" s="856" t="s">
        <v>312</v>
      </c>
      <c r="F60" s="1914">
        <f>'Expenditures 15-22'!K160</f>
        <v>0</v>
      </c>
      <c r="G60" s="865"/>
    </row>
    <row r="61" spans="1:7" x14ac:dyDescent="0.2">
      <c r="A61" s="895" t="s">
        <v>499</v>
      </c>
      <c r="B61" s="895" t="s">
        <v>1881</v>
      </c>
      <c r="C61" s="896" t="str">
        <f>'Expenditures 15-22'!B170</f>
        <v>5300</v>
      </c>
      <c r="D61" s="897" t="s">
        <v>311</v>
      </c>
      <c r="E61" s="879"/>
      <c r="F61" s="1913">
        <f>'Expenditures 15-22'!K170</f>
        <v>0</v>
      </c>
      <c r="G61" s="865"/>
    </row>
    <row r="62" spans="1:7" x14ac:dyDescent="0.2">
      <c r="A62" s="869" t="s">
        <v>461</v>
      </c>
      <c r="B62" s="869" t="s">
        <v>1882</v>
      </c>
      <c r="C62" s="886">
        <f>'Expenditures 15-22'!B185</f>
        <v>3000</v>
      </c>
      <c r="D62" s="876" t="s">
        <v>449</v>
      </c>
      <c r="E62" s="868"/>
      <c r="F62" s="1913">
        <f>'Expenditures 15-22'!K185-SUM('Expenditures 15-22'!G185,'Expenditures 15-22'!I185)</f>
        <v>0</v>
      </c>
      <c r="G62" s="865"/>
    </row>
    <row r="63" spans="1:7" x14ac:dyDescent="0.2">
      <c r="A63" s="869" t="s">
        <v>461</v>
      </c>
      <c r="B63" s="869" t="s">
        <v>1883</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1884</v>
      </c>
      <c r="C64" s="896" t="str">
        <f>'Expenditures 15-22'!B206</f>
        <v>5300</v>
      </c>
      <c r="D64" s="892" t="s">
        <v>311</v>
      </c>
      <c r="E64" s="868"/>
      <c r="F64" s="1913">
        <f>'Expenditures 15-22'!K206</f>
        <v>0</v>
      </c>
      <c r="G64" s="865"/>
    </row>
    <row r="65" spans="1:8" x14ac:dyDescent="0.2">
      <c r="A65" s="869" t="s">
        <v>461</v>
      </c>
      <c r="B65" s="869" t="s">
        <v>1885</v>
      </c>
      <c r="C65" s="886" t="s">
        <v>982</v>
      </c>
      <c r="D65" s="885" t="s">
        <v>1095</v>
      </c>
      <c r="E65" s="868"/>
      <c r="F65" s="1913">
        <f>'Expenditures 15-22'!G210</f>
        <v>0</v>
      </c>
      <c r="G65" s="865"/>
    </row>
    <row r="66" spans="1:8" x14ac:dyDescent="0.2">
      <c r="A66" s="869" t="s">
        <v>461</v>
      </c>
      <c r="B66" s="869" t="s">
        <v>1886</v>
      </c>
      <c r="C66" s="886" t="s">
        <v>982</v>
      </c>
      <c r="D66" s="885" t="s">
        <v>291</v>
      </c>
      <c r="E66" s="868"/>
      <c r="F66" s="1913">
        <f>'Expenditures 15-22'!I210</f>
        <v>0</v>
      </c>
      <c r="G66" s="865"/>
    </row>
    <row r="67" spans="1:8" x14ac:dyDescent="0.2">
      <c r="A67" s="869" t="s">
        <v>462</v>
      </c>
      <c r="B67" s="869" t="s">
        <v>1887</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1888</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1889</v>
      </c>
      <c r="C70" s="886">
        <f>'Expenditures 15-22'!B221</f>
        <v>1300</v>
      </c>
      <c r="D70" s="887" t="str">
        <f>'Expenditures 15-22'!A221</f>
        <v>Adult/Continuing Education Programs</v>
      </c>
      <c r="E70" s="868"/>
      <c r="F70" s="1913">
        <f>'Expenditures 15-22'!K221</f>
        <v>0</v>
      </c>
      <c r="G70" s="865"/>
    </row>
    <row r="71" spans="1:8" x14ac:dyDescent="0.2">
      <c r="A71" s="869" t="s">
        <v>462</v>
      </c>
      <c r="B71" s="869" t="s">
        <v>1890</v>
      </c>
      <c r="C71" s="886">
        <f>'Expenditures 15-22'!B224</f>
        <v>1600</v>
      </c>
      <c r="D71" s="887" t="str">
        <f>'Expenditures 15-22'!A224</f>
        <v>Summer School Programs</v>
      </c>
      <c r="E71" s="868"/>
      <c r="F71" s="1913">
        <f>'Expenditures 15-22'!K224</f>
        <v>0</v>
      </c>
      <c r="G71" s="865"/>
    </row>
    <row r="72" spans="1:8" x14ac:dyDescent="0.2">
      <c r="A72" s="869" t="s">
        <v>462</v>
      </c>
      <c r="B72" s="869" t="s">
        <v>1891</v>
      </c>
      <c r="C72" s="886">
        <f>'Expenditures 15-22'!B280</f>
        <v>3000</v>
      </c>
      <c r="D72" s="876" t="s">
        <v>449</v>
      </c>
      <c r="E72" s="868"/>
      <c r="F72" s="1913">
        <f>'Expenditures 15-22'!K280</f>
        <v>0</v>
      </c>
      <c r="G72" s="865"/>
    </row>
    <row r="73" spans="1:8" x14ac:dyDescent="0.2">
      <c r="A73" s="869" t="s">
        <v>462</v>
      </c>
      <c r="B73" s="869" t="s">
        <v>1892</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1893</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1894</v>
      </c>
      <c r="E76" s="1774" t="s">
        <v>958</v>
      </c>
      <c r="F76" s="1778">
        <f>SUM(F18:F74)</f>
        <v>1200526</v>
      </c>
      <c r="G76" s="865"/>
    </row>
    <row r="77" spans="1:8" s="893" customFormat="1" ht="12" customHeight="1" thickTop="1" thickBot="1" x14ac:dyDescent="0.25">
      <c r="A77" s="1779"/>
      <c r="B77" s="1776"/>
      <c r="C77" s="1772"/>
      <c r="D77" s="1777" t="s">
        <v>1895</v>
      </c>
      <c r="E77" s="1774"/>
      <c r="F77" s="1780">
        <f>(F14-F76)</f>
        <v>5460786</v>
      </c>
      <c r="G77" s="869"/>
    </row>
    <row r="78" spans="1:8" s="893" customFormat="1" ht="12" customHeight="1" thickTop="1" x14ac:dyDescent="0.2">
      <c r="A78" s="1781"/>
      <c r="B78" s="1776"/>
      <c r="C78" s="1772"/>
      <c r="D78" s="1777" t="s">
        <v>2056</v>
      </c>
      <c r="E78" s="1774"/>
      <c r="F78" s="898">
        <v>0</v>
      </c>
      <c r="G78" s="899"/>
      <c r="H78" s="869"/>
    </row>
    <row r="79" spans="1:8" s="893" customFormat="1" ht="12" customHeight="1" thickBot="1" x14ac:dyDescent="0.25">
      <c r="A79" s="1782"/>
      <c r="B79" s="1776"/>
      <c r="C79" s="1772"/>
      <c r="D79" s="1777" t="s">
        <v>1896</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69" t="s">
        <v>1105</v>
      </c>
      <c r="B81" s="2270"/>
      <c r="C81" s="2270"/>
      <c r="D81" s="2270"/>
      <c r="E81" s="2270"/>
      <c r="F81" s="227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1997</v>
      </c>
      <c r="C105" s="913">
        <v>3100</v>
      </c>
      <c r="D105" s="919" t="str">
        <f>'Revenues 9-14'!A132</f>
        <v>Total Special Education</v>
      </c>
      <c r="E105" s="906"/>
      <c r="F105" s="1789">
        <f>SUM('Revenues 9-14'!C132:D132,'Revenues 9-14'!F132)</f>
        <v>591832</v>
      </c>
      <c r="G105" s="912"/>
    </row>
    <row r="106" spans="1:7" x14ac:dyDescent="0.2">
      <c r="A106" s="908" t="s">
        <v>673</v>
      </c>
      <c r="B106" s="908" t="s">
        <v>1998</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1999</v>
      </c>
      <c r="C107" s="920">
        <v>3300</v>
      </c>
      <c r="D107" s="911" t="str">
        <f>'Revenues 9-14'!A145</f>
        <v>Total Bilingual Ed</v>
      </c>
      <c r="E107" s="906"/>
      <c r="F107" s="1789">
        <f>SUM('Revenues 9-14'!C145,'Revenues 9-14'!G145)</f>
        <v>0</v>
      </c>
      <c r="G107" s="912"/>
    </row>
    <row r="108" spans="1:7" x14ac:dyDescent="0.2">
      <c r="A108" s="908" t="s">
        <v>459</v>
      </c>
      <c r="B108" s="908" t="s">
        <v>2000</v>
      </c>
      <c r="C108" s="920">
        <f>'Revenues 9-14'!B146</f>
        <v>3360</v>
      </c>
      <c r="D108" s="911" t="str">
        <f>'Revenues 9-14'!A146</f>
        <v>State Free Lunch &amp; Breakfast</v>
      </c>
      <c r="E108" s="906"/>
      <c r="F108" s="1789">
        <f>'Revenues 9-14'!C146</f>
        <v>0</v>
      </c>
      <c r="G108" s="912"/>
    </row>
    <row r="109" spans="1:7" x14ac:dyDescent="0.2">
      <c r="A109" s="908" t="s">
        <v>673</v>
      </c>
      <c r="B109" s="908" t="s">
        <v>2001</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9">
        <f>SUM('Revenues 9-14'!C148,'Revenues 9-14'!D148)</f>
        <v>0</v>
      </c>
      <c r="G110" s="912"/>
    </row>
    <row r="111" spans="1:7" x14ac:dyDescent="0.2">
      <c r="A111" s="908" t="s">
        <v>668</v>
      </c>
      <c r="B111" s="908" t="s">
        <v>2003</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2004</v>
      </c>
      <c r="C112" s="920">
        <f>'Revenues 9-14'!B156</f>
        <v>3610</v>
      </c>
      <c r="D112" s="911" t="str">
        <f>'Revenues 9-14'!A156</f>
        <v>Learning Improvement - Change Grants</v>
      </c>
      <c r="E112" s="906"/>
      <c r="F112" s="1789">
        <f>'Revenues 9-14'!C156</f>
        <v>0</v>
      </c>
      <c r="G112" s="912"/>
    </row>
    <row r="113" spans="1:7" x14ac:dyDescent="0.2">
      <c r="A113" s="908" t="s">
        <v>668</v>
      </c>
      <c r="B113" s="908" t="s">
        <v>2005</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2007</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2008</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2009</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2010</v>
      </c>
      <c r="C118" s="924">
        <f>'Revenues 9-14'!B163</f>
        <v>3780</v>
      </c>
      <c r="D118" s="925" t="str">
        <f>'Revenues 9-14'!A163</f>
        <v>Technology - Technology for Success</v>
      </c>
      <c r="E118" s="906"/>
      <c r="F118" s="1907">
        <f>SUM('Revenues 9-14'!C163:G163)</f>
        <v>0</v>
      </c>
      <c r="G118" s="912"/>
    </row>
    <row r="119" spans="1:7" x14ac:dyDescent="0.2">
      <c r="A119" s="923" t="s">
        <v>504</v>
      </c>
      <c r="B119" s="923" t="s">
        <v>2011</v>
      </c>
      <c r="C119" s="924">
        <f>'Revenues 9-14'!B164</f>
        <v>3815</v>
      </c>
      <c r="D119" s="925" t="str">
        <f>'Revenues 9-14'!A164</f>
        <v>State Charter Schools</v>
      </c>
      <c r="E119" s="906"/>
      <c r="F119" s="1907">
        <f>SUM('Revenues 9-14'!C164,'Revenues 9-14'!F164)</f>
        <v>0</v>
      </c>
      <c r="G119" s="912"/>
    </row>
    <row r="120" spans="1:7" x14ac:dyDescent="0.2">
      <c r="A120" s="927" t="s">
        <v>460</v>
      </c>
      <c r="B120" s="927" t="s">
        <v>2012</v>
      </c>
      <c r="C120" s="928">
        <f>'Revenues 9-14'!B167</f>
        <v>3925</v>
      </c>
      <c r="D120" s="929" t="str">
        <f>'Revenues 9-14'!A167</f>
        <v>School Infrastructure - Maintenance Projects</v>
      </c>
      <c r="E120" s="906"/>
      <c r="F120" s="1789">
        <f>'Revenues 9-14'!D167</f>
        <v>0</v>
      </c>
      <c r="G120" s="930"/>
    </row>
    <row r="121" spans="1:7" x14ac:dyDescent="0.2">
      <c r="A121" s="927" t="s">
        <v>500</v>
      </c>
      <c r="B121" s="927" t="s">
        <v>2013</v>
      </c>
      <c r="C121" s="928">
        <f>'Revenues 9-14'!B168</f>
        <v>3999</v>
      </c>
      <c r="D121" s="929" t="s">
        <v>543</v>
      </c>
      <c r="E121" s="931"/>
      <c r="F121" s="1789">
        <f>SUM('Revenues 9-14'!C168:G168,'Revenues 9-14'!J168)</f>
        <v>27873</v>
      </c>
      <c r="G121" s="930"/>
    </row>
    <row r="122" spans="1:7" x14ac:dyDescent="0.2">
      <c r="A122" s="927" t="s">
        <v>459</v>
      </c>
      <c r="B122" s="927" t="s">
        <v>2014</v>
      </c>
      <c r="C122" s="932">
        <f>'Revenues 9-14'!B177</f>
        <v>4045</v>
      </c>
      <c r="D122" s="929" t="str">
        <f>'Revenues 9-14'!A177 &amp; " (Subtract)"</f>
        <v>Head Start (Subtract)</v>
      </c>
      <c r="E122" s="906"/>
      <c r="F122" s="1789">
        <f>SUM(-'Revenues 9-14'!C177)</f>
        <v>0</v>
      </c>
      <c r="G122" s="930"/>
    </row>
    <row r="123" spans="1:7" x14ac:dyDescent="0.2">
      <c r="A123" s="927" t="s">
        <v>668</v>
      </c>
      <c r="B123" s="927" t="s">
        <v>2015</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2016</v>
      </c>
      <c r="C124" s="932">
        <v>4100</v>
      </c>
      <c r="D124" s="933" t="str">
        <f>'Revenues 9-14'!A188</f>
        <v>Total Title V</v>
      </c>
      <c r="E124" s="906"/>
      <c r="F124" s="1789">
        <f>SUM('Revenues 9-14'!C188,'Revenues 9-14'!D188,'Revenues 9-14'!F188,'Revenues 9-14'!G188)</f>
        <v>0</v>
      </c>
      <c r="G124" s="930"/>
    </row>
    <row r="125" spans="1:7" x14ac:dyDescent="0.2">
      <c r="A125" s="927" t="s">
        <v>664</v>
      </c>
      <c r="B125" s="927" t="s">
        <v>2017</v>
      </c>
      <c r="C125" s="932">
        <v>4200</v>
      </c>
      <c r="D125" s="929" t="str">
        <f>'Revenues 9-14'!A198</f>
        <v>Total Food Service</v>
      </c>
      <c r="E125" s="906"/>
      <c r="F125" s="1789">
        <f>SUM('Revenues 9-14'!C198,'Revenues 9-14'!G198)</f>
        <v>0</v>
      </c>
      <c r="G125" s="930"/>
    </row>
    <row r="126" spans="1:7" x14ac:dyDescent="0.2">
      <c r="A126" s="927" t="s">
        <v>668</v>
      </c>
      <c r="B126" s="927" t="s">
        <v>2018</v>
      </c>
      <c r="C126" s="932">
        <v>4300</v>
      </c>
      <c r="D126" s="933" t="str">
        <f>'Revenues 9-14'!A204</f>
        <v>Total Title I</v>
      </c>
      <c r="E126" s="906"/>
      <c r="F126" s="1789">
        <f>SUM('Revenues 9-14'!C204,'Revenues 9-14'!D204,'Revenues 9-14'!F204,'Revenues 9-14'!G204)</f>
        <v>0</v>
      </c>
      <c r="G126" s="930"/>
    </row>
    <row r="127" spans="1:7" x14ac:dyDescent="0.2">
      <c r="A127" s="927" t="s">
        <v>668</v>
      </c>
      <c r="B127" s="927" t="s">
        <v>2019</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2020</v>
      </c>
      <c r="C128" s="932">
        <f>'Revenues 9-14'!B213</f>
        <v>4620</v>
      </c>
      <c r="D128" s="933" t="str">
        <f>'Revenues 9-14'!A213</f>
        <v>Fed - Spec Education - IDEA - Flow Through</v>
      </c>
      <c r="E128" s="906"/>
      <c r="F128" s="1789">
        <f>SUM('Revenues 9-14'!C213:D213,'Revenues 9-14'!F213:G213)</f>
        <v>3176142</v>
      </c>
      <c r="G128" s="930"/>
    </row>
    <row r="129" spans="1:7" x14ac:dyDescent="0.2">
      <c r="A129" s="927" t="s">
        <v>668</v>
      </c>
      <c r="B129" s="927" t="s">
        <v>2021</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2022</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2023</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2024</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9">
        <v>0</v>
      </c>
      <c r="G138" s="905"/>
    </row>
    <row r="139" spans="1:7" s="867" customFormat="1" hidden="1" x14ac:dyDescent="0.2">
      <c r="A139" s="934" t="s">
        <v>206</v>
      </c>
      <c r="B139" s="934" t="s">
        <v>2030</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2033</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2038</v>
      </c>
      <c r="C157" s="940" t="s">
        <v>841</v>
      </c>
      <c r="D157" s="941" t="s">
        <v>777</v>
      </c>
      <c r="E157" s="942"/>
      <c r="F157" s="1789">
        <f>SUM(F133:F156)</f>
        <v>0</v>
      </c>
      <c r="G157" s="905"/>
    </row>
    <row r="158" spans="1:7" s="867" customFormat="1" x14ac:dyDescent="0.2">
      <c r="A158" s="938" t="s">
        <v>459</v>
      </c>
      <c r="B158" s="939" t="s">
        <v>2039</v>
      </c>
      <c r="C158" s="940" t="s">
        <v>1427</v>
      </c>
      <c r="D158" s="941" t="s">
        <v>1428</v>
      </c>
      <c r="E158" s="942"/>
      <c r="F158" s="1789">
        <f>SUM('Revenues 9-14'!C253)</f>
        <v>0</v>
      </c>
      <c r="G158" s="905"/>
    </row>
    <row r="159" spans="1:7" s="867" customFormat="1" x14ac:dyDescent="0.2">
      <c r="A159" s="938" t="s">
        <v>500</v>
      </c>
      <c r="B159" s="939" t="s">
        <v>2040</v>
      </c>
      <c r="C159" s="940" t="s">
        <v>1466</v>
      </c>
      <c r="D159" s="941" t="s">
        <v>1467</v>
      </c>
      <c r="E159" s="942"/>
      <c r="F159" s="1789">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2043</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2044</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2045</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2046</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1991</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1992</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2047</v>
      </c>
      <c r="C168" s="932">
        <f>'Revenues 9-14'!B263</f>
        <v>4991</v>
      </c>
      <c r="D168" s="933" t="str">
        <f>'Revenues 9-14'!A263</f>
        <v>Medicaid Matching Funds - Administrative Outreach</v>
      </c>
      <c r="E168" s="906"/>
      <c r="F168" s="1789">
        <f>SUM('Revenues 9-14'!C263:D263,'Revenues 9-14'!F263:G263)</f>
        <v>50928</v>
      </c>
      <c r="G168" s="947">
        <v>6320</v>
      </c>
    </row>
    <row r="169" spans="1:7" x14ac:dyDescent="0.2">
      <c r="A169" s="927" t="s">
        <v>668</v>
      </c>
      <c r="B169" s="927" t="s">
        <v>2048</v>
      </c>
      <c r="C169" s="932">
        <f>'Revenues 9-14'!B264</f>
        <v>4992</v>
      </c>
      <c r="D169" s="933" t="str">
        <f>'Revenues 9-14'!A264</f>
        <v>Medicaid Matching Funds - Fee-for-Service Program</v>
      </c>
      <c r="E169" s="906"/>
      <c r="F169" s="1789">
        <f>SUM('Revenues 9-14'!C264:D264,'Revenues 9-14'!F264:G264)</f>
        <v>108342</v>
      </c>
      <c r="G169" s="947"/>
    </row>
    <row r="170" spans="1:7" x14ac:dyDescent="0.2">
      <c r="A170" s="948" t="s">
        <v>668</v>
      </c>
      <c r="B170" s="944" t="s">
        <v>2049</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1915</v>
      </c>
      <c r="C171" s="1920">
        <v>3100</v>
      </c>
      <c r="D171" s="1921" t="s">
        <v>1917</v>
      </c>
      <c r="E171" s="906"/>
      <c r="F171" s="1906"/>
      <c r="G171" s="927"/>
    </row>
    <row r="172" spans="1:7" x14ac:dyDescent="0.2">
      <c r="A172" s="1918" t="s">
        <v>664</v>
      </c>
      <c r="B172" s="1919" t="s">
        <v>1915</v>
      </c>
      <c r="C172" s="1920">
        <v>3300</v>
      </c>
      <c r="D172" s="1921" t="s">
        <v>1918</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2050</v>
      </c>
      <c r="E174" s="1787" t="s">
        <v>958</v>
      </c>
      <c r="F174" s="1788">
        <f>SUM(F84:F132,F157:F172)</f>
        <v>3955117</v>
      </c>
    </row>
    <row r="175" spans="1:7" ht="12" customHeight="1" x14ac:dyDescent="0.2">
      <c r="A175" s="1770"/>
      <c r="B175" s="1784"/>
      <c r="C175" s="1785"/>
      <c r="D175" s="1786" t="s">
        <v>2051</v>
      </c>
      <c r="E175" s="1787"/>
      <c r="F175" s="1789">
        <f>'PCTC-OEPP 27-28'!F77-F174</f>
        <v>1505669</v>
      </c>
    </row>
    <row r="176" spans="1:7" ht="12" customHeight="1" x14ac:dyDescent="0.2">
      <c r="A176" s="1770"/>
      <c r="B176" s="1784"/>
      <c r="C176" s="1785"/>
      <c r="D176" s="1786" t="s">
        <v>1813</v>
      </c>
      <c r="E176" s="1787"/>
      <c r="F176" s="1789">
        <f>'Cap Outlay Deprec 26'!I18</f>
        <v>130110</v>
      </c>
    </row>
    <row r="177" spans="1:7" ht="12" customHeight="1" x14ac:dyDescent="0.2">
      <c r="A177" s="1770"/>
      <c r="B177" s="1784"/>
      <c r="C177" s="1785"/>
      <c r="D177" s="1786" t="s">
        <v>2052</v>
      </c>
      <c r="E177" s="1787"/>
      <c r="F177" s="1789">
        <f>F175+F176</f>
        <v>1635779</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2053</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22" customFormat="1" ht="12.2" customHeight="1" x14ac:dyDescent="0.2">
      <c r="A182" s="1922" t="s">
        <v>1988</v>
      </c>
      <c r="B182" s="1923"/>
      <c r="C182" s="1924"/>
      <c r="D182" s="1923"/>
      <c r="E182" s="1924"/>
      <c r="F182" s="1923"/>
      <c r="G182" s="1923"/>
    </row>
    <row r="183" spans="1:7" s="1922" customFormat="1" ht="12.2" customHeight="1" x14ac:dyDescent="0.2">
      <c r="A183" s="1925" t="s">
        <v>1990</v>
      </c>
      <c r="C183" s="1924"/>
      <c r="D183" s="1923"/>
      <c r="E183" s="1924"/>
      <c r="F183" s="1923"/>
      <c r="G183" s="1923"/>
    </row>
    <row r="184" spans="1:7" ht="12" customHeight="1" x14ac:dyDescent="0.2">
      <c r="C184" s="949"/>
      <c r="D184" s="930"/>
      <c r="E184" s="949"/>
      <c r="F184" s="930"/>
      <c r="G184" s="930"/>
    </row>
    <row r="185" spans="1:7" x14ac:dyDescent="0.2">
      <c r="A185" s="1926" t="s">
        <v>1920</v>
      </c>
      <c r="B185" s="1927"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10" zoomScaleNormal="100" workbookViewId="0">
      <selection activeCell="A27" sqref="A27:G2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83" t="s">
        <v>1814</v>
      </c>
      <c r="B4" s="2284"/>
      <c r="C4" s="2284"/>
      <c r="D4" s="2284"/>
      <c r="E4" s="2284"/>
      <c r="F4" s="2284"/>
      <c r="G4" s="2285"/>
    </row>
    <row r="5" spans="1:7" x14ac:dyDescent="0.25">
      <c r="A5" s="2286"/>
      <c r="B5" s="2287"/>
      <c r="C5" s="2287"/>
      <c r="D5" s="2287"/>
      <c r="E5" s="2287"/>
      <c r="F5" s="2287"/>
      <c r="G5" s="2288"/>
    </row>
    <row r="6" spans="1:7" ht="18.75" x14ac:dyDescent="0.25">
      <c r="A6" s="1937" t="s">
        <v>2060</v>
      </c>
      <c r="B6" s="1938"/>
      <c r="C6" s="1938"/>
      <c r="D6" s="1938"/>
      <c r="E6" s="1938"/>
      <c r="F6" s="1938"/>
      <c r="G6" s="1939"/>
    </row>
    <row r="7" spans="1:7" ht="18.75" x14ac:dyDescent="0.25">
      <c r="A7" s="1534" t="s">
        <v>1815</v>
      </c>
      <c r="B7" s="1535"/>
      <c r="C7" s="1535"/>
      <c r="D7" s="1535"/>
      <c r="E7" s="1535"/>
      <c r="F7" s="1535"/>
      <c r="G7" s="1536"/>
    </row>
    <row r="8" spans="1:7" ht="30.75" customHeight="1" x14ac:dyDescent="0.25">
      <c r="A8" s="2289" t="s">
        <v>1927</v>
      </c>
      <c r="B8" s="2290"/>
      <c r="C8" s="2290"/>
      <c r="D8" s="2290"/>
      <c r="E8" s="2290"/>
      <c r="F8" s="2290"/>
      <c r="G8" s="2291"/>
    </row>
    <row r="9" spans="1:7" ht="15.75" customHeight="1" x14ac:dyDescent="0.25">
      <c r="A9" s="2292" t="s">
        <v>1902</v>
      </c>
      <c r="B9" s="2293"/>
      <c r="C9" s="2293"/>
      <c r="D9" s="2293"/>
      <c r="E9" s="2293"/>
      <c r="F9" s="2293"/>
      <c r="G9" s="2294"/>
    </row>
    <row r="10" spans="1:7" ht="35.25" customHeight="1" x14ac:dyDescent="0.25">
      <c r="A10" s="2289" t="s">
        <v>2059</v>
      </c>
      <c r="B10" s="2290"/>
      <c r="C10" s="2290"/>
      <c r="D10" s="2290"/>
      <c r="E10" s="2290"/>
      <c r="F10" s="2290"/>
      <c r="G10" s="2291"/>
    </row>
    <row r="11" spans="1:7" ht="15" customHeight="1" x14ac:dyDescent="0.25">
      <c r="A11" s="1537" t="s">
        <v>1816</v>
      </c>
      <c r="B11" s="1538"/>
      <c r="C11" s="1538"/>
      <c r="D11" s="1538"/>
      <c r="E11" s="1538"/>
      <c r="F11" s="1538"/>
      <c r="G11" s="1539"/>
    </row>
    <row r="12" spans="1:7" ht="17.25" customHeight="1" x14ac:dyDescent="0.25">
      <c r="A12" s="2289" t="s">
        <v>1929</v>
      </c>
      <c r="B12" s="2290"/>
      <c r="C12" s="2290"/>
      <c r="D12" s="2290"/>
      <c r="E12" s="2290"/>
      <c r="F12" s="2290"/>
      <c r="G12" s="2291"/>
    </row>
    <row r="13" spans="1:7" ht="15" customHeight="1" x14ac:dyDescent="0.25">
      <c r="A13" s="1537" t="s">
        <v>1821</v>
      </c>
      <c r="B13" s="1538"/>
      <c r="C13" s="1538"/>
      <c r="D13" s="1538"/>
      <c r="E13" s="1538"/>
      <c r="F13" s="1538"/>
      <c r="G13" s="1539"/>
    </row>
    <row r="14" spans="1:7" ht="32.25" customHeight="1" x14ac:dyDescent="0.25">
      <c r="A14" s="2280" t="s">
        <v>1970</v>
      </c>
      <c r="B14" s="2281"/>
      <c r="C14" s="2281"/>
      <c r="D14" s="2281"/>
      <c r="E14" s="2281"/>
      <c r="F14" s="2281"/>
      <c r="G14" s="2282"/>
    </row>
    <row r="15" spans="1:7" x14ac:dyDescent="0.25">
      <c r="A15" s="1661" t="s">
        <v>1829</v>
      </c>
      <c r="B15" s="1662"/>
      <c r="C15" s="1662"/>
      <c r="D15" s="1662"/>
      <c r="E15" s="1662"/>
      <c r="F15" s="1662"/>
      <c r="G15" s="1663"/>
    </row>
    <row r="16" spans="1:7" ht="61.5" customHeight="1" x14ac:dyDescent="0.25">
      <c r="A16" s="1546" t="s">
        <v>1822</v>
      </c>
      <c r="B16" s="1546" t="s">
        <v>1823</v>
      </c>
      <c r="C16" s="1546" t="s">
        <v>1824</v>
      </c>
      <c r="D16" s="1547" t="s">
        <v>1825</v>
      </c>
      <c r="E16" s="1547" t="s">
        <v>1817</v>
      </c>
      <c r="F16" s="1547" t="s">
        <v>1826</v>
      </c>
      <c r="G16" s="1547" t="s">
        <v>1827</v>
      </c>
    </row>
    <row r="17" spans="1:8" x14ac:dyDescent="0.25">
      <c r="A17" s="1648" t="s">
        <v>1830</v>
      </c>
      <c r="B17" s="1649" t="s">
        <v>1820</v>
      </c>
      <c r="C17" s="1650" t="s">
        <v>1818</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9"/>
      <c r="B18" s="1950"/>
      <c r="C18" s="1951"/>
      <c r="D18" s="1844"/>
      <c r="E18" s="1540"/>
      <c r="F18" s="1936"/>
      <c r="G18" s="1793"/>
      <c r="H18" s="1647"/>
    </row>
    <row r="19" spans="1:8" x14ac:dyDescent="0.25">
      <c r="A19" s="1949" t="s">
        <v>2118</v>
      </c>
      <c r="B19" s="1950" t="s">
        <v>2119</v>
      </c>
      <c r="C19" s="1951" t="s">
        <v>2120</v>
      </c>
      <c r="D19" s="1844">
        <v>50000</v>
      </c>
      <c r="E19" s="1540">
        <f t="shared" ref="E19:E141" si="0">IF(D19&lt;=25000,D19,IF(D19&gt;25000,25000,0))</f>
        <v>25000</v>
      </c>
      <c r="F19" s="1936">
        <f t="shared" ref="F19:F81" si="1">(IF(D19="",0,(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Check func/obj # in Colm B"))))</f>
        <v>25000</v>
      </c>
      <c r="G19" s="1793">
        <f t="shared" ref="G19:G141" si="2">IF(F19=0,0,D19-F19)</f>
        <v>25000</v>
      </c>
    </row>
    <row r="20" spans="1:8" x14ac:dyDescent="0.25">
      <c r="A20" s="1949"/>
      <c r="B20" s="1950"/>
      <c r="C20" s="1951"/>
      <c r="D20" s="1844"/>
      <c r="E20" s="1540"/>
      <c r="F20" s="1936"/>
      <c r="G20" s="1793"/>
    </row>
    <row r="21" spans="1:8" x14ac:dyDescent="0.25">
      <c r="A21" s="1949"/>
      <c r="B21" s="1950"/>
      <c r="C21" s="1951"/>
      <c r="D21" s="1844"/>
      <c r="E21" s="1540"/>
      <c r="F21" s="1936"/>
      <c r="G21" s="1793"/>
    </row>
    <row r="22" spans="1:8" x14ac:dyDescent="0.25">
      <c r="A22" s="1949" t="s">
        <v>2118</v>
      </c>
      <c r="B22" s="1950" t="s">
        <v>2119</v>
      </c>
      <c r="C22" s="1951" t="s">
        <v>2121</v>
      </c>
      <c r="D22" s="1844">
        <v>5000</v>
      </c>
      <c r="E22" s="1540">
        <f t="shared" si="0"/>
        <v>5000</v>
      </c>
      <c r="F22" s="1936">
        <f t="shared" si="1"/>
        <v>5000</v>
      </c>
      <c r="G22" s="1793">
        <f t="shared" si="2"/>
        <v>0</v>
      </c>
    </row>
    <row r="23" spans="1:8" x14ac:dyDescent="0.25">
      <c r="A23" s="1949" t="s">
        <v>2118</v>
      </c>
      <c r="B23" s="1950" t="s">
        <v>2119</v>
      </c>
      <c r="C23" s="1951" t="s">
        <v>2122</v>
      </c>
      <c r="D23" s="1844">
        <v>4480</v>
      </c>
      <c r="E23" s="1540">
        <f t="shared" si="0"/>
        <v>4480</v>
      </c>
      <c r="F23" s="1936">
        <f t="shared" si="1"/>
        <v>4480</v>
      </c>
      <c r="G23" s="1793">
        <f t="shared" si="2"/>
        <v>0</v>
      </c>
    </row>
    <row r="24" spans="1:8" x14ac:dyDescent="0.25">
      <c r="A24" s="1949" t="s">
        <v>2118</v>
      </c>
      <c r="B24" s="1950" t="s">
        <v>2119</v>
      </c>
      <c r="C24" s="1951" t="s">
        <v>2123</v>
      </c>
      <c r="D24" s="1844">
        <v>40000</v>
      </c>
      <c r="E24" s="1540">
        <f t="shared" si="0"/>
        <v>25000</v>
      </c>
      <c r="F24" s="1936">
        <f t="shared" si="1"/>
        <v>25000</v>
      </c>
      <c r="G24" s="1793">
        <f t="shared" si="2"/>
        <v>15000</v>
      </c>
    </row>
    <row r="25" spans="1:8" x14ac:dyDescent="0.25">
      <c r="A25" s="1949"/>
      <c r="B25" s="1950"/>
      <c r="C25" s="1951"/>
      <c r="D25" s="1844"/>
      <c r="E25" s="1540"/>
      <c r="F25" s="1936"/>
      <c r="G25" s="1793"/>
    </row>
    <row r="26" spans="1:8" x14ac:dyDescent="0.25">
      <c r="A26" s="1949" t="s">
        <v>2118</v>
      </c>
      <c r="B26" s="1950" t="s">
        <v>2119</v>
      </c>
      <c r="C26" s="1951" t="s">
        <v>2124</v>
      </c>
      <c r="D26" s="1844">
        <v>5771.25</v>
      </c>
      <c r="E26" s="1540">
        <f t="shared" si="0"/>
        <v>5771.25</v>
      </c>
      <c r="F26" s="1936">
        <f t="shared" si="1"/>
        <v>5771.25</v>
      </c>
      <c r="G26" s="1793">
        <f t="shared" si="2"/>
        <v>0</v>
      </c>
    </row>
    <row r="27" spans="1:8" x14ac:dyDescent="0.25">
      <c r="A27" s="1949"/>
      <c r="B27" s="1950"/>
      <c r="C27" s="1951"/>
      <c r="D27" s="1844"/>
      <c r="E27" s="1540"/>
      <c r="F27" s="1936"/>
      <c r="G27" s="1793"/>
    </row>
    <row r="28" spans="1:8" x14ac:dyDescent="0.25">
      <c r="A28" s="1949" t="s">
        <v>2118</v>
      </c>
      <c r="B28" s="1950" t="s">
        <v>2119</v>
      </c>
      <c r="C28" s="1951" t="s">
        <v>2125</v>
      </c>
      <c r="D28" s="1844">
        <v>15000</v>
      </c>
      <c r="E28" s="1540">
        <f t="shared" si="0"/>
        <v>15000</v>
      </c>
      <c r="F28" s="1936">
        <f t="shared" si="1"/>
        <v>15000</v>
      </c>
      <c r="G28" s="1793">
        <f t="shared" si="2"/>
        <v>0</v>
      </c>
    </row>
    <row r="29" spans="1:8" x14ac:dyDescent="0.25">
      <c r="A29" s="1949" t="s">
        <v>2118</v>
      </c>
      <c r="B29" s="1950" t="s">
        <v>2119</v>
      </c>
      <c r="C29" s="1951" t="s">
        <v>2126</v>
      </c>
      <c r="D29" s="1844">
        <v>25000</v>
      </c>
      <c r="E29" s="1540">
        <f t="shared" si="0"/>
        <v>25000</v>
      </c>
      <c r="F29" s="1936">
        <f t="shared" si="1"/>
        <v>25000</v>
      </c>
      <c r="G29" s="1793">
        <f t="shared" si="2"/>
        <v>0</v>
      </c>
    </row>
    <row r="30" spans="1:8" x14ac:dyDescent="0.25">
      <c r="A30" s="1949" t="s">
        <v>2118</v>
      </c>
      <c r="B30" s="1950" t="s">
        <v>2119</v>
      </c>
      <c r="C30" s="1951" t="s">
        <v>2127</v>
      </c>
      <c r="D30" s="1844">
        <v>5000</v>
      </c>
      <c r="E30" s="1540">
        <f t="shared" si="0"/>
        <v>5000</v>
      </c>
      <c r="F30" s="1936">
        <f t="shared" si="1"/>
        <v>5000</v>
      </c>
      <c r="G30" s="1793">
        <f t="shared" si="2"/>
        <v>0</v>
      </c>
    </row>
    <row r="31" spans="1:8" x14ac:dyDescent="0.25">
      <c r="A31" s="1949" t="s">
        <v>2118</v>
      </c>
      <c r="B31" s="1950" t="s">
        <v>2119</v>
      </c>
      <c r="C31" s="1951" t="s">
        <v>2128</v>
      </c>
      <c r="D31" s="1844">
        <v>10000</v>
      </c>
      <c r="E31" s="1540">
        <f t="shared" si="0"/>
        <v>10000</v>
      </c>
      <c r="F31" s="1936">
        <f t="shared" si="1"/>
        <v>10000</v>
      </c>
      <c r="G31" s="1793">
        <f t="shared" si="2"/>
        <v>0</v>
      </c>
    </row>
    <row r="32" spans="1:8" x14ac:dyDescent="0.25">
      <c r="A32" s="1653"/>
      <c r="B32" s="1950" t="s">
        <v>2119</v>
      </c>
      <c r="C32" s="1951" t="s">
        <v>2129</v>
      </c>
      <c r="D32" s="1844">
        <v>20000</v>
      </c>
      <c r="E32" s="1540">
        <f t="shared" si="0"/>
        <v>20000</v>
      </c>
      <c r="F32" s="1936">
        <f t="shared" si="1"/>
        <v>20000</v>
      </c>
      <c r="G32" s="1793">
        <f t="shared" si="2"/>
        <v>0</v>
      </c>
    </row>
    <row r="33" spans="1:7" x14ac:dyDescent="0.25">
      <c r="A33" s="1653"/>
      <c r="B33" s="1933"/>
      <c r="C33" s="1654"/>
      <c r="D33" s="1844"/>
      <c r="E33" s="1540">
        <f t="shared" si="0"/>
        <v>0</v>
      </c>
      <c r="F33" s="1936">
        <f t="shared" si="1"/>
        <v>0</v>
      </c>
      <c r="G33" s="1793">
        <f t="shared" si="2"/>
        <v>0</v>
      </c>
    </row>
    <row r="34" spans="1:7" x14ac:dyDescent="0.25">
      <c r="A34" s="1653"/>
      <c r="B34" s="1933"/>
      <c r="C34" s="1654"/>
      <c r="D34" s="1844"/>
      <c r="E34" s="1540">
        <f t="shared" si="0"/>
        <v>0</v>
      </c>
      <c r="F34" s="1936">
        <f t="shared" si="1"/>
        <v>0</v>
      </c>
      <c r="G34" s="1793">
        <f t="shared" si="2"/>
        <v>0</v>
      </c>
    </row>
    <row r="35" spans="1:7" x14ac:dyDescent="0.25">
      <c r="A35" s="1653"/>
      <c r="B35" s="1933"/>
      <c r="C35" s="1654"/>
      <c r="D35" s="1844"/>
      <c r="E35" s="1540">
        <f t="shared" si="0"/>
        <v>0</v>
      </c>
      <c r="F35" s="1936">
        <f t="shared" si="1"/>
        <v>0</v>
      </c>
      <c r="G35" s="1793">
        <f t="shared" si="2"/>
        <v>0</v>
      </c>
    </row>
    <row r="36" spans="1:7" x14ac:dyDescent="0.25">
      <c r="A36" s="1653"/>
      <c r="B36" s="1933"/>
      <c r="C36" s="1654"/>
      <c r="D36" s="1844"/>
      <c r="E36" s="1540">
        <f t="shared" si="0"/>
        <v>0</v>
      </c>
      <c r="F36" s="1936">
        <f t="shared" si="1"/>
        <v>0</v>
      </c>
      <c r="G36" s="1793">
        <f t="shared" si="2"/>
        <v>0</v>
      </c>
    </row>
    <row r="37" spans="1:7" x14ac:dyDescent="0.25">
      <c r="A37" s="1653"/>
      <c r="B37" s="1933"/>
      <c r="C37" s="1654"/>
      <c r="D37" s="1844"/>
      <c r="E37" s="1540">
        <f t="shared" si="0"/>
        <v>0</v>
      </c>
      <c r="F37" s="1936">
        <f t="shared" si="1"/>
        <v>0</v>
      </c>
      <c r="G37" s="1793">
        <f t="shared" si="2"/>
        <v>0</v>
      </c>
    </row>
    <row r="38" spans="1:7" x14ac:dyDescent="0.25">
      <c r="A38" s="1653"/>
      <c r="B38" s="1933"/>
      <c r="C38" s="1654"/>
      <c r="D38" s="1844"/>
      <c r="E38" s="1540">
        <f t="shared" si="0"/>
        <v>0</v>
      </c>
      <c r="F38" s="1936">
        <f t="shared" si="1"/>
        <v>0</v>
      </c>
      <c r="G38" s="1793">
        <f t="shared" si="2"/>
        <v>0</v>
      </c>
    </row>
    <row r="39" spans="1:7" x14ac:dyDescent="0.25">
      <c r="A39" s="1653"/>
      <c r="B39" s="1934"/>
      <c r="C39" s="1654"/>
      <c r="D39" s="1844"/>
      <c r="E39" s="1540">
        <f t="shared" si="0"/>
        <v>0</v>
      </c>
      <c r="F39" s="1936">
        <f t="shared" si="1"/>
        <v>0</v>
      </c>
      <c r="G39" s="1793">
        <f t="shared" si="2"/>
        <v>0</v>
      </c>
    </row>
    <row r="40" spans="1:7" x14ac:dyDescent="0.25">
      <c r="A40" s="1653"/>
      <c r="B40" s="1934"/>
      <c r="C40" s="1654"/>
      <c r="D40" s="1844"/>
      <c r="E40" s="1540">
        <f t="shared" si="0"/>
        <v>0</v>
      </c>
      <c r="F40" s="1936">
        <f t="shared" si="1"/>
        <v>0</v>
      </c>
      <c r="G40" s="1793">
        <f t="shared" si="2"/>
        <v>0</v>
      </c>
    </row>
    <row r="41" spans="1:7" x14ac:dyDescent="0.25">
      <c r="A41" s="1653"/>
      <c r="B41" s="1934"/>
      <c r="C41" s="1654"/>
      <c r="D41" s="1844"/>
      <c r="E41" s="1540">
        <f t="shared" si="0"/>
        <v>0</v>
      </c>
      <c r="F41" s="1936">
        <f t="shared" si="1"/>
        <v>0</v>
      </c>
      <c r="G41" s="1793">
        <f t="shared" si="2"/>
        <v>0</v>
      </c>
    </row>
    <row r="42" spans="1:7" x14ac:dyDescent="0.25">
      <c r="A42" s="1653"/>
      <c r="B42" s="1934"/>
      <c r="C42" s="1654"/>
      <c r="D42" s="1844"/>
      <c r="E42" s="1540">
        <f t="shared" si="0"/>
        <v>0</v>
      </c>
      <c r="F42" s="1936">
        <f t="shared" si="1"/>
        <v>0</v>
      </c>
      <c r="G42" s="1793">
        <f t="shared" si="2"/>
        <v>0</v>
      </c>
    </row>
    <row r="43" spans="1:7" x14ac:dyDescent="0.25">
      <c r="A43" s="1653"/>
      <c r="B43" s="1934"/>
      <c r="C43" s="1654"/>
      <c r="D43" s="1844"/>
      <c r="E43" s="1540">
        <f t="shared" si="0"/>
        <v>0</v>
      </c>
      <c r="F43" s="1936">
        <f t="shared" si="1"/>
        <v>0</v>
      </c>
      <c r="G43" s="1793">
        <f t="shared" si="2"/>
        <v>0</v>
      </c>
    </row>
    <row r="44" spans="1:7" x14ac:dyDescent="0.25">
      <c r="A44" s="1653"/>
      <c r="B44" s="1934"/>
      <c r="C44" s="1654"/>
      <c r="D44" s="1844"/>
      <c r="E44" s="1540">
        <f t="shared" si="0"/>
        <v>0</v>
      </c>
      <c r="F44" s="1936">
        <f t="shared" si="1"/>
        <v>0</v>
      </c>
      <c r="G44" s="1793">
        <f t="shared" si="2"/>
        <v>0</v>
      </c>
    </row>
    <row r="45" spans="1:7" x14ac:dyDescent="0.25">
      <c r="A45" s="1653"/>
      <c r="B45" s="1934"/>
      <c r="C45" s="1654"/>
      <c r="D45" s="1844"/>
      <c r="E45" s="1540">
        <f t="shared" si="0"/>
        <v>0</v>
      </c>
      <c r="F45" s="1936">
        <f t="shared" si="1"/>
        <v>0</v>
      </c>
      <c r="G45" s="1793">
        <f t="shared" si="2"/>
        <v>0</v>
      </c>
    </row>
    <row r="46" spans="1:7" x14ac:dyDescent="0.25">
      <c r="A46" s="1653"/>
      <c r="B46" s="1934"/>
      <c r="C46" s="1654"/>
      <c r="D46" s="1844"/>
      <c r="E46" s="1540">
        <f t="shared" si="0"/>
        <v>0</v>
      </c>
      <c r="F46" s="1936">
        <f t="shared" si="1"/>
        <v>0</v>
      </c>
      <c r="G46" s="1793">
        <f t="shared" si="2"/>
        <v>0</v>
      </c>
    </row>
    <row r="47" spans="1:7" x14ac:dyDescent="0.25">
      <c r="A47" s="1653"/>
      <c r="B47" s="1667"/>
      <c r="C47" s="1654"/>
      <c r="D47" s="1844"/>
      <c r="E47" s="1540">
        <f t="shared" si="0"/>
        <v>0</v>
      </c>
      <c r="F47" s="1936">
        <f t="shared" si="1"/>
        <v>0</v>
      </c>
      <c r="G47" s="1793">
        <f t="shared" si="2"/>
        <v>0</v>
      </c>
    </row>
    <row r="48" spans="1:7" x14ac:dyDescent="0.25">
      <c r="A48" s="1653"/>
      <c r="B48" s="1667"/>
      <c r="C48" s="1654"/>
      <c r="D48" s="1844"/>
      <c r="E48" s="1540">
        <f t="shared" si="0"/>
        <v>0</v>
      </c>
      <c r="F48" s="1936">
        <f t="shared" si="1"/>
        <v>0</v>
      </c>
      <c r="G48" s="1793">
        <f t="shared" si="2"/>
        <v>0</v>
      </c>
    </row>
    <row r="49" spans="1:7" x14ac:dyDescent="0.25">
      <c r="A49" s="1653"/>
      <c r="B49" s="1667"/>
      <c r="C49" s="1654"/>
      <c r="D49" s="1844"/>
      <c r="E49" s="1540">
        <f t="shared" si="0"/>
        <v>0</v>
      </c>
      <c r="F49" s="1936">
        <f t="shared" si="1"/>
        <v>0</v>
      </c>
      <c r="G49" s="1793">
        <f t="shared" si="2"/>
        <v>0</v>
      </c>
    </row>
    <row r="50" spans="1:7" x14ac:dyDescent="0.25">
      <c r="A50" s="1653"/>
      <c r="B50" s="1667"/>
      <c r="C50" s="1654"/>
      <c r="D50" s="1844"/>
      <c r="E50" s="1540">
        <f t="shared" si="0"/>
        <v>0</v>
      </c>
      <c r="F50" s="1936">
        <f t="shared" si="1"/>
        <v>0</v>
      </c>
      <c r="G50" s="1793">
        <f t="shared" si="2"/>
        <v>0</v>
      </c>
    </row>
    <row r="51" spans="1:7" x14ac:dyDescent="0.25">
      <c r="A51" s="1653"/>
      <c r="B51" s="1667"/>
      <c r="C51" s="1654"/>
      <c r="D51" s="1844"/>
      <c r="E51" s="1540">
        <f t="shared" si="0"/>
        <v>0</v>
      </c>
      <c r="F51" s="1936">
        <f t="shared" si="1"/>
        <v>0</v>
      </c>
      <c r="G51" s="1793">
        <f t="shared" si="2"/>
        <v>0</v>
      </c>
    </row>
    <row r="52" spans="1:7" x14ac:dyDescent="0.25">
      <c r="A52" s="1653"/>
      <c r="B52" s="1667"/>
      <c r="C52" s="1654"/>
      <c r="D52" s="1844"/>
      <c r="E52" s="1540">
        <f t="shared" si="0"/>
        <v>0</v>
      </c>
      <c r="F52" s="1936">
        <f t="shared" si="1"/>
        <v>0</v>
      </c>
      <c r="G52" s="1793">
        <f t="shared" si="2"/>
        <v>0</v>
      </c>
    </row>
    <row r="53" spans="1:7" x14ac:dyDescent="0.25">
      <c r="A53" s="1653"/>
      <c r="B53" s="1667"/>
      <c r="C53" s="1654"/>
      <c r="D53" s="1844"/>
      <c r="E53" s="1540">
        <f t="shared" si="0"/>
        <v>0</v>
      </c>
      <c r="F53" s="1936">
        <f t="shared" si="1"/>
        <v>0</v>
      </c>
      <c r="G53" s="1793">
        <f t="shared" si="2"/>
        <v>0</v>
      </c>
    </row>
    <row r="54" spans="1:7" x14ac:dyDescent="0.25">
      <c r="A54" s="1653"/>
      <c r="B54" s="1667"/>
      <c r="C54" s="1654"/>
      <c r="D54" s="1844"/>
      <c r="E54" s="1540">
        <f t="shared" si="0"/>
        <v>0</v>
      </c>
      <c r="F54" s="1936">
        <f t="shared" si="1"/>
        <v>0</v>
      </c>
      <c r="G54" s="1793">
        <f t="shared" si="2"/>
        <v>0</v>
      </c>
    </row>
    <row r="55" spans="1:7" x14ac:dyDescent="0.25">
      <c r="A55" s="1653"/>
      <c r="B55" s="1667"/>
      <c r="C55" s="1654"/>
      <c r="D55" s="1844"/>
      <c r="E55" s="1540">
        <f t="shared" si="0"/>
        <v>0</v>
      </c>
      <c r="F55" s="1936">
        <f t="shared" si="1"/>
        <v>0</v>
      </c>
      <c r="G55" s="1793">
        <f t="shared" si="2"/>
        <v>0</v>
      </c>
    </row>
    <row r="56" spans="1:7" x14ac:dyDescent="0.25">
      <c r="A56" s="1653"/>
      <c r="B56" s="1667"/>
      <c r="C56" s="1654"/>
      <c r="D56" s="1844"/>
      <c r="E56" s="1540">
        <f t="shared" si="0"/>
        <v>0</v>
      </c>
      <c r="F56" s="1936">
        <f t="shared" si="1"/>
        <v>0</v>
      </c>
      <c r="G56" s="1793">
        <f t="shared" si="2"/>
        <v>0</v>
      </c>
    </row>
    <row r="57" spans="1:7" x14ac:dyDescent="0.25">
      <c r="A57" s="1653"/>
      <c r="B57" s="1667"/>
      <c r="C57" s="1654"/>
      <c r="D57" s="1844"/>
      <c r="E57" s="1540">
        <f t="shared" si="0"/>
        <v>0</v>
      </c>
      <c r="F57" s="1936">
        <f t="shared" si="1"/>
        <v>0</v>
      </c>
      <c r="G57" s="1793">
        <f t="shared" si="2"/>
        <v>0</v>
      </c>
    </row>
    <row r="58" spans="1:7" x14ac:dyDescent="0.25">
      <c r="A58" s="1653"/>
      <c r="B58" s="1667"/>
      <c r="C58" s="1654"/>
      <c r="D58" s="1844"/>
      <c r="E58" s="1540">
        <f t="shared" si="0"/>
        <v>0</v>
      </c>
      <c r="F58" s="1936">
        <f t="shared" si="1"/>
        <v>0</v>
      </c>
      <c r="G58" s="1793">
        <f t="shared" si="2"/>
        <v>0</v>
      </c>
    </row>
    <row r="59" spans="1:7" x14ac:dyDescent="0.25">
      <c r="A59" s="1653"/>
      <c r="B59" s="1667"/>
      <c r="C59" s="1654"/>
      <c r="D59" s="1844"/>
      <c r="E59" s="1540">
        <f t="shared" si="0"/>
        <v>0</v>
      </c>
      <c r="F59" s="1936">
        <f t="shared" si="1"/>
        <v>0</v>
      </c>
      <c r="G59" s="1793">
        <f t="shared" si="2"/>
        <v>0</v>
      </c>
    </row>
    <row r="60" spans="1:7" x14ac:dyDescent="0.25">
      <c r="A60" s="1653"/>
      <c r="B60" s="1667"/>
      <c r="C60" s="1654"/>
      <c r="D60" s="1844"/>
      <c r="E60" s="1540">
        <f t="shared" si="0"/>
        <v>0</v>
      </c>
      <c r="F60" s="1936">
        <f t="shared" si="1"/>
        <v>0</v>
      </c>
      <c r="G60" s="1793">
        <f t="shared" si="2"/>
        <v>0</v>
      </c>
    </row>
    <row r="61" spans="1:7" x14ac:dyDescent="0.25">
      <c r="A61" s="1653"/>
      <c r="B61" s="1667"/>
      <c r="C61" s="1654"/>
      <c r="D61" s="1844"/>
      <c r="E61" s="1540">
        <f t="shared" si="0"/>
        <v>0</v>
      </c>
      <c r="F61" s="1936">
        <f t="shared" si="1"/>
        <v>0</v>
      </c>
      <c r="G61" s="1793">
        <f t="shared" si="2"/>
        <v>0</v>
      </c>
    </row>
    <row r="62" spans="1:7" x14ac:dyDescent="0.25">
      <c r="A62" s="1653"/>
      <c r="B62" s="1667"/>
      <c r="C62" s="1654"/>
      <c r="D62" s="1844"/>
      <c r="E62" s="1540">
        <f t="shared" si="0"/>
        <v>0</v>
      </c>
      <c r="F62" s="1936">
        <f t="shared" si="1"/>
        <v>0</v>
      </c>
      <c r="G62" s="1793">
        <f t="shared" si="2"/>
        <v>0</v>
      </c>
    </row>
    <row r="63" spans="1:7" x14ac:dyDescent="0.25">
      <c r="A63" s="1653"/>
      <c r="B63" s="1667"/>
      <c r="C63" s="1654"/>
      <c r="D63" s="1844"/>
      <c r="E63" s="1540">
        <f t="shared" si="0"/>
        <v>0</v>
      </c>
      <c r="F63" s="1936">
        <f t="shared" si="1"/>
        <v>0</v>
      </c>
      <c r="G63" s="1793">
        <f t="shared" si="2"/>
        <v>0</v>
      </c>
    </row>
    <row r="64" spans="1:7" x14ac:dyDescent="0.25">
      <c r="A64" s="1653"/>
      <c r="B64" s="1667"/>
      <c r="C64" s="1654"/>
      <c r="D64" s="1844"/>
      <c r="E64" s="1540">
        <f t="shared" si="0"/>
        <v>0</v>
      </c>
      <c r="F64" s="1936">
        <f t="shared" si="1"/>
        <v>0</v>
      </c>
      <c r="G64" s="1793">
        <f t="shared" si="2"/>
        <v>0</v>
      </c>
    </row>
    <row r="65" spans="1:7" x14ac:dyDescent="0.25">
      <c r="A65" s="1655"/>
      <c r="B65" s="1667"/>
      <c r="C65" s="1656"/>
      <c r="D65" s="1844"/>
      <c r="E65" s="1540">
        <f t="shared" si="0"/>
        <v>0</v>
      </c>
      <c r="F65" s="1936">
        <f t="shared" si="1"/>
        <v>0</v>
      </c>
      <c r="G65" s="1793">
        <f t="shared" si="2"/>
        <v>0</v>
      </c>
    </row>
    <row r="66" spans="1:7" x14ac:dyDescent="0.25">
      <c r="A66" s="1653"/>
      <c r="B66" s="1667"/>
      <c r="C66" s="1654"/>
      <c r="D66" s="1844"/>
      <c r="E66" s="1540">
        <f t="shared" si="0"/>
        <v>0</v>
      </c>
      <c r="F66" s="1936">
        <f t="shared" si="1"/>
        <v>0</v>
      </c>
      <c r="G66" s="1793">
        <f t="shared" si="2"/>
        <v>0</v>
      </c>
    </row>
    <row r="67" spans="1:7" x14ac:dyDescent="0.25">
      <c r="A67" s="1653"/>
      <c r="B67" s="1667"/>
      <c r="C67" s="1654"/>
      <c r="D67" s="1844"/>
      <c r="E67" s="1540">
        <f t="shared" si="0"/>
        <v>0</v>
      </c>
      <c r="F67" s="1936">
        <f t="shared" si="1"/>
        <v>0</v>
      </c>
      <c r="G67" s="1793">
        <f t="shared" si="2"/>
        <v>0</v>
      </c>
    </row>
    <row r="68" spans="1:7" x14ac:dyDescent="0.25">
      <c r="A68" s="1653"/>
      <c r="B68" s="1667"/>
      <c r="C68" s="1654"/>
      <c r="D68" s="1844"/>
      <c r="E68" s="1540">
        <f t="shared" si="0"/>
        <v>0</v>
      </c>
      <c r="F68" s="1936">
        <f t="shared" si="1"/>
        <v>0</v>
      </c>
      <c r="G68" s="1793">
        <f t="shared" si="2"/>
        <v>0</v>
      </c>
    </row>
    <row r="69" spans="1:7" x14ac:dyDescent="0.25">
      <c r="A69" s="1653"/>
      <c r="B69" s="1667"/>
      <c r="C69" s="1654"/>
      <c r="D69" s="1844"/>
      <c r="E69" s="1540">
        <f t="shared" si="0"/>
        <v>0</v>
      </c>
      <c r="F69" s="1936">
        <f t="shared" si="1"/>
        <v>0</v>
      </c>
      <c r="G69" s="1793">
        <f t="shared" si="2"/>
        <v>0</v>
      </c>
    </row>
    <row r="70" spans="1:7" x14ac:dyDescent="0.25">
      <c r="A70" s="1653"/>
      <c r="B70" s="1667"/>
      <c r="C70" s="1654"/>
      <c r="D70" s="1844"/>
      <c r="E70" s="1540">
        <f t="shared" si="0"/>
        <v>0</v>
      </c>
      <c r="F70" s="1936">
        <f t="shared" si="1"/>
        <v>0</v>
      </c>
      <c r="G70" s="1793">
        <f t="shared" si="2"/>
        <v>0</v>
      </c>
    </row>
    <row r="71" spans="1:7" x14ac:dyDescent="0.25">
      <c r="A71" s="1653"/>
      <c r="B71" s="1667"/>
      <c r="C71" s="1654"/>
      <c r="D71" s="1844"/>
      <c r="E71" s="1540">
        <f t="shared" si="0"/>
        <v>0</v>
      </c>
      <c r="F71" s="1936">
        <f t="shared" si="1"/>
        <v>0</v>
      </c>
      <c r="G71" s="1793">
        <f t="shared" si="2"/>
        <v>0</v>
      </c>
    </row>
    <row r="72" spans="1:7" x14ac:dyDescent="0.25">
      <c r="A72" s="1653"/>
      <c r="B72" s="1667"/>
      <c r="C72" s="1654"/>
      <c r="D72" s="1844"/>
      <c r="E72" s="1540">
        <f t="shared" si="0"/>
        <v>0</v>
      </c>
      <c r="F72" s="1936">
        <f t="shared" si="1"/>
        <v>0</v>
      </c>
      <c r="G72" s="1793">
        <f t="shared" si="2"/>
        <v>0</v>
      </c>
    </row>
    <row r="73" spans="1:7" x14ac:dyDescent="0.25">
      <c r="A73" s="1653"/>
      <c r="B73" s="1667"/>
      <c r="C73" s="1654"/>
      <c r="D73" s="1844"/>
      <c r="E73" s="1540">
        <f t="shared" si="0"/>
        <v>0</v>
      </c>
      <c r="F73" s="1936">
        <f t="shared" si="1"/>
        <v>0</v>
      </c>
      <c r="G73" s="1793">
        <f t="shared" si="2"/>
        <v>0</v>
      </c>
    </row>
    <row r="74" spans="1:7" x14ac:dyDescent="0.25">
      <c r="A74" s="1653"/>
      <c r="B74" s="1667"/>
      <c r="C74" s="1654"/>
      <c r="D74" s="1844"/>
      <c r="E74" s="1540">
        <f t="shared" ref="E74:E85" si="3">IF(D74&lt;=25000,D74,IF(D74&gt;25000,25000,0))</f>
        <v>0</v>
      </c>
      <c r="F74" s="1936">
        <f t="shared" si="1"/>
        <v>0</v>
      </c>
      <c r="G74" s="1793">
        <f t="shared" ref="G74:G85" si="4">IF(F74=0,0,D74-F74)</f>
        <v>0</v>
      </c>
    </row>
    <row r="75" spans="1:7" x14ac:dyDescent="0.25">
      <c r="A75" s="1653"/>
      <c r="B75" s="1667"/>
      <c r="C75" s="1654"/>
      <c r="D75" s="1844"/>
      <c r="E75" s="1540">
        <f t="shared" si="3"/>
        <v>0</v>
      </c>
      <c r="F75" s="1936">
        <f t="shared" si="1"/>
        <v>0</v>
      </c>
      <c r="G75" s="1793">
        <f t="shared" si="4"/>
        <v>0</v>
      </c>
    </row>
    <row r="76" spans="1:7" x14ac:dyDescent="0.25">
      <c r="A76" s="1653"/>
      <c r="B76" s="1667"/>
      <c r="C76" s="1654"/>
      <c r="D76" s="1844"/>
      <c r="E76" s="1540">
        <f t="shared" si="3"/>
        <v>0</v>
      </c>
      <c r="F76" s="1936">
        <f t="shared" si="1"/>
        <v>0</v>
      </c>
      <c r="G76" s="1793">
        <f t="shared" si="4"/>
        <v>0</v>
      </c>
    </row>
    <row r="77" spans="1:7" x14ac:dyDescent="0.25">
      <c r="A77" s="1653"/>
      <c r="B77" s="1667"/>
      <c r="C77" s="1654"/>
      <c r="D77" s="1844"/>
      <c r="E77" s="1540">
        <f t="shared" si="3"/>
        <v>0</v>
      </c>
      <c r="F77" s="1936">
        <f t="shared" si="1"/>
        <v>0</v>
      </c>
      <c r="G77" s="1793">
        <f t="shared" si="4"/>
        <v>0</v>
      </c>
    </row>
    <row r="78" spans="1:7" x14ac:dyDescent="0.25">
      <c r="A78" s="1653"/>
      <c r="B78" s="1667"/>
      <c r="C78" s="1654"/>
      <c r="D78" s="1844"/>
      <c r="E78" s="1540">
        <f t="shared" si="3"/>
        <v>0</v>
      </c>
      <c r="F78" s="1936">
        <f t="shared" si="1"/>
        <v>0</v>
      </c>
      <c r="G78" s="1793">
        <f t="shared" si="4"/>
        <v>0</v>
      </c>
    </row>
    <row r="79" spans="1:7" x14ac:dyDescent="0.25">
      <c r="A79" s="1653"/>
      <c r="B79" s="1667"/>
      <c r="C79" s="1654"/>
      <c r="D79" s="1844"/>
      <c r="E79" s="1540">
        <f t="shared" si="3"/>
        <v>0</v>
      </c>
      <c r="F79" s="1936">
        <f t="shared" si="1"/>
        <v>0</v>
      </c>
      <c r="G79" s="1793">
        <f t="shared" si="4"/>
        <v>0</v>
      </c>
    </row>
    <row r="80" spans="1:7" x14ac:dyDescent="0.25">
      <c r="A80" s="1653"/>
      <c r="B80" s="1667"/>
      <c r="C80" s="1654"/>
      <c r="D80" s="1844"/>
      <c r="E80" s="1540">
        <f t="shared" si="3"/>
        <v>0</v>
      </c>
      <c r="F80" s="1936">
        <f t="shared" si="1"/>
        <v>0</v>
      </c>
      <c r="G80" s="1793">
        <f t="shared" si="4"/>
        <v>0</v>
      </c>
    </row>
    <row r="81" spans="1:7" x14ac:dyDescent="0.25">
      <c r="A81" s="1653"/>
      <c r="B81" s="1667"/>
      <c r="C81" s="1654"/>
      <c r="D81" s="1844"/>
      <c r="E81" s="1540">
        <f t="shared" si="3"/>
        <v>0</v>
      </c>
      <c r="F81" s="1936">
        <f t="shared" si="1"/>
        <v>0</v>
      </c>
      <c r="G81" s="1793">
        <f t="shared" si="4"/>
        <v>0</v>
      </c>
    </row>
    <row r="82" spans="1:7" x14ac:dyDescent="0.25">
      <c r="A82" s="1653"/>
      <c r="B82" s="1667"/>
      <c r="C82" s="1654"/>
      <c r="D82" s="1844"/>
      <c r="E82" s="1540">
        <f t="shared" si="3"/>
        <v>0</v>
      </c>
      <c r="F82" s="1936">
        <f t="shared" ref="F82:F141" si="5">(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4"/>
        <v>0</v>
      </c>
    </row>
    <row r="83" spans="1:7" x14ac:dyDescent="0.25">
      <c r="A83" s="1653"/>
      <c r="B83" s="1667"/>
      <c r="C83" s="1654"/>
      <c r="D83" s="1844"/>
      <c r="E83" s="1540">
        <f t="shared" si="3"/>
        <v>0</v>
      </c>
      <c r="F83" s="1936">
        <f t="shared" si="5"/>
        <v>0</v>
      </c>
      <c r="G83" s="1793">
        <f t="shared" si="4"/>
        <v>0</v>
      </c>
    </row>
    <row r="84" spans="1:7" x14ac:dyDescent="0.25">
      <c r="A84" s="1653"/>
      <c r="B84" s="1667"/>
      <c r="C84" s="1654"/>
      <c r="D84" s="1844"/>
      <c r="E84" s="1540">
        <f t="shared" si="3"/>
        <v>0</v>
      </c>
      <c r="F84" s="1936">
        <f t="shared" si="5"/>
        <v>0</v>
      </c>
      <c r="G84" s="1793">
        <f t="shared" si="4"/>
        <v>0</v>
      </c>
    </row>
    <row r="85" spans="1:7" x14ac:dyDescent="0.25">
      <c r="A85" s="1653"/>
      <c r="B85" s="1667"/>
      <c r="C85" s="1654"/>
      <c r="D85" s="1844"/>
      <c r="E85" s="1540">
        <f t="shared" si="3"/>
        <v>0</v>
      </c>
      <c r="F85" s="1936">
        <f t="shared" si="5"/>
        <v>0</v>
      </c>
      <c r="G85" s="1793">
        <f t="shared" si="4"/>
        <v>0</v>
      </c>
    </row>
    <row r="86" spans="1:7" x14ac:dyDescent="0.25">
      <c r="A86" s="1653"/>
      <c r="B86" s="1667"/>
      <c r="C86" s="1654"/>
      <c r="D86" s="1844"/>
      <c r="E86" s="1540">
        <f t="shared" si="0"/>
        <v>0</v>
      </c>
      <c r="F86" s="1936">
        <f t="shared" si="5"/>
        <v>0</v>
      </c>
      <c r="G86" s="1793">
        <f t="shared" si="2"/>
        <v>0</v>
      </c>
    </row>
    <row r="87" spans="1:7" x14ac:dyDescent="0.25">
      <c r="A87" s="1653"/>
      <c r="B87" s="1667"/>
      <c r="C87" s="1654"/>
      <c r="D87" s="1844"/>
      <c r="E87" s="1540">
        <f t="shared" si="0"/>
        <v>0</v>
      </c>
      <c r="F87" s="1936">
        <f t="shared" si="5"/>
        <v>0</v>
      </c>
      <c r="G87" s="1793">
        <f t="shared" si="2"/>
        <v>0</v>
      </c>
    </row>
    <row r="88" spans="1:7" x14ac:dyDescent="0.25">
      <c r="A88" s="1653"/>
      <c r="B88" s="1667"/>
      <c r="C88" s="1654"/>
      <c r="D88" s="1844"/>
      <c r="E88" s="1540">
        <f t="shared" si="0"/>
        <v>0</v>
      </c>
      <c r="F88" s="1936">
        <f t="shared" si="5"/>
        <v>0</v>
      </c>
      <c r="G88" s="1793">
        <f t="shared" si="2"/>
        <v>0</v>
      </c>
    </row>
    <row r="89" spans="1:7" x14ac:dyDescent="0.25">
      <c r="A89" s="1653"/>
      <c r="B89" s="1667"/>
      <c r="C89" s="1654"/>
      <c r="D89" s="1844"/>
      <c r="E89" s="1540">
        <f t="shared" si="0"/>
        <v>0</v>
      </c>
      <c r="F89" s="1936">
        <f t="shared" si="5"/>
        <v>0</v>
      </c>
      <c r="G89" s="1793">
        <f t="shared" si="2"/>
        <v>0</v>
      </c>
    </row>
    <row r="90" spans="1:7" x14ac:dyDescent="0.25">
      <c r="A90" s="1653"/>
      <c r="B90" s="1667"/>
      <c r="C90" s="1654"/>
      <c r="D90" s="1844"/>
      <c r="E90" s="1540">
        <f t="shared" si="0"/>
        <v>0</v>
      </c>
      <c r="F90" s="1936">
        <f t="shared" si="5"/>
        <v>0</v>
      </c>
      <c r="G90" s="1793">
        <f t="shared" si="2"/>
        <v>0</v>
      </c>
    </row>
    <row r="91" spans="1:7" x14ac:dyDescent="0.25">
      <c r="A91" s="1653"/>
      <c r="B91" s="1667"/>
      <c r="C91" s="1654"/>
      <c r="D91" s="1844"/>
      <c r="E91" s="1540">
        <f t="shared" si="0"/>
        <v>0</v>
      </c>
      <c r="F91" s="1936">
        <f t="shared" si="5"/>
        <v>0</v>
      </c>
      <c r="G91" s="1793">
        <f t="shared" si="2"/>
        <v>0</v>
      </c>
    </row>
    <row r="92" spans="1:7" x14ac:dyDescent="0.25">
      <c r="A92" s="1653"/>
      <c r="B92" s="1667"/>
      <c r="C92" s="1654"/>
      <c r="D92" s="1844"/>
      <c r="E92" s="1540">
        <f t="shared" si="0"/>
        <v>0</v>
      </c>
      <c r="F92" s="1936">
        <f t="shared" si="5"/>
        <v>0</v>
      </c>
      <c r="G92" s="1793">
        <f t="shared" si="2"/>
        <v>0</v>
      </c>
    </row>
    <row r="93" spans="1:7" x14ac:dyDescent="0.25">
      <c r="A93" s="1653"/>
      <c r="B93" s="1667"/>
      <c r="C93" s="1654"/>
      <c r="D93" s="1844"/>
      <c r="E93" s="1540">
        <f t="shared" si="0"/>
        <v>0</v>
      </c>
      <c r="F93" s="1936">
        <f t="shared" si="5"/>
        <v>0</v>
      </c>
      <c r="G93" s="1793">
        <f t="shared" si="2"/>
        <v>0</v>
      </c>
    </row>
    <row r="94" spans="1:7" x14ac:dyDescent="0.25">
      <c r="A94" s="1653"/>
      <c r="B94" s="1667"/>
      <c r="C94" s="1654"/>
      <c r="D94" s="1844"/>
      <c r="E94" s="1540">
        <f t="shared" ref="E94" si="6">IF(D94&lt;=25000,D94,IF(D94&gt;25000,25000,0))</f>
        <v>0</v>
      </c>
      <c r="F94" s="1936">
        <f t="shared" si="5"/>
        <v>0</v>
      </c>
      <c r="G94" s="1793">
        <f t="shared" ref="G94" si="7">IF(F94=0,0,D94-F94)</f>
        <v>0</v>
      </c>
    </row>
    <row r="95" spans="1:7" x14ac:dyDescent="0.25">
      <c r="A95" s="1653"/>
      <c r="B95" s="1667"/>
      <c r="C95" s="1654"/>
      <c r="D95" s="1844"/>
      <c r="E95" s="1540">
        <f t="shared" si="0"/>
        <v>0</v>
      </c>
      <c r="F95" s="1936">
        <f t="shared" si="5"/>
        <v>0</v>
      </c>
      <c r="G95" s="1793">
        <f t="shared" si="2"/>
        <v>0</v>
      </c>
    </row>
    <row r="96" spans="1:7" x14ac:dyDescent="0.25">
      <c r="A96" s="1653"/>
      <c r="B96" s="1667"/>
      <c r="C96" s="1654"/>
      <c r="D96" s="1844"/>
      <c r="E96" s="1540">
        <f t="shared" ref="E96:E99" si="8">IF(D96&lt;=25000,D96,IF(D96&gt;25000,25000,0))</f>
        <v>0</v>
      </c>
      <c r="F96" s="1936">
        <f t="shared" si="5"/>
        <v>0</v>
      </c>
      <c r="G96" s="1793">
        <f t="shared" ref="G96:G99" si="9">IF(F96=0,0,D96-F96)</f>
        <v>0</v>
      </c>
    </row>
    <row r="97" spans="1:7" x14ac:dyDescent="0.25">
      <c r="A97" s="1653"/>
      <c r="B97" s="1667"/>
      <c r="C97" s="1654"/>
      <c r="D97" s="1844"/>
      <c r="E97" s="1540">
        <f t="shared" si="8"/>
        <v>0</v>
      </c>
      <c r="F97" s="1936">
        <f t="shared" si="5"/>
        <v>0</v>
      </c>
      <c r="G97" s="1793">
        <f t="shared" si="9"/>
        <v>0</v>
      </c>
    </row>
    <row r="98" spans="1:7" x14ac:dyDescent="0.25">
      <c r="A98" s="1653"/>
      <c r="B98" s="1667"/>
      <c r="C98" s="1654"/>
      <c r="D98" s="1844"/>
      <c r="E98" s="1540">
        <f t="shared" si="8"/>
        <v>0</v>
      </c>
      <c r="F98" s="1936">
        <f t="shared" si="5"/>
        <v>0</v>
      </c>
      <c r="G98" s="1793">
        <f t="shared" si="9"/>
        <v>0</v>
      </c>
    </row>
    <row r="99" spans="1:7" x14ac:dyDescent="0.25">
      <c r="A99" s="1653"/>
      <c r="B99" s="1667"/>
      <c r="C99" s="1654"/>
      <c r="D99" s="1844"/>
      <c r="E99" s="1540">
        <f t="shared" si="8"/>
        <v>0</v>
      </c>
      <c r="F99" s="1936">
        <f t="shared" si="5"/>
        <v>0</v>
      </c>
      <c r="G99" s="1793">
        <f t="shared" si="9"/>
        <v>0</v>
      </c>
    </row>
    <row r="100" spans="1:7" x14ac:dyDescent="0.25">
      <c r="A100" s="1653"/>
      <c r="B100" s="1667"/>
      <c r="C100" s="1654"/>
      <c r="D100" s="1844"/>
      <c r="E100" s="1540">
        <f t="shared" ref="E100" si="10">IF(D100&lt;=25000,D100,IF(D100&gt;25000,25000,0))</f>
        <v>0</v>
      </c>
      <c r="F100" s="1936">
        <f t="shared" si="5"/>
        <v>0</v>
      </c>
      <c r="G100" s="1793">
        <f t="shared" ref="G100" si="11">IF(F100=0,0,D100-F100)</f>
        <v>0</v>
      </c>
    </row>
    <row r="101" spans="1:7" x14ac:dyDescent="0.25">
      <c r="A101" s="1653"/>
      <c r="B101" s="1667"/>
      <c r="C101" s="1654"/>
      <c r="D101" s="1844"/>
      <c r="E101" s="1540">
        <f t="shared" ref="E101:E113" si="12">IF(D101&lt;=25000,D101,IF(D101&gt;25000,25000,0))</f>
        <v>0</v>
      </c>
      <c r="F101" s="1936">
        <f t="shared" si="5"/>
        <v>0</v>
      </c>
      <c r="G101" s="1793">
        <f t="shared" ref="G101:G113" si="13">IF(F101=0,0,D101-F101)</f>
        <v>0</v>
      </c>
    </row>
    <row r="102" spans="1:7" x14ac:dyDescent="0.25">
      <c r="A102" s="1653"/>
      <c r="B102" s="1667"/>
      <c r="C102" s="1654"/>
      <c r="D102" s="1844"/>
      <c r="E102" s="1540">
        <f t="shared" si="12"/>
        <v>0</v>
      </c>
      <c r="F102" s="1936">
        <f t="shared" si="5"/>
        <v>0</v>
      </c>
      <c r="G102" s="1793">
        <f t="shared" si="13"/>
        <v>0</v>
      </c>
    </row>
    <row r="103" spans="1:7" x14ac:dyDescent="0.25">
      <c r="A103" s="1653"/>
      <c r="B103" s="1667"/>
      <c r="C103" s="1654"/>
      <c r="D103" s="1844"/>
      <c r="E103" s="1540">
        <f t="shared" si="12"/>
        <v>0</v>
      </c>
      <c r="F103" s="1936">
        <f t="shared" si="5"/>
        <v>0</v>
      </c>
      <c r="G103" s="1793">
        <f t="shared" si="13"/>
        <v>0</v>
      </c>
    </row>
    <row r="104" spans="1:7" x14ac:dyDescent="0.25">
      <c r="A104" s="1653"/>
      <c r="B104" s="1667"/>
      <c r="C104" s="1654"/>
      <c r="D104" s="1844"/>
      <c r="E104" s="1540">
        <f t="shared" si="12"/>
        <v>0</v>
      </c>
      <c r="F104" s="1936">
        <f t="shared" si="5"/>
        <v>0</v>
      </c>
      <c r="G104" s="1793">
        <f t="shared" si="13"/>
        <v>0</v>
      </c>
    </row>
    <row r="105" spans="1:7" x14ac:dyDescent="0.25">
      <c r="A105" s="1653"/>
      <c r="B105" s="1667"/>
      <c r="C105" s="1654"/>
      <c r="D105" s="1844"/>
      <c r="E105" s="1540">
        <f t="shared" si="12"/>
        <v>0</v>
      </c>
      <c r="F105" s="1936">
        <f t="shared" si="5"/>
        <v>0</v>
      </c>
      <c r="G105" s="1793">
        <f t="shared" si="13"/>
        <v>0</v>
      </c>
    </row>
    <row r="106" spans="1:7" x14ac:dyDescent="0.25">
      <c r="A106" s="1653"/>
      <c r="B106" s="1667"/>
      <c r="C106" s="1654"/>
      <c r="D106" s="1844"/>
      <c r="E106" s="1540">
        <f t="shared" si="12"/>
        <v>0</v>
      </c>
      <c r="F106" s="1936">
        <f t="shared" si="5"/>
        <v>0</v>
      </c>
      <c r="G106" s="1793">
        <f t="shared" si="13"/>
        <v>0</v>
      </c>
    </row>
    <row r="107" spans="1:7" x14ac:dyDescent="0.25">
      <c r="A107" s="1653"/>
      <c r="B107" s="1667"/>
      <c r="C107" s="1654"/>
      <c r="D107" s="1844"/>
      <c r="E107" s="1540">
        <f t="shared" si="12"/>
        <v>0</v>
      </c>
      <c r="F107" s="1936">
        <f t="shared" si="5"/>
        <v>0</v>
      </c>
      <c r="G107" s="1793">
        <f t="shared" si="13"/>
        <v>0</v>
      </c>
    </row>
    <row r="108" spans="1:7" x14ac:dyDescent="0.25">
      <c r="A108" s="1653"/>
      <c r="B108" s="1667"/>
      <c r="C108" s="1654"/>
      <c r="D108" s="1844"/>
      <c r="E108" s="1540">
        <f t="shared" si="12"/>
        <v>0</v>
      </c>
      <c r="F108" s="1936">
        <f t="shared" si="5"/>
        <v>0</v>
      </c>
      <c r="G108" s="1793">
        <f t="shared" si="13"/>
        <v>0</v>
      </c>
    </row>
    <row r="109" spans="1:7" x14ac:dyDescent="0.25">
      <c r="A109" s="1653"/>
      <c r="B109" s="1667"/>
      <c r="C109" s="1654"/>
      <c r="D109" s="1844"/>
      <c r="E109" s="1540">
        <f t="shared" si="12"/>
        <v>0</v>
      </c>
      <c r="F109" s="1936">
        <f t="shared" si="5"/>
        <v>0</v>
      </c>
      <c r="G109" s="1793">
        <f t="shared" si="13"/>
        <v>0</v>
      </c>
    </row>
    <row r="110" spans="1:7" x14ac:dyDescent="0.25">
      <c r="A110" s="1653"/>
      <c r="B110" s="1667"/>
      <c r="C110" s="1654"/>
      <c r="D110" s="1844"/>
      <c r="E110" s="1540">
        <f t="shared" si="12"/>
        <v>0</v>
      </c>
      <c r="F110" s="1936">
        <f t="shared" si="5"/>
        <v>0</v>
      </c>
      <c r="G110" s="1793">
        <f t="shared" si="13"/>
        <v>0</v>
      </c>
    </row>
    <row r="111" spans="1:7" x14ac:dyDescent="0.25">
      <c r="A111" s="1653"/>
      <c r="B111" s="1667"/>
      <c r="C111" s="1654"/>
      <c r="D111" s="1844"/>
      <c r="E111" s="1540">
        <f t="shared" si="12"/>
        <v>0</v>
      </c>
      <c r="F111" s="1936">
        <f t="shared" si="5"/>
        <v>0</v>
      </c>
      <c r="G111" s="1793">
        <f t="shared" si="13"/>
        <v>0</v>
      </c>
    </row>
    <row r="112" spans="1:7" x14ac:dyDescent="0.25">
      <c r="A112" s="1653"/>
      <c r="B112" s="1667"/>
      <c r="C112" s="1654"/>
      <c r="D112" s="1844"/>
      <c r="E112" s="1540">
        <f t="shared" si="12"/>
        <v>0</v>
      </c>
      <c r="F112" s="1936">
        <f t="shared" si="5"/>
        <v>0</v>
      </c>
      <c r="G112" s="1793">
        <f t="shared" si="13"/>
        <v>0</v>
      </c>
    </row>
    <row r="113" spans="1:7" x14ac:dyDescent="0.25">
      <c r="A113" s="1653"/>
      <c r="B113" s="1667"/>
      <c r="C113" s="1654"/>
      <c r="D113" s="1844"/>
      <c r="E113" s="1540">
        <f t="shared" si="12"/>
        <v>0</v>
      </c>
      <c r="F113" s="1936">
        <f t="shared" si="5"/>
        <v>0</v>
      </c>
      <c r="G113" s="1793">
        <f t="shared" si="13"/>
        <v>0</v>
      </c>
    </row>
    <row r="114" spans="1:7" x14ac:dyDescent="0.25">
      <c r="A114" s="1653"/>
      <c r="B114" s="1667"/>
      <c r="C114" s="1654"/>
      <c r="D114" s="1844"/>
      <c r="E114" s="1540">
        <f t="shared" ref="E114:E126" si="14">IF(D114&lt;=25000,D114,IF(D114&gt;25000,25000,0))</f>
        <v>0</v>
      </c>
      <c r="F114" s="1936">
        <f t="shared" si="5"/>
        <v>0</v>
      </c>
      <c r="G114" s="1793">
        <f t="shared" ref="G114:G126" si="15">IF(F114=0,0,D114-F114)</f>
        <v>0</v>
      </c>
    </row>
    <row r="115" spans="1:7" x14ac:dyDescent="0.25">
      <c r="A115" s="1653"/>
      <c r="B115" s="1667"/>
      <c r="C115" s="1654"/>
      <c r="D115" s="1844"/>
      <c r="E115" s="1540">
        <f t="shared" si="14"/>
        <v>0</v>
      </c>
      <c r="F115" s="1936">
        <f t="shared" si="5"/>
        <v>0</v>
      </c>
      <c r="G115" s="1793">
        <f t="shared" si="15"/>
        <v>0</v>
      </c>
    </row>
    <row r="116" spans="1:7" x14ac:dyDescent="0.25">
      <c r="A116" s="1653"/>
      <c r="B116" s="1667"/>
      <c r="C116" s="1654"/>
      <c r="D116" s="1844"/>
      <c r="E116" s="1540">
        <f t="shared" si="14"/>
        <v>0</v>
      </c>
      <c r="F116" s="1936">
        <f t="shared" si="5"/>
        <v>0</v>
      </c>
      <c r="G116" s="1793">
        <f t="shared" si="15"/>
        <v>0</v>
      </c>
    </row>
    <row r="117" spans="1:7" x14ac:dyDescent="0.25">
      <c r="A117" s="1653"/>
      <c r="B117" s="1667"/>
      <c r="C117" s="1654"/>
      <c r="D117" s="1844"/>
      <c r="E117" s="1540">
        <f t="shared" si="14"/>
        <v>0</v>
      </c>
      <c r="F117" s="1936">
        <f t="shared" si="5"/>
        <v>0</v>
      </c>
      <c r="G117" s="1793">
        <f t="shared" si="15"/>
        <v>0</v>
      </c>
    </row>
    <row r="118" spans="1:7" x14ac:dyDescent="0.25">
      <c r="A118" s="1653"/>
      <c r="B118" s="1667"/>
      <c r="C118" s="1654"/>
      <c r="D118" s="1844"/>
      <c r="E118" s="1540">
        <f t="shared" si="14"/>
        <v>0</v>
      </c>
      <c r="F118" s="1936">
        <f t="shared" si="5"/>
        <v>0</v>
      </c>
      <c r="G118" s="1793">
        <f t="shared" si="15"/>
        <v>0</v>
      </c>
    </row>
    <row r="119" spans="1:7" x14ac:dyDescent="0.25">
      <c r="A119" s="1653"/>
      <c r="B119" s="1667"/>
      <c r="C119" s="1654"/>
      <c r="D119" s="1844"/>
      <c r="E119" s="1540">
        <f t="shared" si="14"/>
        <v>0</v>
      </c>
      <c r="F119" s="1936">
        <f t="shared" si="5"/>
        <v>0</v>
      </c>
      <c r="G119" s="1793">
        <f t="shared" si="15"/>
        <v>0</v>
      </c>
    </row>
    <row r="120" spans="1:7" x14ac:dyDescent="0.25">
      <c r="A120" s="1653"/>
      <c r="B120" s="1667"/>
      <c r="C120" s="1654"/>
      <c r="D120" s="1844"/>
      <c r="E120" s="1540">
        <f t="shared" si="14"/>
        <v>0</v>
      </c>
      <c r="F120" s="1936">
        <f t="shared" si="5"/>
        <v>0</v>
      </c>
      <c r="G120" s="1793">
        <f t="shared" si="15"/>
        <v>0</v>
      </c>
    </row>
    <row r="121" spans="1:7" x14ac:dyDescent="0.25">
      <c r="A121" s="1653"/>
      <c r="B121" s="1667"/>
      <c r="C121" s="1654"/>
      <c r="D121" s="1844"/>
      <c r="E121" s="1540">
        <f t="shared" si="14"/>
        <v>0</v>
      </c>
      <c r="F121" s="1936">
        <f t="shared" si="5"/>
        <v>0</v>
      </c>
      <c r="G121" s="1793">
        <f t="shared" si="15"/>
        <v>0</v>
      </c>
    </row>
    <row r="122" spans="1:7" x14ac:dyDescent="0.25">
      <c r="A122" s="1653"/>
      <c r="B122" s="1667"/>
      <c r="C122" s="1654"/>
      <c r="D122" s="1844"/>
      <c r="E122" s="1540">
        <f t="shared" si="14"/>
        <v>0</v>
      </c>
      <c r="F122" s="1936">
        <f t="shared" si="5"/>
        <v>0</v>
      </c>
      <c r="G122" s="1793">
        <f t="shared" si="15"/>
        <v>0</v>
      </c>
    </row>
    <row r="123" spans="1:7" x14ac:dyDescent="0.25">
      <c r="A123" s="1653"/>
      <c r="B123" s="1667"/>
      <c r="C123" s="1654"/>
      <c r="D123" s="1844"/>
      <c r="E123" s="1540">
        <f t="shared" si="14"/>
        <v>0</v>
      </c>
      <c r="F123" s="1936">
        <f t="shared" si="5"/>
        <v>0</v>
      </c>
      <c r="G123" s="1793">
        <f t="shared" si="15"/>
        <v>0</v>
      </c>
    </row>
    <row r="124" spans="1:7" x14ac:dyDescent="0.25">
      <c r="A124" s="1653"/>
      <c r="B124" s="1667"/>
      <c r="C124" s="1654"/>
      <c r="D124" s="1844"/>
      <c r="E124" s="1540">
        <f t="shared" si="14"/>
        <v>0</v>
      </c>
      <c r="F124" s="1936">
        <f t="shared" si="5"/>
        <v>0</v>
      </c>
      <c r="G124" s="1793">
        <f t="shared" si="15"/>
        <v>0</v>
      </c>
    </row>
    <row r="125" spans="1:7" x14ac:dyDescent="0.25">
      <c r="A125" s="1653"/>
      <c r="B125" s="1667"/>
      <c r="C125" s="1654"/>
      <c r="D125" s="1844"/>
      <c r="E125" s="1540">
        <f t="shared" si="14"/>
        <v>0</v>
      </c>
      <c r="F125" s="1936">
        <f t="shared" si="5"/>
        <v>0</v>
      </c>
      <c r="G125" s="1793">
        <f t="shared" si="15"/>
        <v>0</v>
      </c>
    </row>
    <row r="126" spans="1:7" x14ac:dyDescent="0.25">
      <c r="A126" s="1653"/>
      <c r="B126" s="1667"/>
      <c r="C126" s="1654"/>
      <c r="D126" s="1844"/>
      <c r="E126" s="1540">
        <f t="shared" si="14"/>
        <v>0</v>
      </c>
      <c r="F126" s="1936">
        <f t="shared" si="5"/>
        <v>0</v>
      </c>
      <c r="G126" s="1793">
        <f t="shared" si="15"/>
        <v>0</v>
      </c>
    </row>
    <row r="127" spans="1:7" x14ac:dyDescent="0.25">
      <c r="A127" s="1653"/>
      <c r="B127" s="1667"/>
      <c r="C127" s="1654"/>
      <c r="D127" s="1844"/>
      <c r="E127" s="1540">
        <f t="shared" ref="E127:E135" si="16">IF(D127&lt;=25000,D127,IF(D127&gt;25000,25000,0))</f>
        <v>0</v>
      </c>
      <c r="F127" s="1936">
        <f t="shared" si="5"/>
        <v>0</v>
      </c>
      <c r="G127" s="1793">
        <f t="shared" ref="G127:G135" si="17">IF(F127=0,0,D127-F127)</f>
        <v>0</v>
      </c>
    </row>
    <row r="128" spans="1:7" x14ac:dyDescent="0.25">
      <c r="A128" s="1653"/>
      <c r="B128" s="1667"/>
      <c r="C128" s="1654"/>
      <c r="D128" s="1844"/>
      <c r="E128" s="1540">
        <f t="shared" si="16"/>
        <v>0</v>
      </c>
      <c r="F128" s="1936">
        <f t="shared" si="5"/>
        <v>0</v>
      </c>
      <c r="G128" s="1793">
        <f t="shared" si="17"/>
        <v>0</v>
      </c>
    </row>
    <row r="129" spans="1:7" x14ac:dyDescent="0.25">
      <c r="A129" s="1653"/>
      <c r="B129" s="1667"/>
      <c r="C129" s="1654"/>
      <c r="D129" s="1844"/>
      <c r="E129" s="1540">
        <f t="shared" si="16"/>
        <v>0</v>
      </c>
      <c r="F129" s="1936">
        <f t="shared" si="5"/>
        <v>0</v>
      </c>
      <c r="G129" s="1793">
        <f t="shared" si="17"/>
        <v>0</v>
      </c>
    </row>
    <row r="130" spans="1:7" x14ac:dyDescent="0.25">
      <c r="A130" s="1653"/>
      <c r="B130" s="1667"/>
      <c r="C130" s="1654"/>
      <c r="D130" s="1844"/>
      <c r="E130" s="1540">
        <f t="shared" si="16"/>
        <v>0</v>
      </c>
      <c r="F130" s="1936">
        <f t="shared" si="5"/>
        <v>0</v>
      </c>
      <c r="G130" s="1793">
        <f t="shared" si="17"/>
        <v>0</v>
      </c>
    </row>
    <row r="131" spans="1:7" x14ac:dyDescent="0.25">
      <c r="A131" s="1653"/>
      <c r="B131" s="1667"/>
      <c r="C131" s="1654"/>
      <c r="D131" s="1844"/>
      <c r="E131" s="1540">
        <f t="shared" si="16"/>
        <v>0</v>
      </c>
      <c r="F131" s="1936">
        <f t="shared" si="5"/>
        <v>0</v>
      </c>
      <c r="G131" s="1793">
        <f t="shared" si="17"/>
        <v>0</v>
      </c>
    </row>
    <row r="132" spans="1:7" x14ac:dyDescent="0.25">
      <c r="A132" s="1653"/>
      <c r="B132" s="1837"/>
      <c r="C132" s="1654"/>
      <c r="D132" s="1844"/>
      <c r="E132" s="1540">
        <f t="shared" si="16"/>
        <v>0</v>
      </c>
      <c r="F132" s="1936">
        <f t="shared" si="5"/>
        <v>0</v>
      </c>
      <c r="G132" s="1793">
        <f t="shared" si="17"/>
        <v>0</v>
      </c>
    </row>
    <row r="133" spans="1:7" x14ac:dyDescent="0.25">
      <c r="A133" s="1653"/>
      <c r="B133" s="1837"/>
      <c r="C133" s="1654"/>
      <c r="D133" s="1844"/>
      <c r="E133" s="1540">
        <f t="shared" si="16"/>
        <v>0</v>
      </c>
      <c r="F133" s="1936">
        <f t="shared" si="5"/>
        <v>0</v>
      </c>
      <c r="G133" s="1793">
        <f t="shared" si="17"/>
        <v>0</v>
      </c>
    </row>
    <row r="134" spans="1:7" x14ac:dyDescent="0.25">
      <c r="A134" s="1653"/>
      <c r="B134" s="1667"/>
      <c r="C134" s="1654"/>
      <c r="D134" s="1844"/>
      <c r="E134" s="1540">
        <f t="shared" si="16"/>
        <v>0</v>
      </c>
      <c r="F134" s="1936">
        <f t="shared" si="5"/>
        <v>0</v>
      </c>
      <c r="G134" s="1793">
        <f t="shared" si="17"/>
        <v>0</v>
      </c>
    </row>
    <row r="135" spans="1:7" x14ac:dyDescent="0.25">
      <c r="A135" s="1653"/>
      <c r="B135" s="1667"/>
      <c r="C135" s="1654"/>
      <c r="D135" s="1844"/>
      <c r="E135" s="1540">
        <f t="shared" si="16"/>
        <v>0</v>
      </c>
      <c r="F135" s="1936">
        <f t="shared" si="5"/>
        <v>0</v>
      </c>
      <c r="G135" s="1793">
        <f t="shared" si="17"/>
        <v>0</v>
      </c>
    </row>
    <row r="136" spans="1:7" x14ac:dyDescent="0.25">
      <c r="A136" s="1653"/>
      <c r="B136" s="1667"/>
      <c r="C136" s="1654"/>
      <c r="D136" s="1844"/>
      <c r="E136" s="1540">
        <f t="shared" ref="E136:E140" si="18">IF(D136&lt;=25000,D136,IF(D136&gt;25000,25000,0))</f>
        <v>0</v>
      </c>
      <c r="F136" s="1936">
        <f t="shared" si="5"/>
        <v>0</v>
      </c>
      <c r="G136" s="1793">
        <f t="shared" ref="G136:G140" si="19">IF(F136=0,0,D136-F136)</f>
        <v>0</v>
      </c>
    </row>
    <row r="137" spans="1:7" x14ac:dyDescent="0.25">
      <c r="A137" s="1653"/>
      <c r="B137" s="1667"/>
      <c r="C137" s="1654"/>
      <c r="D137" s="1844"/>
      <c r="E137" s="1540">
        <f t="shared" si="18"/>
        <v>0</v>
      </c>
      <c r="F137" s="1936">
        <f t="shared" si="5"/>
        <v>0</v>
      </c>
      <c r="G137" s="1793">
        <f t="shared" si="19"/>
        <v>0</v>
      </c>
    </row>
    <row r="138" spans="1:7" x14ac:dyDescent="0.25">
      <c r="A138" s="1653"/>
      <c r="B138" s="1667"/>
      <c r="C138" s="1654"/>
      <c r="D138" s="1844"/>
      <c r="E138" s="1540">
        <f t="shared" si="18"/>
        <v>0</v>
      </c>
      <c r="F138" s="1936">
        <f t="shared" si="5"/>
        <v>0</v>
      </c>
      <c r="G138" s="1793">
        <f t="shared" si="19"/>
        <v>0</v>
      </c>
    </row>
    <row r="139" spans="1:7" x14ac:dyDescent="0.25">
      <c r="A139" s="1653"/>
      <c r="B139" s="1667"/>
      <c r="C139" s="1654"/>
      <c r="D139" s="1844"/>
      <c r="E139" s="1540">
        <f t="shared" si="18"/>
        <v>0</v>
      </c>
      <c r="F139" s="1936">
        <f t="shared" si="5"/>
        <v>0</v>
      </c>
      <c r="G139" s="1793">
        <f t="shared" si="19"/>
        <v>0</v>
      </c>
    </row>
    <row r="140" spans="1:7" x14ac:dyDescent="0.25">
      <c r="A140" s="1653"/>
      <c r="B140" s="1667"/>
      <c r="C140" s="1654"/>
      <c r="D140" s="1844"/>
      <c r="E140" s="1540">
        <f t="shared" si="18"/>
        <v>0</v>
      </c>
      <c r="F140" s="1936">
        <f t="shared" si="5"/>
        <v>0</v>
      </c>
      <c r="G140" s="1793">
        <f t="shared" si="19"/>
        <v>0</v>
      </c>
    </row>
    <row r="141" spans="1:7" x14ac:dyDescent="0.25">
      <c r="A141" s="1653"/>
      <c r="B141" s="1666"/>
      <c r="C141" s="1654"/>
      <c r="D141" s="1844"/>
      <c r="E141" s="1540">
        <f t="shared" si="0"/>
        <v>0</v>
      </c>
      <c r="F141" s="1936">
        <f t="shared" si="5"/>
        <v>0</v>
      </c>
      <c r="G141" s="1793">
        <f t="shared" si="2"/>
        <v>0</v>
      </c>
    </row>
    <row r="142" spans="1:7" x14ac:dyDescent="0.25">
      <c r="A142" s="1796" t="s">
        <v>156</v>
      </c>
      <c r="B142" s="1797"/>
      <c r="C142" s="1798"/>
      <c r="D142" s="1794">
        <f>SUM(D18:D141)</f>
        <v>180251.25</v>
      </c>
      <c r="E142" s="1541">
        <f t="shared" ref="E142" si="20">IF(D142&lt;=25000,D142,IF(D142&gt;25000,25000,0))</f>
        <v>25000</v>
      </c>
      <c r="F142" s="1932">
        <f>SUM(F18:F141)</f>
        <v>140251.25</v>
      </c>
      <c r="G142" s="1795">
        <f>SUM(G18:G141)</f>
        <v>40000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B33" sqref="B3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5" t="s">
        <v>1679</v>
      </c>
      <c r="B5" s="2296"/>
      <c r="C5" s="2296"/>
      <c r="D5" s="2296"/>
      <c r="E5" s="2296"/>
      <c r="F5" s="2296"/>
      <c r="G5" s="229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v>5470</v>
      </c>
      <c r="F8" s="974"/>
      <c r="G8" s="975"/>
      <c r="H8" s="162"/>
      <c r="I8" s="162"/>
    </row>
    <row r="9" spans="1:9" s="668" customFormat="1" ht="12" customHeight="1" x14ac:dyDescent="0.2">
      <c r="A9" s="970" t="s">
        <v>130</v>
      </c>
      <c r="B9" s="971"/>
      <c r="C9" s="971"/>
      <c r="D9" s="972"/>
      <c r="E9" s="973">
        <v>342072</v>
      </c>
      <c r="F9" s="974"/>
      <c r="G9" s="975"/>
      <c r="H9" s="162"/>
      <c r="I9" s="162"/>
    </row>
    <row r="10" spans="1:9" s="668" customFormat="1" ht="12" customHeight="1" x14ac:dyDescent="0.2">
      <c r="A10" s="970" t="s">
        <v>1928</v>
      </c>
      <c r="B10" s="971"/>
      <c r="C10" s="976"/>
      <c r="D10" s="972"/>
      <c r="E10" s="973"/>
      <c r="F10" s="974"/>
      <c r="G10" s="975"/>
      <c r="H10" s="162"/>
      <c r="I10" s="162"/>
    </row>
    <row r="11" spans="1:9" s="668" customFormat="1" ht="22.5" customHeight="1" x14ac:dyDescent="0.2">
      <c r="A11" s="2300" t="s">
        <v>1971</v>
      </c>
      <c r="B11" s="2301"/>
      <c r="C11" s="2301"/>
      <c r="D11" s="2302"/>
      <c r="E11" s="977"/>
      <c r="F11" s="974"/>
      <c r="G11" s="978"/>
      <c r="H11" s="162"/>
      <c r="I11" s="162"/>
    </row>
    <row r="12" spans="1:9" s="668" customFormat="1" ht="12" customHeight="1" x14ac:dyDescent="0.2">
      <c r="A12" s="970" t="s">
        <v>131</v>
      </c>
      <c r="B12" s="971"/>
      <c r="C12" s="971"/>
      <c r="D12" s="972"/>
      <c r="E12" s="973">
        <v>2263</v>
      </c>
      <c r="F12" s="974"/>
      <c r="G12" s="975"/>
      <c r="H12" s="162"/>
      <c r="I12" s="162"/>
    </row>
    <row r="13" spans="1:9" s="668" customFormat="1" ht="12" customHeight="1" x14ac:dyDescent="0.2">
      <c r="A13" s="970" t="s">
        <v>203</v>
      </c>
      <c r="B13" s="971"/>
      <c r="C13" s="971"/>
      <c r="D13" s="972"/>
      <c r="E13" s="973">
        <v>1215</v>
      </c>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2552431</v>
      </c>
      <c r="F19" s="1799"/>
      <c r="G19" s="1801">
        <f>'Expenditures 15-22'!K33-SUM('Expenditures 15-22'!G33,'Expenditures 15-22'!I33)+'Expenditures 15-22'!D229</f>
        <v>2552431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1866051</v>
      </c>
      <c r="F21" s="1802"/>
      <c r="G21" s="1805">
        <f>'Expenditures 15-22'!K42-SUM('Expenditures 15-22'!G42,'Expenditures 15-22'!I42)+'Expenditures 15-22'!K120-SUM('Expenditures 15-22'!G120,'Expenditures 15-22'!I120)+'Expenditures 15-22'!K180-SUM('Expenditures 15-22'!G180,'Expenditures 15-22'!I180)+'Expenditures 15-22'!D238</f>
        <v>1866051</v>
      </c>
      <c r="H21" s="987"/>
      <c r="I21" s="162"/>
    </row>
    <row r="22" spans="1:9" s="668" customFormat="1" ht="12" customHeight="1" x14ac:dyDescent="0.2">
      <c r="A22" s="994" t="s">
        <v>564</v>
      </c>
      <c r="B22" s="995"/>
      <c r="C22" s="993">
        <v>2200</v>
      </c>
      <c r="D22" s="1802"/>
      <c r="E22" s="1804">
        <f>'Expenditures 15-22'!K47-SUM('Expenditures 15-22'!G47,'Expenditures 15-22'!I47)+'Expenditures 15-22'!D243</f>
        <v>201533</v>
      </c>
      <c r="F22" s="1802"/>
      <c r="G22" s="1805">
        <f>'Expenditures 15-22'!K47-SUM('Expenditures 15-22'!G47,'Expenditures 15-22'!I47)+'Expenditures 15-22'!D243</f>
        <v>201533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1017638</v>
      </c>
      <c r="F23" s="1802"/>
      <c r="G23" s="1804">
        <f>'Expenditures 15-22'!K53-SUM('Expenditures 15-22'!G53,'Expenditures 15-22'!I53)+'Expenditures 15-22'!D257+'Expenditures 15-22'!K330-SUM('Expenditures 15-22'!G330,'Expenditures 15-22'!I330)</f>
        <v>1017638</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5470</v>
      </c>
      <c r="F27" s="1804">
        <f>'Expenditures 15-22'!K60-SUM('Expenditures 15-22'!G60,'Expenditures 15-22'!I60)+'Expenditures 15-22'!D264-E8</f>
        <v>0</v>
      </c>
      <c r="G27" s="1805">
        <f>E8</f>
        <v>5470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251955</v>
      </c>
      <c r="F28" s="1806">
        <f>'Expenditures 15-22'!K61-SUM('Expenditures 15-22'!G61,'Expenditures 15-22'!I61)+'Expenditures 15-22'!K124-SUM('Expenditures 15-22'!G124,'Expenditures 15-22'!I124)+'Expenditures 15-22'!D266-E9</f>
        <v>-90117</v>
      </c>
      <c r="G28" s="1805">
        <f>E9</f>
        <v>342072</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12644</v>
      </c>
      <c r="F29" s="1802"/>
      <c r="G29" s="1805">
        <f>'Expenditures 15-22'!K62-SUM('Expenditures 15-22'!G62,'Expenditures 15-22'!I62)+'Expenditures 15-22'!K125-SUM('Expenditures 15-22'!G125,'Expenditures 15-22'!I125)+'Expenditures 15-22'!K182-SUM('Expenditures 15-22'!G182,'Expenditures 15-22'!I182)+'Expenditures 15-22'!D267</f>
        <v>12644</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2263</v>
      </c>
      <c r="F31" s="1804">
        <f>'Expenditures 15-22'!K64-SUM('Expenditures 15-22'!G64,'Expenditures 15-22'!I64)+'Expenditures 15-22'!D269-E12</f>
        <v>0</v>
      </c>
      <c r="G31" s="1804">
        <f>E12</f>
        <v>2263</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1215</v>
      </c>
      <c r="F36" s="1804">
        <f>'Expenditures 15-22'!K70-SUM('Expenditures 15-22'!G70,'Expenditures 15-22'!I70)+'Expenditures 15-22'!D275-E13</f>
        <v>0</v>
      </c>
      <c r="G36" s="1804">
        <f>E13</f>
        <v>1215</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34857</v>
      </c>
      <c r="F38" s="1802"/>
      <c r="G38" s="1804">
        <f>'Expenditures 15-22'!K73-SUM('Expenditures 15-22'!G73,'Expenditures 15-22'!I73)+'Expenditures 15-22'!K128-SUM('Expenditures 15-22'!G128,'Expenditures 15-22'!I128)+'Expenditures 15-22'!K183-SUM('Expenditures 15-22'!G183,'Expenditures 15-22'!I183)+'Expenditures 15-22'!D278</f>
        <v>34857</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1819</v>
      </c>
      <c r="B40" s="991"/>
      <c r="C40" s="993"/>
      <c r="D40" s="1802"/>
      <c r="E40" s="1806">
        <f>-'Contracts Paid in CY 29'!G142</f>
        <v>-40000</v>
      </c>
      <c r="F40" s="1802"/>
      <c r="G40" s="1806">
        <f>-'Contracts Paid in CY 29'!G142</f>
        <v>-40000</v>
      </c>
    </row>
    <row r="41" spans="1:7" ht="12" customHeight="1" x14ac:dyDescent="0.2">
      <c r="A41" s="998" t="s">
        <v>156</v>
      </c>
      <c r="B41" s="999"/>
      <c r="C41" s="1000"/>
      <c r="D41" s="1806">
        <f>SUM(D19:D39)</f>
        <v>0</v>
      </c>
      <c r="E41" s="1806">
        <f>SUM(E19:E40)</f>
        <v>5906057</v>
      </c>
      <c r="F41" s="1806">
        <f>SUM(F19:F39)</f>
        <v>-90117</v>
      </c>
      <c r="G41" s="1806">
        <f>SUM(G19:G40)</f>
        <v>5996174</v>
      </c>
    </row>
    <row r="42" spans="1:7" x14ac:dyDescent="0.2">
      <c r="A42" s="987"/>
      <c r="B42" s="162"/>
      <c r="C42" s="1001"/>
      <c r="D42" s="2298" t="s">
        <v>522</v>
      </c>
      <c r="E42" s="2299"/>
      <c r="F42" s="1002" t="s">
        <v>523</v>
      </c>
      <c r="G42" s="1003"/>
    </row>
    <row r="43" spans="1:7" ht="12" customHeight="1" x14ac:dyDescent="0.2">
      <c r="A43" s="987"/>
      <c r="B43" s="162"/>
      <c r="C43" s="1001"/>
      <c r="D43" s="1807" t="s">
        <v>473</v>
      </c>
      <c r="E43" s="1808">
        <f>D41</f>
        <v>0</v>
      </c>
      <c r="F43" s="1807" t="s">
        <v>473</v>
      </c>
      <c r="G43" s="1808">
        <f>F41</f>
        <v>-90117</v>
      </c>
    </row>
    <row r="44" spans="1:7" ht="12" customHeight="1" x14ac:dyDescent="0.2">
      <c r="A44" s="987"/>
      <c r="B44" s="162"/>
      <c r="C44" s="1001"/>
      <c r="D44" s="1807" t="s">
        <v>474</v>
      </c>
      <c r="E44" s="1808">
        <f>E41</f>
        <v>5906057</v>
      </c>
      <c r="F44" s="1807" t="s">
        <v>474</v>
      </c>
      <c r="G44" s="1808">
        <f>G41</f>
        <v>5996174</v>
      </c>
    </row>
    <row r="45" spans="1:7" ht="12" customHeight="1" x14ac:dyDescent="0.2">
      <c r="A45" s="987"/>
      <c r="B45" s="162"/>
      <c r="C45" s="162"/>
      <c r="D45" s="1809" t="s">
        <v>1006</v>
      </c>
      <c r="E45" s="1810">
        <f>(E43/E44)</f>
        <v>0</v>
      </c>
      <c r="F45" s="1809" t="s">
        <v>1006</v>
      </c>
      <c r="G45" s="1810">
        <f>(G43/G44)</f>
        <v>-1.5029083545607582E-2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F29" sqref="F2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7" t="s">
        <v>1379</v>
      </c>
      <c r="B1" s="2317"/>
      <c r="C1" s="2317"/>
      <c r="D1" s="2317"/>
      <c r="E1" s="2317"/>
      <c r="F1" s="2317"/>
    </row>
    <row r="2" spans="1:10" x14ac:dyDescent="0.2">
      <c r="A2" s="1887" t="s">
        <v>1907</v>
      </c>
      <c r="B2" s="1848"/>
      <c r="C2" s="1887"/>
      <c r="D2" s="1848"/>
      <c r="E2" s="1848"/>
      <c r="F2" s="1849"/>
    </row>
    <row r="3" spans="1:10" x14ac:dyDescent="0.2">
      <c r="A3" s="1887" t="s">
        <v>1972</v>
      </c>
      <c r="B3" s="1848"/>
      <c r="C3" s="1887"/>
      <c r="D3" s="1848"/>
      <c r="E3" s="1848"/>
      <c r="F3" s="1849"/>
    </row>
    <row r="4" spans="1:10" ht="3.75" customHeight="1" x14ac:dyDescent="0.2">
      <c r="A4" s="1848"/>
      <c r="B4" s="1848"/>
      <c r="C4" s="1848"/>
      <c r="D4" s="1848"/>
      <c r="E4" s="1848"/>
      <c r="F4" s="1849"/>
    </row>
    <row r="5" spans="1:10" ht="15" x14ac:dyDescent="0.25">
      <c r="A5" s="2318" t="s">
        <v>1546</v>
      </c>
      <c r="B5" s="2319"/>
      <c r="C5" s="2320"/>
      <c r="D5" s="2320"/>
      <c r="E5" s="2320"/>
      <c r="F5" s="2320"/>
    </row>
    <row r="6" spans="1:10" ht="12" customHeight="1" x14ac:dyDescent="0.25">
      <c r="A6" s="1850"/>
      <c r="B6" s="1851"/>
      <c r="C6" s="2321" t="str">
        <f>COVER!A17</f>
        <v xml:space="preserve">South Eastern Sp Ed Program </v>
      </c>
      <c r="D6" s="2321"/>
      <c r="E6" s="2321"/>
      <c r="F6" s="1852"/>
    </row>
    <row r="7" spans="1:10" ht="11.25" customHeight="1" thickBot="1" x14ac:dyDescent="0.3">
      <c r="A7" s="1850"/>
      <c r="B7" s="1851"/>
      <c r="C7" s="2322">
        <f>COVER!A13</f>
        <v>12017801060</v>
      </c>
      <c r="D7" s="2322"/>
      <c r="E7" s="2322"/>
      <c r="F7" s="1852"/>
    </row>
    <row r="8" spans="1:10" ht="25.5" customHeight="1" thickBot="1" x14ac:dyDescent="0.25">
      <c r="A8" s="1893" t="s">
        <v>1903</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2061</v>
      </c>
      <c r="D14" s="1865" t="s">
        <v>2061</v>
      </c>
      <c r="E14" s="1868" t="s">
        <v>2061</v>
      </c>
      <c r="F14" s="1867" t="s">
        <v>2079</v>
      </c>
      <c r="H14" s="1878">
        <f t="shared" si="0"/>
        <v>5</v>
      </c>
      <c r="I14" s="1878">
        <f t="shared" si="1"/>
        <v>5</v>
      </c>
      <c r="J14" s="1878">
        <f t="shared" si="2"/>
        <v>5</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2061</v>
      </c>
      <c r="D19" s="1865" t="s">
        <v>2061</v>
      </c>
      <c r="E19" s="1868" t="s">
        <v>2061</v>
      </c>
      <c r="F19" s="1867" t="s">
        <v>2080</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2061</v>
      </c>
      <c r="D24" s="1865" t="s">
        <v>2061</v>
      </c>
      <c r="E24" s="1868" t="s">
        <v>2061</v>
      </c>
      <c r="F24" s="1867" t="s">
        <v>2081</v>
      </c>
      <c r="H24" s="1878">
        <f t="shared" si="0"/>
        <v>5</v>
      </c>
      <c r="I24" s="1878">
        <f t="shared" si="1"/>
        <v>5</v>
      </c>
      <c r="J24" s="1878">
        <f t="shared" si="2"/>
        <v>5</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2061</v>
      </c>
      <c r="D26" s="1865" t="s">
        <v>2061</v>
      </c>
      <c r="E26" s="1868" t="s">
        <v>2061</v>
      </c>
      <c r="F26" s="1867" t="s">
        <v>2081</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20</v>
      </c>
      <c r="K34" s="1878">
        <f>SUM(H34:J34)</f>
        <v>60</v>
      </c>
    </row>
    <row r="35" spans="1:11" ht="12" customHeight="1" x14ac:dyDescent="0.2">
      <c r="A35" s="1871" t="s">
        <v>1392</v>
      </c>
      <c r="B35" s="1872"/>
      <c r="C35" s="2323"/>
      <c r="D35" s="2323"/>
      <c r="E35" s="2323"/>
      <c r="F35" s="2324"/>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09"/>
      <c r="B38" s="2310"/>
      <c r="C38" s="2310"/>
      <c r="D38" s="2310"/>
      <c r="E38" s="2310"/>
      <c r="F38" s="2311"/>
    </row>
    <row r="39" spans="1:11" ht="4.5" hidden="1" customHeight="1" x14ac:dyDescent="0.2">
      <c r="A39" s="1873"/>
      <c r="B39" s="1873"/>
      <c r="C39" s="1873"/>
      <c r="D39" s="1873"/>
      <c r="E39" s="1873"/>
      <c r="F39" s="1873"/>
    </row>
    <row r="40" spans="1:11" s="1870" customFormat="1" ht="12" customHeight="1" x14ac:dyDescent="0.25">
      <c r="A40" s="1874" t="s">
        <v>1391</v>
      </c>
      <c r="B40" s="1875"/>
      <c r="C40" s="2312"/>
      <c r="D40" s="2312"/>
      <c r="E40" s="2312"/>
      <c r="F40" s="2313"/>
      <c r="H40" s="1879"/>
      <c r="I40" s="1879"/>
      <c r="J40" s="1879"/>
      <c r="K40" s="1879"/>
    </row>
    <row r="41" spans="1:11" s="1870" customFormat="1" ht="12" customHeight="1" x14ac:dyDescent="0.25">
      <c r="A41" s="2314"/>
      <c r="B41" s="2315"/>
      <c r="C41" s="2315"/>
      <c r="D41" s="2315"/>
      <c r="E41" s="2315"/>
      <c r="F41" s="2316"/>
      <c r="H41" s="1879"/>
      <c r="I41" s="1879"/>
      <c r="J41" s="1879"/>
      <c r="K41" s="1879"/>
    </row>
    <row r="42" spans="1:11" s="1870" customFormat="1" ht="12" customHeight="1" x14ac:dyDescent="0.25">
      <c r="A42" s="2314"/>
      <c r="B42" s="2315"/>
      <c r="C42" s="2315"/>
      <c r="D42" s="2315"/>
      <c r="E42" s="2315"/>
      <c r="F42" s="2316"/>
      <c r="H42" s="1879"/>
      <c r="I42" s="1879"/>
      <c r="J42" s="1879"/>
      <c r="K42" s="1879"/>
    </row>
    <row r="43" spans="1:11" s="1870" customFormat="1" ht="15" x14ac:dyDescent="0.25">
      <c r="A43" s="2303"/>
      <c r="B43" s="2304"/>
      <c r="C43" s="2304"/>
      <c r="D43" s="2304"/>
      <c r="E43" s="2304"/>
      <c r="F43" s="2305"/>
      <c r="H43" s="1879"/>
      <c r="I43" s="1879"/>
      <c r="J43" s="1879"/>
      <c r="K43" s="1879"/>
    </row>
    <row r="44" spans="1:11" s="1870" customFormat="1" ht="12" hidden="1" customHeight="1" x14ac:dyDescent="0.25">
      <c r="A44" s="2303"/>
      <c r="B44" s="2304"/>
      <c r="C44" s="2304"/>
      <c r="D44" s="2304"/>
      <c r="E44" s="2304"/>
      <c r="F44" s="230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7" colorId="8" zoomScale="110" zoomScaleNormal="110" workbookViewId="0">
      <selection activeCell="C32" sqref="C3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30" t="str">
        <f>COVER!A17</f>
        <v xml:space="preserve">South Eastern Sp Ed Program </v>
      </c>
      <c r="J6" s="2331"/>
      <c r="Q6" s="1664"/>
    </row>
    <row r="7" spans="1:17" x14ac:dyDescent="0.2">
      <c r="A7" s="2332" t="s">
        <v>869</v>
      </c>
      <c r="B7" s="2333"/>
      <c r="C7" s="2333"/>
      <c r="D7" s="2333"/>
      <c r="E7" s="2334"/>
      <c r="F7" s="1017"/>
      <c r="G7" s="1009"/>
      <c r="H7" s="1016" t="s">
        <v>372</v>
      </c>
      <c r="I7" s="2335">
        <f>COVER!A13</f>
        <v>12017801060</v>
      </c>
      <c r="J7" s="233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1973</v>
      </c>
      <c r="F9" s="1023"/>
      <c r="G9" s="1023"/>
      <c r="H9" s="1896" t="s">
        <v>1974</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6" t="s">
        <v>481</v>
      </c>
      <c r="B11" s="2337"/>
      <c r="C11" s="233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182821</v>
      </c>
      <c r="F12" s="1039"/>
      <c r="G12" s="1811">
        <f t="shared" ref="G12:G18" si="0">SUM(E12:F12)</f>
        <v>182821</v>
      </c>
      <c r="H12" s="1040">
        <v>189749</v>
      </c>
      <c r="I12" s="1039"/>
      <c r="J12" s="1811">
        <f t="shared" ref="J12:J18" si="1">SUM(H12:I12)</f>
        <v>189749</v>
      </c>
    </row>
    <row r="13" spans="1:17" ht="15" customHeight="1" x14ac:dyDescent="0.2">
      <c r="A13" s="1035">
        <v>2</v>
      </c>
      <c r="B13" s="1036" t="s">
        <v>42</v>
      </c>
      <c r="C13" s="1037"/>
      <c r="D13" s="1038">
        <v>2330</v>
      </c>
      <c r="E13" s="1811">
        <f>'Expenditures 15-22'!K51</f>
        <v>834817</v>
      </c>
      <c r="F13" s="1039"/>
      <c r="G13" s="1811">
        <f t="shared" si="0"/>
        <v>834817</v>
      </c>
      <c r="H13" s="1040">
        <f>648855+293194</f>
        <v>942049</v>
      </c>
      <c r="I13" s="1039"/>
      <c r="J13" s="1811">
        <f t="shared" si="1"/>
        <v>942049</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2263</v>
      </c>
      <c r="F16" s="1039"/>
      <c r="G16" s="1811">
        <f t="shared" si="0"/>
        <v>2263</v>
      </c>
      <c r="H16" s="1040">
        <v>1000</v>
      </c>
      <c r="I16" s="1039"/>
      <c r="J16" s="1811">
        <f t="shared" si="1"/>
        <v>1000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9" t="s">
        <v>7</v>
      </c>
      <c r="C18" s="2340"/>
      <c r="D18" s="234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1019901</v>
      </c>
      <c r="F19" s="1813">
        <f t="shared" si="2"/>
        <v>0</v>
      </c>
      <c r="G19" s="1813">
        <f t="shared" si="2"/>
        <v>1019901</v>
      </c>
      <c r="H19" s="1813">
        <f t="shared" si="2"/>
        <v>1132798</v>
      </c>
      <c r="I19" s="1813">
        <f t="shared" si="2"/>
        <v>0</v>
      </c>
      <c r="J19" s="1813">
        <f t="shared" si="2"/>
        <v>1132798</v>
      </c>
    </row>
    <row r="20" spans="1:10" ht="13.5" thickTop="1" x14ac:dyDescent="0.2">
      <c r="A20" s="1035">
        <v>9</v>
      </c>
      <c r="B20" s="2342" t="s">
        <v>1975</v>
      </c>
      <c r="C20" s="2342"/>
      <c r="D20" s="2343"/>
      <c r="E20" s="1046"/>
      <c r="F20" s="1046"/>
      <c r="G20" s="1046"/>
      <c r="H20" s="1046"/>
      <c r="I20" s="1046"/>
      <c r="J20" s="1814">
        <f>IF(AND(G19&gt;0,J19&gt;0),(((J19-G19)/G19)),"Enter Budget Data")</f>
        <v>0.11069407717023515</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348"/>
      <c r="D26" s="2348"/>
      <c r="E26" s="1050"/>
      <c r="F26" s="2347"/>
      <c r="G26" s="2347"/>
    </row>
    <row r="27" spans="1:10" x14ac:dyDescent="0.2">
      <c r="B27" s="1047"/>
      <c r="C27" s="1051" t="s">
        <v>1033</v>
      </c>
      <c r="D27" s="1052"/>
      <c r="E27" s="1053"/>
      <c r="F27" s="2344" t="s">
        <v>1509</v>
      </c>
      <c r="G27" s="2344"/>
    </row>
    <row r="28" spans="1:10" ht="28.5" customHeight="1" x14ac:dyDescent="0.2">
      <c r="B28" s="1047"/>
      <c r="C28" s="2346" t="s">
        <v>2066</v>
      </c>
      <c r="D28" s="2346"/>
      <c r="E28" s="1054"/>
      <c r="F28" s="2346" t="s">
        <v>2067</v>
      </c>
      <c r="G28" s="2346"/>
    </row>
    <row r="29" spans="1:10" x14ac:dyDescent="0.2">
      <c r="B29" s="1047"/>
      <c r="C29" s="1055" t="s">
        <v>1561</v>
      </c>
      <c r="E29" s="1056"/>
      <c r="F29" s="2345" t="s">
        <v>1510</v>
      </c>
      <c r="G29" s="234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7" t="s">
        <v>132</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2"/>
    </row>
    <row r="36" spans="1:10" ht="13.5" customHeight="1" x14ac:dyDescent="0.2">
      <c r="B36" s="1061" t="s">
        <v>2061</v>
      </c>
      <c r="C36" s="2329" t="s">
        <v>1977</v>
      </c>
      <c r="D36" s="2328"/>
      <c r="E36" s="2328"/>
      <c r="F36" s="2328"/>
      <c r="G36" s="2328"/>
      <c r="H36" s="2328"/>
      <c r="I36" s="2328"/>
      <c r="J36" s="1063"/>
    </row>
    <row r="37" spans="1:10" ht="22.5" customHeight="1" x14ac:dyDescent="0.2">
      <c r="C37" s="2328"/>
      <c r="D37" s="2328"/>
      <c r="E37" s="2328"/>
      <c r="F37" s="2328"/>
      <c r="G37" s="2328"/>
      <c r="H37" s="2328"/>
      <c r="I37" s="2328"/>
      <c r="J37" s="1063"/>
    </row>
    <row r="38" spans="1:10" ht="7.5" customHeight="1" x14ac:dyDescent="0.2">
      <c r="C38" s="1062"/>
      <c r="D38" s="1064"/>
      <c r="E38" s="1065"/>
      <c r="F38" s="1066"/>
      <c r="G38" s="1065"/>
    </row>
    <row r="39" spans="1:10" ht="13.5" customHeight="1" x14ac:dyDescent="0.2">
      <c r="B39" s="1061"/>
      <c r="C39" s="2325" t="s">
        <v>882</v>
      </c>
      <c r="D39" s="2326"/>
      <c r="E39" s="2326"/>
      <c r="F39" s="2326"/>
      <c r="G39" s="2326"/>
      <c r="H39" s="2326"/>
      <c r="I39" s="232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2082</v>
      </c>
    </row>
    <row r="6" spans="1:2" x14ac:dyDescent="0.2">
      <c r="A6" s="1068">
        <v>2</v>
      </c>
      <c r="B6" s="329" t="s">
        <v>2083</v>
      </c>
    </row>
    <row r="7" spans="1:2" x14ac:dyDescent="0.2">
      <c r="A7" s="1068">
        <v>3</v>
      </c>
      <c r="B7" s="329" t="s">
        <v>2142</v>
      </c>
    </row>
    <row r="8" spans="1:2" x14ac:dyDescent="0.2">
      <c r="A8" s="1068">
        <v>4</v>
      </c>
      <c r="B8" s="329" t="s">
        <v>2143</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 xml:space="preserve">South Eastern Sp Ed Program </v>
      </c>
    </row>
    <row r="65" spans="2:2" x14ac:dyDescent="0.2">
      <c r="B65" s="1070">
        <f>COVER!A13</f>
        <v>12017801060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F41" sqref="F4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1854</v>
      </c>
      <c r="C4" s="162" t="s">
        <v>1169</v>
      </c>
      <c r="D4" s="169" t="s">
        <v>10</v>
      </c>
      <c r="E4" s="170" t="s">
        <v>22</v>
      </c>
    </row>
    <row r="5" spans="1:5" x14ac:dyDescent="0.2">
      <c r="A5" s="168" t="s">
        <v>1856</v>
      </c>
      <c r="C5" s="162" t="s">
        <v>1169</v>
      </c>
      <c r="D5" s="169" t="s">
        <v>10</v>
      </c>
      <c r="E5" s="170" t="s">
        <v>22</v>
      </c>
    </row>
    <row r="6" spans="1:5" x14ac:dyDescent="0.2">
      <c r="A6" s="168" t="s">
        <v>1855</v>
      </c>
      <c r="C6" s="162" t="s">
        <v>1169</v>
      </c>
      <c r="D6" s="167" t="s">
        <v>11</v>
      </c>
      <c r="E6" s="170" t="s">
        <v>941</v>
      </c>
    </row>
    <row r="7" spans="1:5" x14ac:dyDescent="0.2">
      <c r="A7" s="168" t="s">
        <v>1857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1858</v>
      </c>
      <c r="C11" s="162" t="s">
        <v>1169</v>
      </c>
      <c r="D11" s="169" t="s">
        <v>14</v>
      </c>
      <c r="E11" s="170" t="s">
        <v>1156</v>
      </c>
    </row>
    <row r="12" spans="1:5" x14ac:dyDescent="0.2">
      <c r="B12" s="169" t="s">
        <v>1859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1860</v>
      </c>
      <c r="C15" s="162" t="s">
        <v>1169</v>
      </c>
      <c r="D15" s="169" t="s">
        <v>17</v>
      </c>
      <c r="E15" s="170" t="s">
        <v>636</v>
      </c>
    </row>
    <row r="16" spans="1:5" x14ac:dyDescent="0.2">
      <c r="A16" s="172"/>
      <c r="B16" s="162" t="s">
        <v>1861</v>
      </c>
      <c r="C16" s="162" t="s">
        <v>1169</v>
      </c>
      <c r="D16" s="169" t="s">
        <v>681</v>
      </c>
      <c r="E16" s="170" t="s">
        <v>1040</v>
      </c>
    </row>
    <row r="17" spans="1:5" x14ac:dyDescent="0.2">
      <c r="B17" s="167" t="s">
        <v>988</v>
      </c>
      <c r="C17" s="162" t="s">
        <v>1169</v>
      </c>
    </row>
    <row r="18" spans="1:5" x14ac:dyDescent="0.2">
      <c r="B18" s="167" t="s">
        <v>1867</v>
      </c>
      <c r="D18" s="169" t="s">
        <v>18</v>
      </c>
      <c r="E18" s="170" t="s">
        <v>1041</v>
      </c>
    </row>
    <row r="19" spans="1:5" x14ac:dyDescent="0.2">
      <c r="A19" s="168" t="s">
        <v>1099</v>
      </c>
      <c r="C19" s="162" t="s">
        <v>1169</v>
      </c>
      <c r="D19" s="169"/>
      <c r="E19" s="171"/>
    </row>
    <row r="20" spans="1:5" x14ac:dyDescent="0.2">
      <c r="B20" s="167" t="s">
        <v>1862</v>
      </c>
      <c r="C20" s="162" t="s">
        <v>1169</v>
      </c>
      <c r="D20" s="169" t="s">
        <v>19</v>
      </c>
      <c r="E20" s="170" t="s">
        <v>51</v>
      </c>
    </row>
    <row r="21" spans="1:5" x14ac:dyDescent="0.2">
      <c r="B21" s="167" t="s">
        <v>1863</v>
      </c>
      <c r="C21" s="162" t="s">
        <v>1169</v>
      </c>
      <c r="D21" s="169" t="s">
        <v>20</v>
      </c>
      <c r="E21" s="170" t="s">
        <v>1610</v>
      </c>
    </row>
    <row r="22" spans="1:5" x14ac:dyDescent="0.2">
      <c r="A22" s="168"/>
      <c r="B22" s="162" t="s">
        <v>1851</v>
      </c>
      <c r="C22" s="162" t="s">
        <v>1169</v>
      </c>
      <c r="D22" s="167" t="s">
        <v>1853</v>
      </c>
      <c r="E22" s="1836" t="s">
        <v>1611</v>
      </c>
    </row>
    <row r="23" spans="1:5" x14ac:dyDescent="0.2">
      <c r="A23" s="168"/>
      <c r="B23" s="162" t="s">
        <v>1852</v>
      </c>
      <c r="D23" s="167" t="s">
        <v>637</v>
      </c>
      <c r="E23" s="1836" t="s">
        <v>959</v>
      </c>
    </row>
    <row r="24" spans="1:5" x14ac:dyDescent="0.2">
      <c r="A24" s="168" t="s">
        <v>1609</v>
      </c>
      <c r="C24" s="162" t="s">
        <v>1169</v>
      </c>
      <c r="D24" s="167" t="s">
        <v>1393</v>
      </c>
      <c r="E24" s="170" t="s">
        <v>960</v>
      </c>
    </row>
    <row r="25" spans="1:5" x14ac:dyDescent="0.2">
      <c r="A25" s="168" t="s">
        <v>1864</v>
      </c>
      <c r="C25" s="162" t="s">
        <v>1169</v>
      </c>
      <c r="D25" s="169" t="s">
        <v>21</v>
      </c>
      <c r="E25" s="170" t="s">
        <v>1042</v>
      </c>
    </row>
    <row r="26" spans="1:5" x14ac:dyDescent="0.2">
      <c r="A26" s="168" t="s">
        <v>1865</v>
      </c>
      <c r="C26" s="162" t="s">
        <v>1169</v>
      </c>
      <c r="D26" s="169" t="s">
        <v>563</v>
      </c>
      <c r="E26" s="170" t="s">
        <v>1043</v>
      </c>
    </row>
    <row r="27" spans="1:5" x14ac:dyDescent="0.2">
      <c r="A27" s="168" t="s">
        <v>1866</v>
      </c>
      <c r="C27" s="162" t="s">
        <v>1169</v>
      </c>
      <c r="D27" s="169" t="s">
        <v>557</v>
      </c>
      <c r="E27" s="170" t="s">
        <v>683</v>
      </c>
    </row>
    <row r="28" spans="1:5" x14ac:dyDescent="0.2">
      <c r="A28" s="168" t="s">
        <v>1868</v>
      </c>
      <c r="D28" s="169" t="s">
        <v>684</v>
      </c>
      <c r="E28" s="170" t="s">
        <v>1366</v>
      </c>
    </row>
    <row r="29" spans="1:5" x14ac:dyDescent="0.2">
      <c r="A29" s="168" t="s">
        <v>1869</v>
      </c>
      <c r="D29" s="169" t="s">
        <v>1394</v>
      </c>
      <c r="E29" s="170" t="s">
        <v>1375</v>
      </c>
    </row>
    <row r="30" spans="1:5" x14ac:dyDescent="0.2">
      <c r="A30" s="173" t="s">
        <v>1870</v>
      </c>
      <c r="C30" s="162" t="s">
        <v>1169</v>
      </c>
      <c r="D30" s="169" t="s">
        <v>40</v>
      </c>
      <c r="E30" s="170" t="s">
        <v>982</v>
      </c>
    </row>
    <row r="31" spans="1:5" x14ac:dyDescent="0.2">
      <c r="A31" s="168" t="s">
        <v>1521</v>
      </c>
      <c r="C31" s="162" t="s">
        <v>1169</v>
      </c>
      <c r="D31" s="167"/>
      <c r="E31" s="171"/>
    </row>
    <row r="32" spans="1:5" x14ac:dyDescent="0.2">
      <c r="B32" s="167" t="s">
        <v>1871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6" t="s">
        <v>1065</v>
      </c>
      <c r="B35" s="2066"/>
      <c r="C35" s="2066"/>
      <c r="D35" s="2066"/>
      <c r="E35" s="206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3" t="s">
        <v>691</v>
      </c>
      <c r="B40" s="2063"/>
      <c r="C40" s="2063"/>
      <c r="D40" s="2063"/>
      <c r="E40" s="2063"/>
    </row>
    <row r="41" spans="1:5" x14ac:dyDescent="0.2">
      <c r="A41" s="2064" t="s">
        <v>1608</v>
      </c>
      <c r="B41" s="2064"/>
      <c r="C41" s="2064"/>
      <c r="D41" s="2064"/>
      <c r="E41" s="2064"/>
    </row>
    <row r="42" spans="1:5" ht="12.75" customHeight="1" x14ac:dyDescent="0.2">
      <c r="A42" s="2065" t="s">
        <v>1022</v>
      </c>
      <c r="B42" s="2065"/>
      <c r="C42" s="2065"/>
      <c r="D42" s="2065"/>
      <c r="E42" s="2065"/>
    </row>
    <row r="43" spans="1:5" ht="6.75" customHeight="1" x14ac:dyDescent="0.2">
      <c r="A43" s="167"/>
      <c r="B43" s="176"/>
    </row>
    <row r="44" spans="1:5" x14ac:dyDescent="0.2">
      <c r="A44" s="185" t="s">
        <v>983</v>
      </c>
      <c r="B44" s="186" t="s">
        <v>1897</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1616</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1619</v>
      </c>
    </row>
    <row r="72" spans="1:9" ht="9" customHeight="1" x14ac:dyDescent="0.2">
      <c r="A72" s="192"/>
      <c r="B72" s="199"/>
    </row>
    <row r="73" spans="1:9" x14ac:dyDescent="0.2">
      <c r="A73" s="189" t="s">
        <v>1620</v>
      </c>
      <c r="B73" s="169" t="s">
        <v>1780</v>
      </c>
    </row>
    <row r="74" spans="1:9" x14ac:dyDescent="0.2">
      <c r="A74" s="189"/>
      <c r="B74" s="169" t="s">
        <v>1779</v>
      </c>
    </row>
    <row r="75" spans="1:9" ht="8.25" customHeight="1" x14ac:dyDescent="0.2">
      <c r="A75" s="189"/>
      <c r="B75" s="189"/>
    </row>
    <row r="76" spans="1:9" ht="12.2" customHeight="1" x14ac:dyDescent="0.2">
      <c r="A76" s="189" t="s">
        <v>1621</v>
      </c>
      <c r="B76" s="198" t="s">
        <v>1781</v>
      </c>
    </row>
    <row r="77" spans="1:9" ht="12.2" customHeight="1" x14ac:dyDescent="0.2">
      <c r="A77" s="190"/>
      <c r="B77" s="169" t="s">
        <v>1622</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K32" sqref="K3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9" t="s">
        <v>1685</v>
      </c>
      <c r="B18" s="234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584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Document.2015" dvAspect="DVASPECT_ICON" shapeId="35841" r:id="rId4"/>
      </mc:Fallback>
    </mc:AlternateContent>
    <mc:AlternateContent xmlns:mc="http://schemas.openxmlformats.org/markup-compatibility/2006">
      <mc:Choice Requires="x14">
        <oleObject progId="Acrobat.Document.2015" dvAspect="DVASPECT_ICON" shapeId="35842" r:id="rId6">
          <objectPr defaultSize="0" r:id="rId5">
            <anchor moveWithCells="1">
              <from>
                <xdr:col>1</xdr:col>
                <xdr:colOff>1114425</xdr:colOff>
                <xdr:row>1</xdr:row>
                <xdr:rowOff>152400</xdr:rowOff>
              </from>
              <to>
                <xdr:col>1</xdr:col>
                <xdr:colOff>2028825</xdr:colOff>
                <xdr:row>6</xdr:row>
                <xdr:rowOff>28575</xdr:rowOff>
              </to>
            </anchor>
          </objectPr>
        </oleObject>
      </mc:Choice>
      <mc:Fallback>
        <oleObject progId="Acrobat.Document.2015" dvAspect="DVASPECT_ICON" shapeId="35842" r:id="rId6"/>
      </mc:Fallback>
    </mc:AlternateContent>
    <mc:AlternateContent xmlns:mc="http://schemas.openxmlformats.org/markup-compatibility/2006">
      <mc:Choice Requires="x14">
        <oleObject progId="Acrobat.Document.2015" dvAspect="DVASPECT_ICON" shapeId="35843" r:id="rId7">
          <objectPr defaultSize="0" r:id="rId5">
            <anchor moveWithCells="1">
              <from>
                <xdr:col>1</xdr:col>
                <xdr:colOff>2219325</xdr:colOff>
                <xdr:row>1</xdr:row>
                <xdr:rowOff>142875</xdr:rowOff>
              </from>
              <to>
                <xdr:col>1</xdr:col>
                <xdr:colOff>3133725</xdr:colOff>
                <xdr:row>6</xdr:row>
                <xdr:rowOff>19050</xdr:rowOff>
              </to>
            </anchor>
          </objectPr>
        </oleObject>
      </mc:Choice>
      <mc:Fallback>
        <oleObject progId="Acrobat.Document.2015" dvAspect="DVASPECT_ICON" shapeId="35843" r:id="rId7"/>
      </mc:Fallback>
    </mc:AlternateContent>
    <mc:AlternateContent xmlns:mc="http://schemas.openxmlformats.org/markup-compatibility/2006">
      <mc:Choice Requires="x14">
        <oleObject progId="Acrobat.Document.2015" dvAspect="DVASPECT_ICON" shapeId="35845" r:id="rId8">
          <objectPr defaultSize="0" r:id="rId5">
            <anchor moveWithCells="1">
              <from>
                <xdr:col>1</xdr:col>
                <xdr:colOff>3286125</xdr:colOff>
                <xdr:row>1</xdr:row>
                <xdr:rowOff>133350</xdr:rowOff>
              </from>
              <to>
                <xdr:col>2</xdr:col>
                <xdr:colOff>219075</xdr:colOff>
                <xdr:row>6</xdr:row>
                <xdr:rowOff>9525</xdr:rowOff>
              </to>
            </anchor>
          </objectPr>
        </oleObject>
      </mc:Choice>
      <mc:Fallback>
        <oleObject progId="Acrobat.Document.2015" dvAspect="DVASPECT_ICON" shapeId="35845" r:id="rId8"/>
      </mc:Fallback>
    </mc:AlternateContent>
    <mc:AlternateContent xmlns:mc="http://schemas.openxmlformats.org/markup-compatibility/2006">
      <mc:Choice Requires="x14">
        <oleObject progId="Acrobat.Document.2015" dvAspect="DVASPECT_ICON" shapeId="35847" r:id="rId9">
          <objectPr defaultSize="0" r:id="rId5">
            <anchor moveWithCells="1">
              <from>
                <xdr:col>2</xdr:col>
                <xdr:colOff>447675</xdr:colOff>
                <xdr:row>1</xdr:row>
                <xdr:rowOff>133350</xdr:rowOff>
              </from>
              <to>
                <xdr:col>4</xdr:col>
                <xdr:colOff>142875</xdr:colOff>
                <xdr:row>6</xdr:row>
                <xdr:rowOff>9525</xdr:rowOff>
              </to>
            </anchor>
          </objectPr>
        </oleObject>
      </mc:Choice>
      <mc:Fallback>
        <oleObject progId="Acrobat.Document.2015" dvAspect="DVASPECT_ICON" shapeId="35847" r:id="rId9"/>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1690</v>
      </c>
      <c r="B1" s="2351"/>
      <c r="C1" s="2351"/>
      <c r="D1" s="2351"/>
      <c r="E1" s="2351"/>
      <c r="F1" s="2352"/>
    </row>
    <row r="2" spans="1:8" ht="45" customHeight="1" x14ac:dyDescent="0.2">
      <c r="A2" s="2360" t="s">
        <v>1981</v>
      </c>
      <c r="B2" s="2361"/>
      <c r="C2" s="2361"/>
      <c r="D2" s="2361"/>
      <c r="E2" s="2361"/>
      <c r="F2" s="2362"/>
      <c r="G2" s="1074"/>
      <c r="H2" s="1074"/>
    </row>
    <row r="3" spans="1:8" ht="57" customHeight="1" x14ac:dyDescent="0.2">
      <c r="A3" s="2363" t="s">
        <v>1686</v>
      </c>
      <c r="B3" s="2364"/>
      <c r="C3" s="2364"/>
      <c r="D3" s="2364"/>
      <c r="E3" s="2364"/>
      <c r="F3" s="2365"/>
      <c r="G3" s="1074"/>
      <c r="H3" s="1074"/>
    </row>
    <row r="4" spans="1:8" ht="14.25" customHeight="1" x14ac:dyDescent="0.2">
      <c r="A4" s="2369" t="s">
        <v>1982</v>
      </c>
      <c r="B4" s="2370"/>
      <c r="C4" s="2370"/>
      <c r="D4" s="2370"/>
      <c r="E4" s="2370"/>
      <c r="F4" s="2371"/>
      <c r="G4" s="1074"/>
      <c r="H4" s="1074"/>
    </row>
    <row r="5" spans="1:8" ht="14.25" customHeight="1" x14ac:dyDescent="0.2">
      <c r="A5" s="2372" t="s">
        <v>1978</v>
      </c>
      <c r="B5" s="2373"/>
      <c r="C5" s="2373"/>
      <c r="D5" s="2373"/>
      <c r="E5" s="2373"/>
      <c r="F5" s="2374"/>
      <c r="G5" s="1074"/>
      <c r="H5" s="1074"/>
    </row>
    <row r="6" spans="1:8" s="1075" customFormat="1" ht="41.25" customHeight="1" x14ac:dyDescent="0.2">
      <c r="A6" s="2366" t="s">
        <v>1691</v>
      </c>
      <c r="B6" s="2367"/>
      <c r="C6" s="2367"/>
      <c r="D6" s="2367"/>
      <c r="E6" s="2367"/>
      <c r="F6" s="236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6740794</v>
      </c>
      <c r="C8" s="1815">
        <f>'Acct Summary 7-8'!D8</f>
        <v>0</v>
      </c>
      <c r="D8" s="1815">
        <f>'Acct Summary 7-8'!F8</f>
        <v>0</v>
      </c>
      <c r="E8" s="1815">
        <f>'Acct Summary 7-8'!I8</f>
        <v>0</v>
      </c>
      <c r="F8" s="1815">
        <f>SUM(B8:E8)</f>
        <v>6740794</v>
      </c>
    </row>
    <row r="9" spans="1:8" s="1079" customFormat="1" ht="14.25" customHeight="1" thickBot="1" x14ac:dyDescent="0.25">
      <c r="A9" s="1078" t="s">
        <v>1369</v>
      </c>
      <c r="B9" s="1816">
        <f>'Acct Summary 7-8'!C17</f>
        <v>6661312</v>
      </c>
      <c r="C9" s="1816">
        <f>'Acct Summary 7-8'!D17</f>
        <v>0</v>
      </c>
      <c r="D9" s="1816">
        <f>'Acct Summary 7-8'!F17</f>
        <v>0</v>
      </c>
      <c r="E9" s="1815"/>
      <c r="F9" s="1815">
        <f>SUM(B9:E9)</f>
        <v>6661312</v>
      </c>
    </row>
    <row r="10" spans="1:8" s="1079" customFormat="1" ht="14.25" thickTop="1" thickBot="1" x14ac:dyDescent="0.25">
      <c r="A10" s="1080" t="s">
        <v>1370</v>
      </c>
      <c r="B10" s="1817">
        <f>(B8-B9)</f>
        <v>79482</v>
      </c>
      <c r="C10" s="1817">
        <f>(C8-C9)</f>
        <v>0</v>
      </c>
      <c r="D10" s="1817">
        <f>(D8-D9)</f>
        <v>0</v>
      </c>
      <c r="E10" s="1816">
        <f>(E8-E9)</f>
        <v>0</v>
      </c>
      <c r="F10" s="1818">
        <f>SUM(F8-F9)</f>
        <v>79482</v>
      </c>
    </row>
    <row r="11" spans="1:8" s="1079" customFormat="1" ht="14.25" thickTop="1" thickBot="1" x14ac:dyDescent="0.25">
      <c r="A11" s="1081" t="s">
        <v>1979</v>
      </c>
      <c r="B11" s="1819">
        <f>'Acct Summary 7-8'!C81</f>
        <v>928368</v>
      </c>
      <c r="C11" s="1819">
        <f>'Acct Summary 7-8'!D81</f>
        <v>0</v>
      </c>
      <c r="D11" s="1819">
        <f>'Acct Summary 7-8'!F81</f>
        <v>0</v>
      </c>
      <c r="E11" s="1819">
        <f>'Acct Summary 7-8'!I81</f>
        <v>0</v>
      </c>
      <c r="F11" s="1820">
        <f>SUM(B11:E11)</f>
        <v>928368</v>
      </c>
    </row>
    <row r="12" spans="1:8" ht="16.5" customHeight="1" thickTop="1" x14ac:dyDescent="0.2">
      <c r="A12" s="1082"/>
      <c r="B12" s="1083"/>
      <c r="C12" s="2354" t="str">
        <f>IF(AND(F10&lt;0,F11&gt;=0,ABS(F10*3)&gt;ABS(F11)),A16,IF(AND(F10&lt;0,F11&gt;0,ABS(F10*3)&lt;=ABS(F11)),A17,IF(AND(F10&lt;0,F11&lt;0),A16,IF(F11=0,A19,A18))))</f>
        <v>Balanced - no deficit reduction plan is required.</v>
      </c>
      <c r="D12" s="2355"/>
      <c r="E12" s="2355"/>
      <c r="F12" s="2356"/>
    </row>
    <row r="13" spans="1:8" ht="19.5" customHeight="1" x14ac:dyDescent="0.2">
      <c r="A13" s="1084"/>
      <c r="B13" s="1085"/>
      <c r="C13" s="2354"/>
      <c r="D13" s="2355"/>
      <c r="E13" s="2355"/>
      <c r="F13" s="2356"/>
      <c r="H13" s="1074"/>
    </row>
    <row r="14" spans="1:8" ht="19.5" customHeight="1" x14ac:dyDescent="0.2">
      <c r="A14" s="1084"/>
      <c r="B14" s="1085"/>
      <c r="C14" s="2354"/>
      <c r="D14" s="2355"/>
      <c r="E14" s="2355"/>
      <c r="F14" s="2356"/>
      <c r="H14" s="1074"/>
    </row>
    <row r="15" spans="1:8" ht="17.25" customHeight="1" x14ac:dyDescent="0.2">
      <c r="A15" s="1084"/>
      <c r="B15" s="1085"/>
      <c r="C15" s="2357"/>
      <c r="D15" s="2358"/>
      <c r="E15" s="2358"/>
      <c r="F15" s="2359"/>
      <c r="H15" s="1074"/>
    </row>
    <row r="16" spans="1:8" s="310" customFormat="1" ht="51.75" hidden="1" customHeight="1" x14ac:dyDescent="0.2">
      <c r="A16" s="2353" t="s">
        <v>1687</v>
      </c>
      <c r="B16" s="2353"/>
      <c r="C16" s="2353"/>
      <c r="D16" s="2353"/>
      <c r="E16" s="235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0"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5" t="s">
        <v>665</v>
      </c>
      <c r="B3" s="2376"/>
      <c r="C3" s="2376"/>
      <c r="D3" s="2377"/>
    </row>
    <row r="4" spans="1:4" x14ac:dyDescent="0.2">
      <c r="A4" s="1152" t="s">
        <v>1692</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6" t="s">
        <v>1504</v>
      </c>
      <c r="D7" s="2387"/>
    </row>
    <row r="8" spans="1:4" s="668" customFormat="1" ht="12.75" x14ac:dyDescent="0.2">
      <c r="A8" s="1138"/>
      <c r="B8" s="1093"/>
      <c r="C8" s="1096" t="s">
        <v>1503</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8" t="s">
        <v>1008</v>
      </c>
      <c r="B15" s="2379"/>
      <c r="C15" s="2379"/>
      <c r="D15" s="2380"/>
    </row>
    <row r="16" spans="1:4" s="668" customFormat="1" ht="24" customHeight="1" x14ac:dyDescent="0.2">
      <c r="A16" s="2381" t="s">
        <v>663</v>
      </c>
      <c r="B16" s="2382"/>
      <c r="C16" s="2382"/>
      <c r="D16" s="238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0" t="s">
        <v>314</v>
      </c>
      <c r="D21" s="2391"/>
    </row>
    <row r="22" spans="1:10" ht="12.75" x14ac:dyDescent="0.2">
      <c r="A22" s="1139"/>
      <c r="B22" s="1140">
        <v>2</v>
      </c>
      <c r="C22" s="2388" t="s">
        <v>1524</v>
      </c>
      <c r="D22" s="238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92" t="s">
        <v>536</v>
      </c>
      <c r="D43" s="239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4" t="s">
        <v>784</v>
      </c>
      <c r="D56" s="238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1021</v>
      </c>
      <c r="D67" s="1125"/>
    </row>
    <row r="68" spans="1:4" x14ac:dyDescent="0.2">
      <c r="A68" s="1100"/>
      <c r="B68" s="1110"/>
      <c r="C68" s="1102" t="s">
        <v>1910</v>
      </c>
      <c r="D68" s="1124" t="str">
        <f>IF('Short-Term Long-Term Debt 24'!F49=SUM(,'Acct Summary 7-8'!C33:K33),"OK","ERROR!")</f>
        <v>OK</v>
      </c>
    </row>
    <row r="69" spans="1:4" x14ac:dyDescent="0.2">
      <c r="A69" s="1100"/>
      <c r="B69" s="1110"/>
      <c r="C69" s="1102" t="s">
        <v>1911</v>
      </c>
      <c r="D69" s="1124" t="str">
        <f>IF('Expenditures 15-22'!H170&lt;&gt;'Short-Term Long-Term Debt 24'!H49,"ERROR!","OK")</f>
        <v>OK</v>
      </c>
    </row>
    <row r="70" spans="1:4" x14ac:dyDescent="0.2">
      <c r="A70" s="1098"/>
      <c r="B70" s="1120">
        <f>B66+1</f>
        <v>9</v>
      </c>
      <c r="C70" s="2384" t="s">
        <v>1696</v>
      </c>
      <c r="D70" s="238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12017801060</v>
      </c>
    </row>
    <row r="3" spans="1:2" x14ac:dyDescent="0.2">
      <c r="A3" t="s">
        <v>956</v>
      </c>
      <c r="B3" s="138" t="str">
        <f>COVER!A15</f>
        <v>Jasper</v>
      </c>
    </row>
    <row r="4" spans="1:2" x14ac:dyDescent="0.2">
      <c r="A4" t="s">
        <v>1007</v>
      </c>
      <c r="B4" s="138" t="str">
        <f>COVER!A17</f>
        <v xml:space="preserve">South Eastern Sp Ed Program </v>
      </c>
    </row>
    <row r="5" spans="1:2" x14ac:dyDescent="0.2">
      <c r="A5" t="s">
        <v>704</v>
      </c>
      <c r="B5" s="138" t="str">
        <f>COVER!A38</f>
        <v>Jill Keller-Weems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066-003998</v>
      </c>
    </row>
    <row r="16" spans="1:2" x14ac:dyDescent="0.2">
      <c r="A16" t="s">
        <v>422</v>
      </c>
      <c r="B16" s="138" t="str">
        <f>COVER!T13</f>
        <v>Kemper CPA Group LLP</v>
      </c>
    </row>
    <row r="17" spans="1:2" x14ac:dyDescent="0.2">
      <c r="A17" t="s">
        <v>884</v>
      </c>
      <c r="B17" s="138" t="str">
        <f>COVER!T15</f>
        <v>Jodi Truitt</v>
      </c>
    </row>
    <row r="18" spans="1:2" x14ac:dyDescent="0.2">
      <c r="A18" t="s">
        <v>1150</v>
      </c>
      <c r="B18" s="138" t="str">
        <f>COVER!T17</f>
        <v>302 E Walnut Street</v>
      </c>
    </row>
    <row r="19" spans="1:2" x14ac:dyDescent="0.2">
      <c r="A19" t="s">
        <v>886</v>
      </c>
      <c r="B19" s="138" t="str">
        <f>COVER!T25</f>
        <v>jtruitt@kempercpa.com</v>
      </c>
    </row>
    <row r="20" spans="1:2" x14ac:dyDescent="0.2">
      <c r="A20" t="s">
        <v>887</v>
      </c>
      <c r="B20" s="138" t="str">
        <f>COVER!T19</f>
        <v>Robinson</v>
      </c>
    </row>
    <row r="21" spans="1:2" x14ac:dyDescent="0.2">
      <c r="A21" t="s">
        <v>479</v>
      </c>
      <c r="B21" s="138" t="str">
        <f>COVER!X19</f>
        <v>IL</v>
      </c>
    </row>
    <row r="22" spans="1:2" x14ac:dyDescent="0.2">
      <c r="A22" t="s">
        <v>888</v>
      </c>
      <c r="B22" s="138">
        <f>COVER!Z19</f>
        <v>62454</v>
      </c>
    </row>
    <row r="23" spans="1:2" x14ac:dyDescent="0.2">
      <c r="A23" t="s">
        <v>1152</v>
      </c>
      <c r="B23" s="138" t="str">
        <f>COVER!T21</f>
        <v>618-546-1502</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933435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5067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5067</v>
      </c>
      <c r="C91" s="2" t="s">
        <v>573</v>
      </c>
      <c r="D91" s="2" t="str">
        <f t="shared" si="0"/>
        <v>Error?</v>
      </c>
    </row>
    <row r="92" spans="1:4" x14ac:dyDescent="0.2">
      <c r="A92" s="5">
        <v>31</v>
      </c>
      <c r="B92" s="138">
        <f>'Assets-Liab 5-6'!C39</f>
        <v>928368</v>
      </c>
      <c r="D92" s="2" t="str">
        <f t="shared" si="0"/>
        <v>Error?</v>
      </c>
    </row>
    <row r="93" spans="1:4" x14ac:dyDescent="0.2">
      <c r="A93" s="5">
        <v>32</v>
      </c>
      <c r="B93" s="138">
        <f>'Assets-Liab 5-6'!C41</f>
        <v>933435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2440766</v>
      </c>
      <c r="D274" s="2" t="str">
        <f t="shared" si="3"/>
        <v>Error?</v>
      </c>
    </row>
    <row r="275" spans="1:4" x14ac:dyDescent="0.2">
      <c r="A275" s="5">
        <v>214</v>
      </c>
      <c r="B275" s="138">
        <f>'Assets-Liab 5-6'!M18</f>
        <v>6382</v>
      </c>
      <c r="D275" s="2" t="str">
        <f t="shared" si="3"/>
        <v>Error?</v>
      </c>
    </row>
    <row r="276" spans="1:4" x14ac:dyDescent="0.2">
      <c r="A276" s="5">
        <v>215</v>
      </c>
      <c r="B276" s="138">
        <f>'Assets-Liab 5-6'!M19</f>
        <v>795030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3242178</v>
      </c>
      <c r="C279" s="2" t="s">
        <v>573</v>
      </c>
      <c r="D279" s="2" t="str">
        <f t="shared" si="3"/>
        <v>Error?</v>
      </c>
    </row>
    <row r="280" spans="1:4" x14ac:dyDescent="0.2">
      <c r="A280" s="5">
        <v>219</v>
      </c>
      <c r="B280" s="138">
        <f>'Assets-Liab 5-6'!M40</f>
        <v>3242178</v>
      </c>
      <c r="D280" s="2" t="str">
        <f t="shared" si="3"/>
        <v>Error?</v>
      </c>
    </row>
    <row r="281" spans="1:4" x14ac:dyDescent="0.2">
      <c r="A281" s="5">
        <v>220</v>
      </c>
      <c r="B281" s="138">
        <f>'Assets-Liab 5-6'!M41</f>
        <v>3242178</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84596</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1900895</v>
      </c>
      <c r="C720" s="2" t="s">
        <v>573</v>
      </c>
      <c r="D720" s="2" t="str">
        <f t="shared" si="10"/>
        <v>Error?</v>
      </c>
    </row>
    <row r="721" spans="1:4" x14ac:dyDescent="0.2">
      <c r="A721" s="5">
        <v>660</v>
      </c>
      <c r="B721" s="138">
        <f>'Expenditures 15-22'!C36</f>
        <v>326921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397476</v>
      </c>
      <c r="D723" s="2" t="str">
        <f t="shared" si="10"/>
        <v>Error?</v>
      </c>
    </row>
    <row r="724" spans="1:4" x14ac:dyDescent="0.2">
      <c r="A724" s="5">
        <v>663</v>
      </c>
      <c r="B724" s="138">
        <f>'Expenditures 15-22'!C39</f>
        <v>439982</v>
      </c>
      <c r="D724" s="2" t="str">
        <f t="shared" si="10"/>
        <v>Error?</v>
      </c>
    </row>
    <row r="725" spans="1:4" x14ac:dyDescent="0.2">
      <c r="A725" s="5">
        <v>664</v>
      </c>
      <c r="B725" s="138">
        <f>'Expenditures 15-22'!C40</f>
        <v>334276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1498655</v>
      </c>
      <c r="C727" s="2" t="s">
        <v>573</v>
      </c>
      <c r="D727" s="2" t="str">
        <f t="shared" si="10"/>
        <v>Error?</v>
      </c>
    </row>
    <row r="728" spans="1:4" x14ac:dyDescent="0.2">
      <c r="A728" s="5">
        <v>667</v>
      </c>
      <c r="B728" s="138">
        <f>'Expenditures 15-22'!C44</f>
        <v>85083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85083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145031</v>
      </c>
      <c r="D733" s="2" t="str">
        <f t="shared" si="10"/>
        <v>Error?</v>
      </c>
    </row>
    <row r="734" spans="1:4" x14ac:dyDescent="0.2">
      <c r="A734" s="5">
        <v>673</v>
      </c>
      <c r="B734" s="138">
        <f>'Expenditures 15-22'!C53</f>
        <v>747956</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2331694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4232589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9392</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362797</v>
      </c>
      <c r="C778" s="2" t="s">
        <v>573</v>
      </c>
      <c r="D778" s="2" t="str">
        <f t="shared" si="11"/>
        <v>Error?</v>
      </c>
    </row>
    <row r="779" spans="1:4" x14ac:dyDescent="0.2">
      <c r="A779" s="5">
        <v>718</v>
      </c>
      <c r="B779" s="138">
        <f>'Expenditures 15-22'!D36</f>
        <v>29370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78711</v>
      </c>
      <c r="D781" s="2" t="str">
        <f t="shared" si="11"/>
        <v>Error?</v>
      </c>
    </row>
    <row r="782" spans="1:4" x14ac:dyDescent="0.2">
      <c r="A782" s="5">
        <v>721</v>
      </c>
      <c r="B782" s="138">
        <f>'Expenditures 15-22'!D39</f>
        <v>52877</v>
      </c>
      <c r="D782" s="2" t="str">
        <f t="shared" si="11"/>
        <v>Error?</v>
      </c>
    </row>
    <row r="783" spans="1:4" x14ac:dyDescent="0.2">
      <c r="A783" s="5">
        <v>722</v>
      </c>
      <c r="B783" s="138">
        <f>'Expenditures 15-22'!D40</f>
        <v>36970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197928</v>
      </c>
      <c r="C785" s="2" t="s">
        <v>573</v>
      </c>
      <c r="D785" s="2" t="str">
        <f t="shared" si="11"/>
        <v>Error?</v>
      </c>
    </row>
    <row r="786" spans="1:4" x14ac:dyDescent="0.2">
      <c r="A786" s="5">
        <v>725</v>
      </c>
      <c r="B786" s="138">
        <f>'Expenditures 15-22'!D44</f>
        <v>15808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15808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23583</v>
      </c>
      <c r="D791" s="2" t="str">
        <f t="shared" si="11"/>
        <v>Error?</v>
      </c>
    </row>
    <row r="792" spans="1:4" x14ac:dyDescent="0.2">
      <c r="A792" s="5">
        <v>731</v>
      </c>
      <c r="B792" s="138">
        <f>'Expenditures 15-22'!D53</f>
        <v>112200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325936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688733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21123</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151675</v>
      </c>
      <c r="C836" s="2" t="s">
        <v>573</v>
      </c>
      <c r="D836" s="2" t="str">
        <f t="shared" si="12"/>
        <v>Error?</v>
      </c>
    </row>
    <row r="837" spans="1:4" x14ac:dyDescent="0.2">
      <c r="A837" s="5">
        <v>776</v>
      </c>
      <c r="B837" s="138">
        <f>'Expenditures 15-22'!E36</f>
        <v>20423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26573</v>
      </c>
      <c r="D839" s="2" t="str">
        <f t="shared" si="12"/>
        <v>Error?</v>
      </c>
    </row>
    <row r="840" spans="1:4" x14ac:dyDescent="0.2">
      <c r="A840" s="5">
        <v>779</v>
      </c>
      <c r="B840" s="138">
        <f>'Expenditures 15-22'!E39</f>
        <v>36886</v>
      </c>
      <c r="D840" s="2" t="str">
        <f t="shared" si="12"/>
        <v>Error?</v>
      </c>
    </row>
    <row r="841" spans="1:4" x14ac:dyDescent="0.2">
      <c r="A841" s="5">
        <v>780</v>
      </c>
      <c r="B841" s="138">
        <f>'Expenditures 15-22'!E40</f>
        <v>28001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111883</v>
      </c>
      <c r="C843" s="2" t="s">
        <v>573</v>
      </c>
      <c r="D843" s="2" t="str">
        <f t="shared" si="12"/>
        <v>Error?</v>
      </c>
    </row>
    <row r="844" spans="1:4" x14ac:dyDescent="0.2">
      <c r="A844" s="5">
        <v>783</v>
      </c>
      <c r="B844" s="138">
        <f>'Expenditures 15-22'!E44</f>
        <v>88987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88987</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10118</v>
      </c>
      <c r="D849" s="2" t="str">
        <f t="shared" si="12"/>
        <v>Error?</v>
      </c>
    </row>
    <row r="850" spans="1:4" x14ac:dyDescent="0.2">
      <c r="A850" s="5">
        <v>789</v>
      </c>
      <c r="B850" s="138">
        <f>'Expenditures 15-22'!E53</f>
        <v>117658</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5470</v>
      </c>
      <c r="D855" s="2" t="str">
        <f t="shared" si="12"/>
        <v>Error?</v>
      </c>
    </row>
    <row r="856" spans="1:4" x14ac:dyDescent="0.2">
      <c r="A856" s="5">
        <v>795</v>
      </c>
      <c r="B856" s="138">
        <f>'Expenditures 15-22'!E61</f>
        <v>199541</v>
      </c>
      <c r="D856" s="2" t="str">
        <f t="shared" si="12"/>
        <v>Error?</v>
      </c>
    </row>
    <row r="857" spans="1:4" x14ac:dyDescent="0.2">
      <c r="A857" s="5">
        <v>796</v>
      </c>
      <c r="B857" s="138">
        <f>'Expenditures 15-22'!E62</f>
        <v>12644</v>
      </c>
      <c r="D857" s="2" t="str">
        <f t="shared" si="12"/>
        <v>Error?</v>
      </c>
    </row>
    <row r="858" spans="1:4" x14ac:dyDescent="0.2">
      <c r="A858" s="5">
        <v>797</v>
      </c>
      <c r="B858" s="138">
        <f>'Expenditures 15-22'!E63</f>
        <v>0</v>
      </c>
      <c r="D858" s="2" t="str">
        <f t="shared" si="12"/>
        <v>Error?</v>
      </c>
    </row>
    <row r="859" spans="1:4" x14ac:dyDescent="0.2">
      <c r="A859" s="5">
        <v>798</v>
      </c>
      <c r="B859" s="138">
        <f>'Expenditures 15-22'!E64</f>
        <v>2263</v>
      </c>
      <c r="D859" s="2" t="str">
        <f t="shared" si="12"/>
        <v>Error?</v>
      </c>
    </row>
    <row r="860" spans="1:4" x14ac:dyDescent="0.2">
      <c r="A860" s="10">
        <v>799</v>
      </c>
      <c r="D860" s="2" t="str">
        <f t="shared" si="12"/>
        <v>OK</v>
      </c>
    </row>
    <row r="861" spans="1:4" x14ac:dyDescent="0.2">
      <c r="A861" s="5">
        <v>800</v>
      </c>
      <c r="B861" s="138">
        <f>'Expenditures 15-22'!E65</f>
        <v>219918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1215</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1215</v>
      </c>
      <c r="C869" s="2" t="s">
        <v>573</v>
      </c>
      <c r="D869" s="2" t="str">
        <f t="shared" si="12"/>
        <v>Error?</v>
      </c>
    </row>
    <row r="870" spans="1:4" x14ac:dyDescent="0.2">
      <c r="A870" s="5">
        <v>809</v>
      </c>
      <c r="B870" s="138">
        <f>'Expenditures 15-22'!E73</f>
        <v>6298</v>
      </c>
      <c r="D870" s="2" t="str">
        <f t="shared" si="12"/>
        <v>Error?</v>
      </c>
    </row>
    <row r="871" spans="1:4" x14ac:dyDescent="0.2">
      <c r="A871" s="5">
        <v>810</v>
      </c>
      <c r="B871" s="138">
        <f>'Expenditures 15-22'!E74</f>
        <v>545959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936839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1316</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137064</v>
      </c>
      <c r="C894" s="2" t="s">
        <v>573</v>
      </c>
      <c r="D894" s="2" t="str">
        <f t="shared" si="12"/>
        <v>Error?</v>
      </c>
    </row>
    <row r="895" spans="1:4" x14ac:dyDescent="0.2">
      <c r="A895" s="5">
        <v>834</v>
      </c>
      <c r="B895" s="138">
        <f>'Expenditures 15-22'!F36</f>
        <v>5485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10150</v>
      </c>
      <c r="D897" s="2" t="str">
        <f t="shared" si="13"/>
        <v>Error?</v>
      </c>
    </row>
    <row r="898" spans="1:4" x14ac:dyDescent="0.2">
      <c r="A898" s="5">
        <v>837</v>
      </c>
      <c r="B898" s="138">
        <f>'Expenditures 15-22'!F39</f>
        <v>14546</v>
      </c>
      <c r="D898" s="2" t="str">
        <f t="shared" si="13"/>
        <v>Error?</v>
      </c>
    </row>
    <row r="899" spans="1:4" x14ac:dyDescent="0.2">
      <c r="A899" s="5">
        <v>838</v>
      </c>
      <c r="B899" s="138">
        <f>'Expenditures 15-22'!F40</f>
        <v>27404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57585</v>
      </c>
      <c r="C901" s="2" t="s">
        <v>573</v>
      </c>
      <c r="D901" s="2" t="str">
        <f t="shared" si="13"/>
        <v>Error?</v>
      </c>
    </row>
    <row r="902" spans="1:4" x14ac:dyDescent="0.2">
      <c r="A902" s="5">
        <v>841</v>
      </c>
      <c r="B902" s="138">
        <f>'Expenditures 15-22'!F44</f>
        <v>11655</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11655</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2055</v>
      </c>
      <c r="D907" s="2" t="str">
        <f t="shared" si="13"/>
        <v>Error?</v>
      </c>
    </row>
    <row r="908" spans="1:4" x14ac:dyDescent="0.2">
      <c r="A908" s="5">
        <v>847</v>
      </c>
      <c r="B908" s="138">
        <f>'Expenditures 15-22'!F53</f>
        <v>37790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52414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52414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28559</v>
      </c>
      <c r="D928" s="2" t="str">
        <f t="shared" si="13"/>
        <v>Error?</v>
      </c>
    </row>
    <row r="929" spans="1:4" x14ac:dyDescent="0.2">
      <c r="A929" s="5">
        <v>868</v>
      </c>
      <c r="B929" s="138">
        <f>'Expenditures 15-22'!F74</f>
        <v>188003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325067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90117</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90117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96806</v>
      </c>
      <c r="D986" s="2" t="str">
        <f t="shared" si="14"/>
        <v>Error?</v>
      </c>
    </row>
    <row r="987" spans="1:4" x14ac:dyDescent="0.2">
      <c r="A987" s="5">
        <v>926</v>
      </c>
      <c r="B987" s="138">
        <f>'Expenditures 15-22'!G74</f>
        <v>186923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186923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2034</v>
      </c>
      <c r="D1023" s="2" t="str">
        <f t="shared" ref="D1023:D1086" si="15">IF(ISBLANK(B1023),"OK",IF(A1023-B1023=0,"OK","Error?"))</f>
        <v>Error?</v>
      </c>
    </row>
    <row r="1024" spans="1:4" x14ac:dyDescent="0.2">
      <c r="A1024" s="5">
        <v>963</v>
      </c>
      <c r="B1024" s="138">
        <f>'Expenditures 15-22'!H53</f>
        <v>2034</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2034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289127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291161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116427</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2552431</v>
      </c>
      <c r="C1108" s="2" t="s">
        <v>573</v>
      </c>
      <c r="D1108" s="2" t="str">
        <f t="shared" si="16"/>
        <v>Error?</v>
      </c>
    </row>
    <row r="1109" spans="1:4" x14ac:dyDescent="0.2">
      <c r="A1109" s="5">
        <v>1048</v>
      </c>
      <c r="B1109" s="138">
        <f>'Expenditures 15-22'!K36</f>
        <v>382199</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512910</v>
      </c>
      <c r="C1111" s="2" t="s">
        <v>573</v>
      </c>
      <c r="D1111" s="2" t="str">
        <f t="shared" si="16"/>
        <v>Error?</v>
      </c>
    </row>
    <row r="1112" spans="1:4" x14ac:dyDescent="0.2">
      <c r="A1112" s="5">
        <v>1051</v>
      </c>
      <c r="B1112" s="138">
        <f>'Expenditures 15-22'!K39</f>
        <v>544291</v>
      </c>
      <c r="C1112" s="2" t="s">
        <v>573</v>
      </c>
      <c r="D1112" s="2" t="str">
        <f t="shared" si="16"/>
        <v>Error?</v>
      </c>
    </row>
    <row r="1113" spans="1:4" x14ac:dyDescent="0.2">
      <c r="A1113" s="5">
        <v>1052</v>
      </c>
      <c r="B1113" s="138">
        <f>'Expenditures 15-22'!K40</f>
        <v>426651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1866051</v>
      </c>
      <c r="C1115" s="2" t="s">
        <v>573</v>
      </c>
      <c r="D1115" s="2" t="str">
        <f t="shared" si="16"/>
        <v>Error?</v>
      </c>
    </row>
    <row r="1116" spans="1:4" x14ac:dyDescent="0.2">
      <c r="A1116" s="5">
        <v>1055</v>
      </c>
      <c r="B1116" s="138">
        <f>'Expenditures 15-22'!K44</f>
        <v>201533</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201533</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182821</v>
      </c>
      <c r="C1121" s="2" t="s">
        <v>573</v>
      </c>
      <c r="D1121" s="2" t="str">
        <f t="shared" si="16"/>
        <v>Error?</v>
      </c>
    </row>
    <row r="1122" spans="1:4" x14ac:dyDescent="0.2">
      <c r="A1122" s="5">
        <v>1061</v>
      </c>
      <c r="B1122" s="138">
        <f>'Expenditures 15-22'!K53</f>
        <v>1017638</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5470</v>
      </c>
      <c r="C1127" s="2" t="s">
        <v>573</v>
      </c>
      <c r="D1127" s="2" t="str">
        <f t="shared" si="16"/>
        <v>Error?</v>
      </c>
    </row>
    <row r="1128" spans="1:4" x14ac:dyDescent="0.2">
      <c r="A1128" s="5">
        <v>1067</v>
      </c>
      <c r="B1128" s="138">
        <f>'Expenditures 15-22'!K61</f>
        <v>342072</v>
      </c>
      <c r="C1128" s="2" t="s">
        <v>573</v>
      </c>
      <c r="D1128" s="2" t="str">
        <f t="shared" si="16"/>
        <v>Error?</v>
      </c>
    </row>
    <row r="1129" spans="1:4" x14ac:dyDescent="0.2">
      <c r="A1129" s="5">
        <v>1068</v>
      </c>
      <c r="B1129" s="138">
        <f>'Expenditures 15-22'!K62</f>
        <v>12644</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2263</v>
      </c>
      <c r="C1131" s="2" t="s">
        <v>573</v>
      </c>
      <c r="D1131" s="2" t="str">
        <f t="shared" si="16"/>
        <v>Error?</v>
      </c>
    </row>
    <row r="1132" spans="1:4" x14ac:dyDescent="0.2">
      <c r="A1132" s="10">
        <v>1071</v>
      </c>
      <c r="D1132" s="2" t="str">
        <f t="shared" si="16"/>
        <v>OK</v>
      </c>
    </row>
    <row r="1133" spans="1:4" x14ac:dyDescent="0.2">
      <c r="A1133" s="5">
        <v>1072</v>
      </c>
      <c r="B1133" s="138">
        <f>'Expenditures 15-22'!K65</f>
        <v>362449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1215</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1215</v>
      </c>
      <c r="C1141" s="2" t="s">
        <v>573</v>
      </c>
      <c r="D1141" s="2" t="str">
        <f t="shared" si="16"/>
        <v>Error?</v>
      </c>
    </row>
    <row r="1142" spans="1:4" x14ac:dyDescent="0.2">
      <c r="A1142" s="5">
        <v>1081</v>
      </c>
      <c r="B1142" s="138">
        <f>'Expenditures 15-22'!K73</f>
        <v>131663</v>
      </c>
      <c r="C1142" s="2" t="s">
        <v>573</v>
      </c>
      <c r="D1142" s="2" t="str">
        <f t="shared" si="16"/>
        <v>Error?</v>
      </c>
    </row>
    <row r="1143" spans="1:4" x14ac:dyDescent="0.2">
      <c r="A1143" s="5">
        <v>1082</v>
      </c>
      <c r="B1143" s="138">
        <f>'Expenditures 15-22'!K74</f>
        <v>3580549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528332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6661312</v>
      </c>
      <c r="C1152" s="2" t="s">
        <v>573</v>
      </c>
      <c r="D1152" s="2" t="str">
        <f t="shared" si="17"/>
        <v>Error?</v>
      </c>
    </row>
    <row r="1153" spans="1:4" x14ac:dyDescent="0.2">
      <c r="A1153" s="5">
        <v>1092</v>
      </c>
      <c r="B1153" s="138">
        <f>'Expenditures 15-22'!K115</f>
        <v>79482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848886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928368</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2348261</v>
      </c>
      <c r="D2009" s="2" t="str">
        <f t="shared" si="30"/>
        <v>Error?</v>
      </c>
    </row>
    <row r="2010" spans="1:4" x14ac:dyDescent="0.2">
      <c r="A2010" s="5">
        <v>1949</v>
      </c>
      <c r="B2010" s="138">
        <f>'Cap Outlay Deprec 26'!C10</f>
        <v>6382</v>
      </c>
      <c r="D2010" s="2" t="str">
        <f t="shared" si="30"/>
        <v>Error?</v>
      </c>
    </row>
    <row r="2011" spans="1:4" x14ac:dyDescent="0.2">
      <c r="A2011" s="5">
        <v>1950</v>
      </c>
      <c r="B2011" s="138">
        <f>'Cap Outlay Deprec 26'!C12</f>
        <v>668978</v>
      </c>
      <c r="D2011" s="2" t="str">
        <f t="shared" si="30"/>
        <v>Error?</v>
      </c>
    </row>
    <row r="2012" spans="1:4" x14ac:dyDescent="0.2">
      <c r="A2012" s="5">
        <v>1951</v>
      </c>
      <c r="B2012" s="138">
        <f>'Cap Outlay Deprec 26'!C13</f>
        <v>52665</v>
      </c>
      <c r="D2012" s="2" t="str">
        <f t="shared" si="30"/>
        <v>Error?</v>
      </c>
    </row>
    <row r="2013" spans="1:4" x14ac:dyDescent="0.2">
      <c r="A2013" s="5">
        <v>1952</v>
      </c>
      <c r="B2013" s="138">
        <f>'Cap Outlay Deprec 26'!C16</f>
        <v>3076286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92506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94417</v>
      </c>
      <c r="D2018" s="2" t="str">
        <f t="shared" si="30"/>
        <v>Error?</v>
      </c>
    </row>
    <row r="2019" spans="1:4" x14ac:dyDescent="0.2">
      <c r="A2019" s="5">
        <v>1958</v>
      </c>
      <c r="B2019" s="138">
        <f>'Cap Outlay Deprec 26'!D16</f>
        <v>186923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21031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21031</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2440767</v>
      </c>
      <c r="C2027" s="2" t="s">
        <v>573</v>
      </c>
      <c r="D2027" s="2" t="str">
        <f t="shared" si="30"/>
        <v>Error?</v>
      </c>
    </row>
    <row r="2028" spans="1:4" x14ac:dyDescent="0.2">
      <c r="A2028" s="5">
        <v>1967</v>
      </c>
      <c r="B2028" s="138">
        <f>'Cap Outlay Deprec 26'!F10</f>
        <v>6382</v>
      </c>
      <c r="C2028" s="2" t="s">
        <v>573</v>
      </c>
      <c r="D2028" s="2" t="str">
        <f t="shared" si="30"/>
        <v>Error?</v>
      </c>
    </row>
    <row r="2029" spans="1:4" x14ac:dyDescent="0.2">
      <c r="A2029" s="5">
        <v>1968</v>
      </c>
      <c r="B2029" s="138">
        <f>'Cap Outlay Deprec 26'!F12</f>
        <v>647947</v>
      </c>
      <c r="C2029" s="2" t="s">
        <v>573</v>
      </c>
      <c r="D2029" s="2" t="str">
        <f t="shared" si="30"/>
        <v>Error?</v>
      </c>
    </row>
    <row r="2030" spans="1:4" x14ac:dyDescent="0.2">
      <c r="A2030" s="5">
        <v>1969</v>
      </c>
      <c r="B2030" s="138">
        <f>'Cap Outlay Deprec 26'!F13</f>
        <v>147082</v>
      </c>
      <c r="C2030" s="2" t="s">
        <v>573</v>
      </c>
      <c r="D2030" s="2" t="str">
        <f t="shared" si="30"/>
        <v>Error?</v>
      </c>
    </row>
    <row r="2031" spans="1:4" x14ac:dyDescent="0.2">
      <c r="A2031" s="5">
        <v>1970</v>
      </c>
      <c r="B2031" s="138">
        <f>'Cap Outlay Deprec 26'!F16</f>
        <v>3242178</v>
      </c>
      <c r="C2031" s="2" t="s">
        <v>573</v>
      </c>
      <c r="D2031" s="2" t="str">
        <f t="shared" si="30"/>
        <v>Error?</v>
      </c>
    </row>
    <row r="2032" spans="1:4" x14ac:dyDescent="0.2">
      <c r="A2032" s="10">
        <v>1971</v>
      </c>
      <c r="D2032" s="2" t="str">
        <f t="shared" si="30"/>
        <v>OK</v>
      </c>
    </row>
    <row r="2033" spans="1:4" x14ac:dyDescent="0.2">
      <c r="A2033" s="5">
        <v>1972</v>
      </c>
      <c r="B2033" s="138">
        <f>'Cap Outlay Deprec 26'!H8</f>
        <v>611700</v>
      </c>
      <c r="D2033" s="2" t="str">
        <f t="shared" si="30"/>
        <v>Error?</v>
      </c>
    </row>
    <row r="2034" spans="1:4" x14ac:dyDescent="0.2">
      <c r="A2034" s="5">
        <v>1973</v>
      </c>
      <c r="B2034" s="138">
        <f>'Cap Outlay Deprec 26'!H10</f>
        <v>6382</v>
      </c>
      <c r="D2034" s="2" t="str">
        <f t="shared" si="30"/>
        <v>Error?</v>
      </c>
    </row>
    <row r="2035" spans="1:4" x14ac:dyDescent="0.2">
      <c r="A2035" s="5">
        <v>1974</v>
      </c>
      <c r="B2035" s="138">
        <f>'Cap Outlay Deprec 26'!H12</f>
        <v>490764</v>
      </c>
      <c r="D2035" s="2" t="str">
        <f t="shared" si="30"/>
        <v>Error?</v>
      </c>
    </row>
    <row r="2036" spans="1:4" x14ac:dyDescent="0.2">
      <c r="A2036" s="5">
        <v>1975</v>
      </c>
      <c r="B2036" s="138">
        <f>'Cap Outlay Deprec 26'!H13</f>
        <v>8395</v>
      </c>
      <c r="D2036" s="2" t="str">
        <f t="shared" si="30"/>
        <v>Error?</v>
      </c>
    </row>
    <row r="2037" spans="1:4" x14ac:dyDescent="0.2">
      <c r="A2037" s="5">
        <v>1976</v>
      </c>
      <c r="B2037" s="138">
        <f>'Cap Outlay Deprec 26'!H16</f>
        <v>1117241</v>
      </c>
      <c r="C2037" s="2" t="s">
        <v>573</v>
      </c>
      <c r="D2037" s="2" t="str">
        <f t="shared" si="30"/>
        <v>Error?</v>
      </c>
    </row>
    <row r="2038" spans="1:4" x14ac:dyDescent="0.2">
      <c r="A2038" s="10">
        <v>1977</v>
      </c>
      <c r="D2038" s="2" t="str">
        <f t="shared" si="30"/>
        <v>OK</v>
      </c>
    </row>
    <row r="2039" spans="1:4" x14ac:dyDescent="0.2">
      <c r="A2039" s="5">
        <v>1978</v>
      </c>
      <c r="B2039" s="138">
        <f>'Cap Outlay Deprec 26'!I8</f>
        <v>47743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63971</v>
      </c>
      <c r="D2041" s="2" t="str">
        <f t="shared" si="30"/>
        <v>Error?</v>
      </c>
    </row>
    <row r="2042" spans="1:4" x14ac:dyDescent="0.2">
      <c r="A2042" s="5">
        <v>1981</v>
      </c>
      <c r="B2042" s="138">
        <f>'Cap Outlay Deprec 26'!I13</f>
        <v>18396</v>
      </c>
      <c r="D2042" s="2" t="str">
        <f t="shared" si="30"/>
        <v>Error?</v>
      </c>
    </row>
    <row r="2043" spans="1:4" x14ac:dyDescent="0.2">
      <c r="A2043" s="5">
        <v>1982</v>
      </c>
      <c r="B2043" s="138">
        <f>'Cap Outlay Deprec 26'!I16</f>
        <v>130110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21031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21031</v>
      </c>
      <c r="C2049" s="2" t="s">
        <v>573</v>
      </c>
      <c r="D2049" s="2" t="str">
        <f t="shared" si="31"/>
        <v>Error?</v>
      </c>
    </row>
    <row r="2050" spans="1:4" x14ac:dyDescent="0.2">
      <c r="A2050" s="10">
        <v>1989</v>
      </c>
      <c r="D2050" s="2" t="str">
        <f t="shared" si="31"/>
        <v>OK</v>
      </c>
    </row>
    <row r="2051" spans="1:4" x14ac:dyDescent="0.2">
      <c r="A2051" s="5">
        <v>1990</v>
      </c>
      <c r="B2051" s="138">
        <f>'Cap Outlay Deprec 26'!K8</f>
        <v>659443</v>
      </c>
      <c r="C2051" s="2" t="s">
        <v>573</v>
      </c>
      <c r="D2051" s="2" t="str">
        <f t="shared" si="31"/>
        <v>Error?</v>
      </c>
    </row>
    <row r="2052" spans="1:4" x14ac:dyDescent="0.2">
      <c r="A2052" s="5">
        <v>1991</v>
      </c>
      <c r="B2052" s="138">
        <f>'Cap Outlay Deprec 26'!K10</f>
        <v>6382</v>
      </c>
      <c r="C2052" s="2" t="s">
        <v>573</v>
      </c>
      <c r="D2052" s="2" t="str">
        <f t="shared" si="31"/>
        <v>Error?</v>
      </c>
    </row>
    <row r="2053" spans="1:4" x14ac:dyDescent="0.2">
      <c r="A2053" s="5">
        <v>1992</v>
      </c>
      <c r="B2053" s="138">
        <f>'Cap Outlay Deprec 26'!K12</f>
        <v>533704</v>
      </c>
      <c r="C2053" s="2" t="s">
        <v>573</v>
      </c>
      <c r="D2053" s="2" t="str">
        <f t="shared" si="31"/>
        <v>Error?</v>
      </c>
    </row>
    <row r="2054" spans="1:4" x14ac:dyDescent="0.2">
      <c r="A2054" s="5">
        <v>1993</v>
      </c>
      <c r="B2054" s="138">
        <f>'Cap Outlay Deprec 26'!K13</f>
        <v>26791</v>
      </c>
      <c r="C2054" s="2" t="s">
        <v>573</v>
      </c>
      <c r="D2054" s="2" t="str">
        <f t="shared" si="31"/>
        <v>Error?</v>
      </c>
    </row>
    <row r="2055" spans="1:4" x14ac:dyDescent="0.2">
      <c r="A2055" s="5">
        <v>1994</v>
      </c>
      <c r="B2055" s="138">
        <f>'Cap Outlay Deprec 26'!K16</f>
        <v>1226320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1781324</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114243</v>
      </c>
      <c r="C2059" s="2" t="s">
        <v>573</v>
      </c>
      <c r="D2059" s="2" t="str">
        <f t="shared" si="31"/>
        <v>Error?</v>
      </c>
    </row>
    <row r="2060" spans="1:4" x14ac:dyDescent="0.2">
      <c r="A2060" s="5">
        <v>1999</v>
      </c>
      <c r="B2060" s="138">
        <f>'Cap Outlay Deprec 26'!L13</f>
        <v>120291</v>
      </c>
      <c r="C2060" s="2" t="s">
        <v>573</v>
      </c>
      <c r="D2060" s="2" t="str">
        <f t="shared" si="31"/>
        <v>Error?</v>
      </c>
    </row>
    <row r="2061" spans="1:4" x14ac:dyDescent="0.2">
      <c r="A2061" s="5">
        <v>2000</v>
      </c>
      <c r="B2061" s="138">
        <f>'Cap Outlay Deprec 26'!L16</f>
        <v>2015858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289127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528332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2545500</v>
      </c>
      <c r="C2551" s="2" t="s">
        <v>573</v>
      </c>
      <c r="D2551" s="2" t="str">
        <f t="shared" si="38"/>
        <v>Error?</v>
      </c>
    </row>
    <row r="2552" spans="1:4" x14ac:dyDescent="0.2">
      <c r="A2552" s="10">
        <v>2491</v>
      </c>
      <c r="D2552" s="2" t="str">
        <f t="shared" si="38"/>
        <v>OK</v>
      </c>
    </row>
    <row r="2553" spans="1:4" x14ac:dyDescent="0.2">
      <c r="A2553" s="5">
        <v>2492</v>
      </c>
      <c r="B2553" s="138">
        <f>'Acct Summary 7-8'!C6</f>
        <v>619705</v>
      </c>
      <c r="C2553" s="2" t="s">
        <v>573</v>
      </c>
      <c r="D2553" s="2" t="str">
        <f t="shared" si="38"/>
        <v>Error?</v>
      </c>
    </row>
    <row r="2554" spans="1:4" x14ac:dyDescent="0.2">
      <c r="A2554" s="5">
        <v>2493</v>
      </c>
      <c r="B2554" s="138">
        <f>'Acct Summary 7-8'!C7</f>
        <v>3528329</v>
      </c>
      <c r="C2554" s="2" t="s">
        <v>573</v>
      </c>
      <c r="D2554" s="2" t="str">
        <f t="shared" si="38"/>
        <v>Error?</v>
      </c>
    </row>
    <row r="2555" spans="1:4" x14ac:dyDescent="0.2">
      <c r="A2555" s="5">
        <v>2494</v>
      </c>
      <c r="B2555" s="138">
        <f>'Acct Summary 7-8'!C8</f>
        <v>6740794</v>
      </c>
      <c r="C2555" s="2" t="s">
        <v>573</v>
      </c>
      <c r="D2555" s="2" t="str">
        <f t="shared" si="38"/>
        <v>Error?</v>
      </c>
    </row>
    <row r="2556" spans="1:4" x14ac:dyDescent="0.2">
      <c r="A2556" s="5">
        <v>2495</v>
      </c>
      <c r="B2556" s="138">
        <f>'Acct Summary 7-8'!C12</f>
        <v>2552431</v>
      </c>
      <c r="C2556" s="2" t="s">
        <v>573</v>
      </c>
      <c r="D2556" s="2" t="str">
        <f t="shared" si="38"/>
        <v>Error?</v>
      </c>
    </row>
    <row r="2557" spans="1:4" x14ac:dyDescent="0.2">
      <c r="A2557" s="5">
        <v>2496</v>
      </c>
      <c r="B2557" s="138">
        <f>'Acct Summary 7-8'!C13</f>
        <v>3580549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528332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6661312</v>
      </c>
      <c r="C2561" s="2" t="s">
        <v>573</v>
      </c>
      <c r="D2561" s="2" t="str">
        <f t="shared" si="39"/>
        <v>Error?</v>
      </c>
    </row>
    <row r="2562" spans="1:4" x14ac:dyDescent="0.2">
      <c r="A2562" s="5">
        <v>2501</v>
      </c>
      <c r="B2562" s="138">
        <f>'Acct Summary 7-8'!C20</f>
        <v>79482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602925</v>
      </c>
      <c r="D2718" s="2" t="str">
        <f t="shared" si="41"/>
        <v>Error?</v>
      </c>
    </row>
    <row r="2719" spans="1:4" x14ac:dyDescent="0.2">
      <c r="A2719" s="5">
        <v>2658</v>
      </c>
      <c r="B2719" s="138">
        <f>'Expenditures 15-22'!D51</f>
        <v>88617</v>
      </c>
      <c r="D2719" s="2" t="str">
        <f t="shared" si="41"/>
        <v>Error?</v>
      </c>
    </row>
    <row r="2720" spans="1:4" x14ac:dyDescent="0.2">
      <c r="A2720" s="5">
        <v>2659</v>
      </c>
      <c r="B2720" s="138">
        <f>'Expenditures 15-22'!E51</f>
        <v>107540</v>
      </c>
      <c r="D2720" s="2" t="str">
        <f t="shared" si="41"/>
        <v>Error?</v>
      </c>
    </row>
    <row r="2721" spans="1:4" x14ac:dyDescent="0.2">
      <c r="A2721" s="5">
        <v>2660</v>
      </c>
      <c r="B2721" s="138">
        <f>'Expenditures 15-22'!F51</f>
        <v>35735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834817</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239205</v>
      </c>
      <c r="C2789" s="2" t="s">
        <v>573</v>
      </c>
      <c r="D2789" s="2" t="str">
        <f t="shared" si="42"/>
        <v>Error?</v>
      </c>
    </row>
    <row r="2790" spans="1:4" x14ac:dyDescent="0.2">
      <c r="A2790" s="5">
        <v>2729</v>
      </c>
      <c r="B2790" s="138">
        <f>'Expenditures 15-22'!E102</f>
        <v>239205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5470</v>
      </c>
      <c r="D2855" s="2" t="str">
        <f t="shared" si="43"/>
        <v>Error?</v>
      </c>
    </row>
    <row r="2856" spans="1:4" x14ac:dyDescent="0.2">
      <c r="A2856" s="5">
        <v>2795</v>
      </c>
      <c r="B2856" s="138">
        <f>'ICR Computation 30'!E12</f>
        <v>2263</v>
      </c>
      <c r="D2856" s="2" t="str">
        <f t="shared" si="43"/>
        <v>Error?</v>
      </c>
    </row>
    <row r="2857" spans="1:4" x14ac:dyDescent="0.2">
      <c r="A2857" s="10">
        <v>2796</v>
      </c>
      <c r="D2857" s="2" t="str">
        <f t="shared" si="43"/>
        <v>OK</v>
      </c>
    </row>
    <row r="2858" spans="1:4" x14ac:dyDescent="0.2">
      <c r="A2858" s="5">
        <v>2797</v>
      </c>
      <c r="B2858" s="138">
        <f>'ICR Computation 30'!E13</f>
        <v>1215</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342072</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239205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289127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528332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79482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1442975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301080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126825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79853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1950733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47260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933435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1474597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8215391</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1474597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8135909</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928368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50928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108342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27873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2534220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2534220</v>
      </c>
      <c r="C5087" s="2" t="s">
        <v>573</v>
      </c>
      <c r="D5087" s="2" t="str">
        <f t="shared" si="78"/>
        <v>Error?</v>
      </c>
    </row>
    <row r="5088" spans="1:4" x14ac:dyDescent="0.2">
      <c r="A5088" s="5">
        <v>5027</v>
      </c>
      <c r="B5088" s="138">
        <f>'Revenues 9-14'!C65</f>
        <v>11250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11250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30</v>
      </c>
      <c r="C5120" s="2" t="s">
        <v>573</v>
      </c>
      <c r="D5120" s="2" t="str">
        <f t="shared" si="79"/>
        <v>Error?</v>
      </c>
    </row>
    <row r="5121" spans="1:4" x14ac:dyDescent="0.2">
      <c r="A5121" s="5">
        <v>5060</v>
      </c>
      <c r="B5121" s="138">
        <f>'Revenues 9-14'!C109</f>
        <v>2545500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47260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47260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591832</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591832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619705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619705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192917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3176142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3369059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3528329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3528329</v>
      </c>
      <c r="C5326" s="2" t="s">
        <v>573</v>
      </c>
      <c r="D5326" s="2" t="str">
        <f t="shared" si="82"/>
        <v>Error?</v>
      </c>
    </row>
    <row r="5327" spans="1:5" x14ac:dyDescent="0.2">
      <c r="A5327" s="5">
        <v>5266</v>
      </c>
      <c r="B5327" s="138">
        <f>'Revenues 9-14'!C268</f>
        <v>6740794</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79482</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8.5614756217362087E-2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485271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373324</v>
      </c>
      <c r="D7251" s="2" t="str">
        <f t="shared" si="112"/>
        <v>Error?</v>
      </c>
    </row>
    <row r="7252" spans="1:4" x14ac:dyDescent="0.2">
      <c r="A7252">
        <f t="shared" si="113"/>
        <v>7191</v>
      </c>
      <c r="B7252" s="138">
        <f>'Expenditures 15-22'!D9</f>
        <v>52325</v>
      </c>
      <c r="D7252" s="2" t="str">
        <f t="shared" si="112"/>
        <v>Error?</v>
      </c>
    </row>
    <row r="7253" spans="1:4" x14ac:dyDescent="0.2">
      <c r="A7253">
        <f t="shared" si="113"/>
        <v>7192</v>
      </c>
      <c r="B7253" s="138">
        <f>'Expenditures 15-22'!E9</f>
        <v>3727</v>
      </c>
      <c r="D7253" s="2" t="str">
        <f t="shared" si="112"/>
        <v>Error?</v>
      </c>
    </row>
    <row r="7254" spans="1:4" x14ac:dyDescent="0.2">
      <c r="A7254">
        <f t="shared" si="113"/>
        <v>7193</v>
      </c>
      <c r="B7254" s="138">
        <f>'Expenditures 15-22'!F9</f>
        <v>55895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130110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29'!D142</f>
        <v>180251.25</v>
      </c>
      <c r="D7797" s="2" t="str">
        <f t="shared" si="127"/>
        <v>Error?</v>
      </c>
      <c r="E7797" s="4" t="s">
        <v>1899</v>
      </c>
    </row>
    <row r="7798" spans="1:5" x14ac:dyDescent="0.2">
      <c r="A7798">
        <v>7737</v>
      </c>
      <c r="B7798" s="138">
        <f>'Contracts Paid in CY 29'!F142</f>
        <v>140251.25</v>
      </c>
      <c r="D7798" s="2" t="str">
        <f t="shared" si="127"/>
        <v>Error?</v>
      </c>
      <c r="E7798" s="4" t="s">
        <v>1899</v>
      </c>
    </row>
    <row r="7799" spans="1:5" x14ac:dyDescent="0.2">
      <c r="A7799">
        <v>7738</v>
      </c>
      <c r="B7799" s="138">
        <f>'Contracts Paid in CY 29'!G142</f>
        <v>40000</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6" zoomScale="110" zoomScaleNormal="110" workbookViewId="0">
      <selection activeCell="C44" sqref="C4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7" t="s">
        <v>1191</v>
      </c>
      <c r="B2" s="2417"/>
      <c r="C2" s="2417"/>
      <c r="D2" s="2417"/>
      <c r="E2" s="2417"/>
      <c r="F2" s="2417"/>
      <c r="G2" s="2417"/>
      <c r="H2" s="2417"/>
      <c r="I2" s="2417"/>
      <c r="J2" s="2417"/>
      <c r="K2" s="2417"/>
      <c r="L2" s="2417"/>
    </row>
    <row r="3" spans="1:29" ht="13.5" customHeight="1" x14ac:dyDescent="0.2">
      <c r="A3" s="2403" t="s">
        <v>1190</v>
      </c>
      <c r="B3" s="2403"/>
      <c r="C3" s="2403"/>
      <c r="D3" s="2403"/>
      <c r="E3" s="2403"/>
      <c r="F3" s="2403"/>
      <c r="G3" s="2403"/>
      <c r="H3" s="2403"/>
      <c r="I3" s="2403"/>
      <c r="J3" s="2403"/>
      <c r="K3" s="2403"/>
      <c r="L3" s="2403"/>
    </row>
    <row r="4" spans="1:29" ht="13.5" customHeight="1" x14ac:dyDescent="0.2">
      <c r="A4" s="2417" t="s">
        <v>1983</v>
      </c>
      <c r="B4" s="2434"/>
      <c r="C4" s="2434"/>
      <c r="D4" s="2434"/>
      <c r="E4" s="2434"/>
      <c r="F4" s="2434"/>
      <c r="G4" s="2434"/>
      <c r="H4" s="2434"/>
      <c r="I4" s="2434"/>
      <c r="J4" s="2434"/>
      <c r="K4" s="2434"/>
      <c r="L4" s="243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7" t="str">
        <f>COVER!A17</f>
        <v xml:space="preserve">South Eastern Sp Ed Program </v>
      </c>
      <c r="B7" s="2398"/>
      <c r="C7" s="2398"/>
      <c r="D7" s="2435"/>
      <c r="E7" s="2436">
        <f>COVER!A13</f>
        <v>12017801060</v>
      </c>
      <c r="F7" s="2437"/>
      <c r="G7" s="2404" t="str">
        <f>COVER!T23</f>
        <v>066-003998</v>
      </c>
      <c r="H7" s="2405"/>
      <c r="I7" s="2405"/>
      <c r="J7" s="2405"/>
      <c r="K7" s="2405"/>
      <c r="L7" s="240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7"/>
      <c r="B9" s="2408"/>
      <c r="C9" s="2408"/>
      <c r="D9" s="2408"/>
      <c r="E9" s="2408"/>
      <c r="F9" s="2409"/>
      <c r="G9" s="2410" t="str">
        <f>COVER!T13</f>
        <v>Kemper CPA Group LLP</v>
      </c>
      <c r="H9" s="2411"/>
      <c r="I9" s="2411"/>
      <c r="J9" s="2411"/>
      <c r="K9" s="2411"/>
      <c r="L9" s="2412"/>
    </row>
    <row r="10" spans="1:29" ht="13.5" customHeight="1" x14ac:dyDescent="0.2">
      <c r="A10" s="2394" t="str">
        <f>COVER!A38</f>
        <v>Jill Keller-Weems</v>
      </c>
      <c r="B10" s="2395"/>
      <c r="C10" s="2395"/>
      <c r="D10" s="2395"/>
      <c r="E10" s="2395"/>
      <c r="F10" s="2396"/>
      <c r="G10" s="2410" t="str">
        <f>COVER!T17</f>
        <v>302 E Walnut Street</v>
      </c>
      <c r="H10" s="2423"/>
      <c r="I10" s="2423"/>
      <c r="J10" s="2423"/>
      <c r="K10" s="2423"/>
      <c r="L10" s="2424"/>
    </row>
    <row r="11" spans="1:29" ht="13.5" customHeight="1" x14ac:dyDescent="0.2">
      <c r="A11" s="1184" t="s">
        <v>1519</v>
      </c>
      <c r="B11" s="1185"/>
      <c r="C11" s="1186"/>
      <c r="D11" s="1191"/>
      <c r="E11" s="1186"/>
      <c r="F11" s="1190"/>
      <c r="G11" s="2410" t="str">
        <f>COVER!T19</f>
        <v>Robinson</v>
      </c>
      <c r="H11" s="2423"/>
      <c r="I11" s="2423"/>
      <c r="J11" s="2423"/>
      <c r="K11" s="2423"/>
      <c r="L11" s="2424"/>
    </row>
    <row r="12" spans="1:29" ht="13.5" customHeight="1" x14ac:dyDescent="0.2">
      <c r="A12" s="2428" t="s">
        <v>1518</v>
      </c>
      <c r="B12" s="2429"/>
      <c r="C12" s="2429"/>
      <c r="D12" s="2429"/>
      <c r="E12" s="2429"/>
      <c r="F12" s="2430"/>
      <c r="G12" s="2425"/>
      <c r="H12" s="2426"/>
      <c r="I12" s="2426"/>
      <c r="J12" s="2426"/>
      <c r="K12" s="2426"/>
      <c r="L12" s="2427"/>
    </row>
    <row r="13" spans="1:29" ht="13.5" customHeight="1" x14ac:dyDescent="0.2">
      <c r="A13" s="2410"/>
      <c r="B13" s="2423"/>
      <c r="C13" s="2423"/>
      <c r="D13" s="2423"/>
      <c r="E13" s="2423"/>
      <c r="F13" s="2424"/>
      <c r="G13" s="2418" t="s">
        <v>1520</v>
      </c>
      <c r="H13" s="2419"/>
      <c r="I13" s="2431" t="str">
        <f>COVER!T25</f>
        <v>jtruitt@kempercpa.com</v>
      </c>
      <c r="J13" s="2432"/>
      <c r="K13" s="2432"/>
      <c r="L13" s="2433"/>
    </row>
    <row r="14" spans="1:29" ht="13.5" customHeight="1" x14ac:dyDescent="0.2">
      <c r="A14" s="2410" t="str">
        <f>COVER!A19</f>
        <v>P.O. Box 185</v>
      </c>
      <c r="B14" s="2423"/>
      <c r="C14" s="2423"/>
      <c r="D14" s="2423"/>
      <c r="E14" s="2423"/>
      <c r="F14" s="2424"/>
      <c r="G14" s="1195" t="s">
        <v>1185</v>
      </c>
      <c r="H14" s="1193"/>
      <c r="I14" s="1193"/>
      <c r="J14" s="1193"/>
      <c r="K14" s="1193"/>
      <c r="L14" s="1194"/>
    </row>
    <row r="15" spans="1:29" ht="13.5" customHeight="1" x14ac:dyDescent="0.2">
      <c r="A15" s="2410" t="str">
        <f>COVER!A21</f>
        <v>St. Marie</v>
      </c>
      <c r="B15" s="2423"/>
      <c r="C15" s="2423"/>
      <c r="D15" s="2423"/>
      <c r="E15" s="2423"/>
      <c r="F15" s="2424"/>
      <c r="G15" s="2420" t="str">
        <f>COVER!T15</f>
        <v>Jodi Truitt</v>
      </c>
      <c r="H15" s="2421"/>
      <c r="I15" s="2421"/>
      <c r="J15" s="2421"/>
      <c r="K15" s="2421"/>
      <c r="L15" s="2422"/>
    </row>
    <row r="16" spans="1:29" ht="12.2" customHeight="1" x14ac:dyDescent="0.2">
      <c r="A16" s="2400">
        <f>COVER!A25</f>
        <v>62459</v>
      </c>
      <c r="B16" s="2401"/>
      <c r="C16" s="2401"/>
      <c r="D16" s="2401"/>
      <c r="E16" s="2401"/>
      <c r="F16" s="2402"/>
      <c r="G16" s="2413"/>
      <c r="H16" s="2414"/>
      <c r="I16" s="2414"/>
      <c r="J16" s="2414"/>
      <c r="K16" s="2414"/>
      <c r="L16" s="2415"/>
    </row>
    <row r="17" spans="1:13" ht="12.2" customHeight="1" x14ac:dyDescent="0.2">
      <c r="A17" s="2416"/>
      <c r="B17" s="2401"/>
      <c r="C17" s="2401"/>
      <c r="D17" s="2401"/>
      <c r="E17" s="2401"/>
      <c r="F17" s="2402"/>
      <c r="G17" s="1195" t="s">
        <v>1184</v>
      </c>
      <c r="H17" s="1193"/>
      <c r="I17" s="1193"/>
      <c r="J17" s="1193"/>
      <c r="K17" s="1197" t="s">
        <v>1183</v>
      </c>
      <c r="L17" s="1190"/>
      <c r="M17" s="1183"/>
    </row>
    <row r="18" spans="1:13" ht="12.2" customHeight="1" x14ac:dyDescent="0.2">
      <c r="A18" s="2394"/>
      <c r="B18" s="2395"/>
      <c r="C18" s="2395"/>
      <c r="D18" s="2395"/>
      <c r="E18" s="2395"/>
      <c r="F18" s="2396"/>
      <c r="G18" s="2397" t="str">
        <f>COVER!T21</f>
        <v>618-546-1502</v>
      </c>
      <c r="H18" s="2398"/>
      <c r="I18" s="2398"/>
      <c r="J18" s="2398"/>
      <c r="K18" s="2397" t="str">
        <f>COVER!X21</f>
        <v>618-544-2140</v>
      </c>
      <c r="L18" s="239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2061</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2061</v>
      </c>
      <c r="C26" s="1202" t="s">
        <v>1699</v>
      </c>
    </row>
    <row r="27" spans="1:13" s="1198" customFormat="1" ht="9" customHeight="1" x14ac:dyDescent="0.2">
      <c r="B27" s="1203"/>
      <c r="C27" s="1202"/>
    </row>
    <row r="28" spans="1:13" s="1198" customFormat="1" ht="12.2" customHeight="1" x14ac:dyDescent="0.2">
      <c r="A28" s="1205"/>
      <c r="B28" s="1201" t="s">
        <v>2061</v>
      </c>
      <c r="C28" s="1202" t="s">
        <v>1700</v>
      </c>
    </row>
    <row r="29" spans="1:13" s="1198" customFormat="1" ht="9" customHeight="1" x14ac:dyDescent="0.2">
      <c r="A29" s="1205"/>
      <c r="B29" s="1203"/>
      <c r="C29" s="1202"/>
    </row>
    <row r="30" spans="1:13" s="1198" customFormat="1" ht="12.2" customHeight="1" x14ac:dyDescent="0.2">
      <c r="B30" s="1201" t="s">
        <v>2061</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2061</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2061</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2061</v>
      </c>
      <c r="C38" s="1202" t="s">
        <v>1566</v>
      </c>
    </row>
    <row r="39" spans="1:8" ht="9" customHeight="1" x14ac:dyDescent="0.2">
      <c r="B39" s="1203"/>
      <c r="C39" s="1206"/>
    </row>
    <row r="40" spans="1:8" s="1198" customFormat="1" ht="13.5" customHeight="1" x14ac:dyDescent="0.2">
      <c r="B40" s="1201" t="s">
        <v>2061</v>
      </c>
      <c r="C40" s="1202" t="s">
        <v>1567</v>
      </c>
    </row>
    <row r="41" spans="1:8" ht="9" customHeight="1" x14ac:dyDescent="0.2">
      <c r="A41" s="1207"/>
      <c r="B41" s="1203"/>
      <c r="C41" s="1206"/>
    </row>
    <row r="42" spans="1:8" s="1198" customFormat="1" ht="13.5" customHeight="1" x14ac:dyDescent="0.2">
      <c r="B42" s="1201" t="s">
        <v>2061</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126" sqref="D126"/>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8" t="str">
        <f>'Single Audit Cover'!A7</f>
        <v xml:space="preserve">South Eastern Sp Ed Program </v>
      </c>
      <c r="B1" s="2434"/>
      <c r="C1" s="2434"/>
      <c r="D1" s="2434"/>
    </row>
    <row r="2" spans="1:11" s="1212" customFormat="1" ht="12.75" x14ac:dyDescent="0.2">
      <c r="A2" s="2439">
        <f>'Single Audit Cover'!E7</f>
        <v>12017801060</v>
      </c>
      <c r="B2" s="2440"/>
      <c r="C2" s="2440"/>
      <c r="D2" s="2440"/>
    </row>
    <row r="3" spans="1:11" s="1212" customFormat="1" ht="12.75" x14ac:dyDescent="0.2">
      <c r="A3" s="2438" t="s">
        <v>1513</v>
      </c>
      <c r="B3" s="2434"/>
      <c r="C3" s="2434"/>
      <c r="D3" s="243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2061</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2061</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2061</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2061</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2061</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2084</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2061</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2061</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2061</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2084</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2061</v>
      </c>
      <c r="C42" s="1229">
        <v>11</v>
      </c>
      <c r="D42" s="1240" t="s">
        <v>1574</v>
      </c>
      <c r="E42" s="312"/>
    </row>
    <row r="43" spans="1:5" ht="3" customHeight="1" x14ac:dyDescent="0.2">
      <c r="A43" s="1219"/>
      <c r="B43" s="1236"/>
      <c r="C43" s="1237"/>
      <c r="D43" s="1218"/>
    </row>
    <row r="44" spans="1:5" x14ac:dyDescent="0.2">
      <c r="A44" s="1219"/>
      <c r="B44" s="1222" t="s">
        <v>2084</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2084</v>
      </c>
      <c r="C48" s="1223">
        <f>C44+1</f>
        <v>13</v>
      </c>
      <c r="D48" s="1234" t="s">
        <v>1575</v>
      </c>
    </row>
    <row r="49" spans="1:4" ht="3" customHeight="1" x14ac:dyDescent="0.2">
      <c r="A49" s="1219"/>
      <c r="B49" s="1226"/>
      <c r="C49" s="1223"/>
      <c r="D49" s="1234"/>
    </row>
    <row r="50" spans="1:4" x14ac:dyDescent="0.2">
      <c r="A50" s="1219"/>
      <c r="B50" s="1222" t="s">
        <v>2084</v>
      </c>
      <c r="C50" s="1223">
        <f>C48+1</f>
        <v>14</v>
      </c>
      <c r="D50" s="1234" t="s">
        <v>1212</v>
      </c>
    </row>
    <row r="51" spans="1:4" ht="3" customHeight="1" x14ac:dyDescent="0.2">
      <c r="A51" s="1219"/>
      <c r="B51" s="1226"/>
      <c r="C51" s="1223"/>
      <c r="D51" s="1234"/>
    </row>
    <row r="52" spans="1:4" x14ac:dyDescent="0.2">
      <c r="A52" s="1219"/>
      <c r="B52" s="1222" t="s">
        <v>2084</v>
      </c>
      <c r="C52" s="1223">
        <f>C50+1</f>
        <v>15</v>
      </c>
      <c r="D52" s="1234" t="s">
        <v>1211</v>
      </c>
    </row>
    <row r="53" spans="1:4" ht="3" customHeight="1" x14ac:dyDescent="0.2">
      <c r="A53" s="1219"/>
      <c r="B53" s="1226"/>
      <c r="C53" s="1223"/>
      <c r="D53" s="1234"/>
    </row>
    <row r="54" spans="1:4" x14ac:dyDescent="0.2">
      <c r="A54" s="1219"/>
      <c r="B54" s="1222" t="s">
        <v>2084</v>
      </c>
      <c r="C54" s="1223">
        <f>C52+1</f>
        <v>16</v>
      </c>
      <c r="D54" s="1234" t="s">
        <v>1210</v>
      </c>
    </row>
    <row r="55" spans="1:4" ht="3" customHeight="1" x14ac:dyDescent="0.2">
      <c r="A55" s="1219"/>
      <c r="B55" s="1226"/>
      <c r="C55" s="1223"/>
      <c r="D55" s="1234"/>
    </row>
    <row r="56" spans="1:4" x14ac:dyDescent="0.2">
      <c r="A56" s="1219"/>
      <c r="B56" s="1222" t="s">
        <v>2084</v>
      </c>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t="s">
        <v>2061</v>
      </c>
      <c r="C72" s="1223">
        <f>C56+1</f>
        <v>18</v>
      </c>
      <c r="D72" s="1244" t="s">
        <v>1714</v>
      </c>
    </row>
    <row r="73" spans="1:4" ht="3" customHeight="1" x14ac:dyDescent="0.2">
      <c r="A73" s="1219"/>
      <c r="B73" s="1226"/>
      <c r="C73" s="1223"/>
      <c r="D73" s="1244"/>
    </row>
    <row r="74" spans="1:4" x14ac:dyDescent="0.2">
      <c r="A74" s="1219"/>
      <c r="B74" s="1222" t="s">
        <v>2061</v>
      </c>
      <c r="C74" s="1223">
        <f>C72+1</f>
        <v>19</v>
      </c>
      <c r="D74" s="1234" t="s">
        <v>1205</v>
      </c>
    </row>
    <row r="75" spans="1:4" ht="3" customHeight="1" x14ac:dyDescent="0.2">
      <c r="A75" s="1219"/>
      <c r="B75" s="1226"/>
      <c r="C75" s="1223"/>
      <c r="D75" s="1234"/>
    </row>
    <row r="76" spans="1:4" x14ac:dyDescent="0.2">
      <c r="A76" s="1219"/>
      <c r="B76" s="1222" t="s">
        <v>2061</v>
      </c>
      <c r="C76" s="1223">
        <f>C74+1</f>
        <v>20</v>
      </c>
      <c r="D76" s="1245" t="s">
        <v>1715</v>
      </c>
    </row>
    <row r="77" spans="1:4" ht="3" customHeight="1" x14ac:dyDescent="0.2">
      <c r="A77" s="1219"/>
      <c r="B77" s="1226"/>
      <c r="C77" s="1223"/>
      <c r="D77" s="1245"/>
    </row>
    <row r="78" spans="1:4" x14ac:dyDescent="0.2">
      <c r="A78" s="1219"/>
      <c r="B78" s="1222" t="s">
        <v>2061</v>
      </c>
      <c r="C78" s="1223">
        <f>C76+1</f>
        <v>21</v>
      </c>
      <c r="D78" s="1218" t="s">
        <v>1716</v>
      </c>
    </row>
    <row r="79" spans="1:4" ht="3" customHeight="1" x14ac:dyDescent="0.2">
      <c r="A79" s="1219"/>
      <c r="B79" s="1226"/>
      <c r="C79" s="1223"/>
      <c r="D79" s="1218"/>
    </row>
    <row r="80" spans="1:4" x14ac:dyDescent="0.2">
      <c r="A80" s="1219"/>
      <c r="B80" s="1222" t="s">
        <v>2061</v>
      </c>
      <c r="C80" s="1223">
        <f>C78+1</f>
        <v>22</v>
      </c>
      <c r="D80" s="1246" t="s">
        <v>1717</v>
      </c>
    </row>
    <row r="81" spans="1:4" ht="3" customHeight="1" x14ac:dyDescent="0.2">
      <c r="A81" s="1219"/>
      <c r="B81" s="1226"/>
      <c r="C81" s="1223"/>
      <c r="D81" s="1246"/>
    </row>
    <row r="82" spans="1:4" x14ac:dyDescent="0.2">
      <c r="A82" s="1219"/>
      <c r="B82" s="1222" t="s">
        <v>2061</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2061</v>
      </c>
      <c r="C85" s="1223">
        <f>C82+1</f>
        <v>24</v>
      </c>
      <c r="D85" s="1234" t="s">
        <v>1203</v>
      </c>
    </row>
    <row r="86" spans="1:4" ht="3" customHeight="1" x14ac:dyDescent="0.2">
      <c r="A86" s="1219"/>
      <c r="B86" s="1226"/>
      <c r="C86" s="1223"/>
      <c r="D86" s="1234"/>
    </row>
    <row r="87" spans="1:4" x14ac:dyDescent="0.2">
      <c r="A87" s="1219"/>
      <c r="B87" s="1222" t="s">
        <v>2061</v>
      </c>
      <c r="C87" s="1223">
        <f>C85+1</f>
        <v>25</v>
      </c>
      <c r="D87" s="1234" t="s">
        <v>1202</v>
      </c>
    </row>
    <row r="88" spans="1:4" ht="3" customHeight="1" x14ac:dyDescent="0.2">
      <c r="A88" s="1219"/>
      <c r="B88" s="1226"/>
      <c r="C88" s="1223"/>
      <c r="D88" s="1234"/>
    </row>
    <row r="89" spans="1:4" x14ac:dyDescent="0.2">
      <c r="A89" s="1219"/>
      <c r="B89" s="1222" t="s">
        <v>2061</v>
      </c>
      <c r="C89" s="1223">
        <f>C87+1</f>
        <v>26</v>
      </c>
      <c r="D89" s="1234" t="s">
        <v>1201</v>
      </c>
    </row>
    <row r="90" spans="1:4" ht="3" customHeight="1" x14ac:dyDescent="0.2">
      <c r="A90" s="1219"/>
      <c r="B90" s="1226"/>
      <c r="C90" s="1223"/>
      <c r="D90" s="1234"/>
    </row>
    <row r="91" spans="1:4" x14ac:dyDescent="0.2">
      <c r="A91" s="1219"/>
      <c r="B91" s="1222" t="s">
        <v>2061</v>
      </c>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2061</v>
      </c>
      <c r="C96" s="1223">
        <f>C91+1</f>
        <v>28</v>
      </c>
      <c r="D96" s="1234" t="s">
        <v>1720</v>
      </c>
    </row>
    <row r="97" spans="1:4" ht="3" customHeight="1" x14ac:dyDescent="0.2">
      <c r="A97" s="1219"/>
      <c r="B97" s="1226"/>
      <c r="C97" s="1223"/>
      <c r="D97" s="1234"/>
    </row>
    <row r="98" spans="1:4" x14ac:dyDescent="0.2">
      <c r="A98" s="1219"/>
      <c r="B98" s="1222" t="s">
        <v>2061</v>
      </c>
      <c r="C98" s="1223">
        <f>C96+1</f>
        <v>29</v>
      </c>
      <c r="D98" s="1248" t="s">
        <v>1721</v>
      </c>
    </row>
    <row r="99" spans="1:4" ht="3" customHeight="1" x14ac:dyDescent="0.2">
      <c r="A99" s="1219"/>
      <c r="B99" s="1226"/>
      <c r="C99" s="1223"/>
      <c r="D99" s="1248"/>
    </row>
    <row r="100" spans="1:4" x14ac:dyDescent="0.2">
      <c r="A100" s="1219"/>
      <c r="B100" s="1222" t="s">
        <v>2061</v>
      </c>
      <c r="C100" s="1223">
        <f>C98+1</f>
        <v>30</v>
      </c>
      <c r="D100" s="1234" t="s">
        <v>1722</v>
      </c>
    </row>
    <row r="101" spans="1:4" ht="3" customHeight="1" x14ac:dyDescent="0.2">
      <c r="A101" s="1219"/>
      <c r="B101" s="1226"/>
      <c r="C101" s="1223"/>
      <c r="D101" s="1249"/>
    </row>
    <row r="102" spans="1:4" x14ac:dyDescent="0.2">
      <c r="A102" s="1219"/>
      <c r="B102" s="1222" t="s">
        <v>2061</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2061</v>
      </c>
      <c r="C106" s="1223">
        <f>C102+1</f>
        <v>32</v>
      </c>
      <c r="D106" s="1218" t="s">
        <v>1580</v>
      </c>
    </row>
    <row r="107" spans="1:4" ht="3" customHeight="1" x14ac:dyDescent="0.2">
      <c r="A107" s="1219"/>
      <c r="B107" s="1226"/>
      <c r="C107" s="1223"/>
      <c r="D107" s="1218"/>
    </row>
    <row r="108" spans="1:4" x14ac:dyDescent="0.2">
      <c r="A108" s="1219"/>
      <c r="B108" s="1222" t="s">
        <v>2061</v>
      </c>
      <c r="C108" s="1223">
        <v>33</v>
      </c>
      <c r="D108" s="1218" t="s">
        <v>1723</v>
      </c>
    </row>
    <row r="109" spans="1:4" ht="3" customHeight="1" x14ac:dyDescent="0.2">
      <c r="A109" s="1219"/>
      <c r="B109" s="1226"/>
      <c r="C109" s="1223"/>
      <c r="D109" s="1218"/>
    </row>
    <row r="110" spans="1:4" x14ac:dyDescent="0.2">
      <c r="A110" s="1219"/>
      <c r="B110" s="1222" t="s">
        <v>2084</v>
      </c>
      <c r="C110" s="1223">
        <f>C108+1</f>
        <v>34</v>
      </c>
      <c r="D110" s="1218" t="s">
        <v>1198</v>
      </c>
    </row>
    <row r="111" spans="1:4" ht="3" customHeight="1" x14ac:dyDescent="0.2">
      <c r="A111" s="1219"/>
      <c r="B111" s="1226"/>
      <c r="C111" s="1223"/>
      <c r="D111" s="1218"/>
    </row>
    <row r="112" spans="1:4" x14ac:dyDescent="0.2">
      <c r="A112" s="1219"/>
      <c r="B112" s="1222" t="s">
        <v>2084</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2084</v>
      </c>
      <c r="C115" s="1223">
        <f>C112+1</f>
        <v>36</v>
      </c>
      <c r="D115" s="1234" t="s">
        <v>1195</v>
      </c>
    </row>
    <row r="116" spans="1:4" ht="3" customHeight="1" x14ac:dyDescent="0.2">
      <c r="A116" s="1219"/>
      <c r="B116" s="1226"/>
      <c r="C116" s="1223"/>
      <c r="D116" s="1234"/>
    </row>
    <row r="117" spans="1:4" x14ac:dyDescent="0.2">
      <c r="A117" s="1219"/>
      <c r="B117" s="1222" t="s">
        <v>2084</v>
      </c>
      <c r="C117" s="1223">
        <f>C115+1</f>
        <v>37</v>
      </c>
      <c r="D117" s="1234" t="s">
        <v>1724</v>
      </c>
    </row>
    <row r="118" spans="1:4" ht="3" customHeight="1" x14ac:dyDescent="0.2">
      <c r="A118" s="1219"/>
      <c r="B118" s="1226"/>
      <c r="C118" s="1223"/>
      <c r="D118" s="1234"/>
    </row>
    <row r="119" spans="1:4" x14ac:dyDescent="0.2">
      <c r="A119" s="1219"/>
      <c r="B119" s="1222" t="s">
        <v>2084</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2061</v>
      </c>
      <c r="C123" s="1223">
        <f>C119+1</f>
        <v>39</v>
      </c>
      <c r="D123" s="1244" t="s">
        <v>1833</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I57" sqref="I5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2" t="str">
        <f>'Single Audit Cover'!A7</f>
        <v xml:space="preserve">South Eastern Sp Ed Program </v>
      </c>
      <c r="B1" s="2442"/>
      <c r="C1" s="2442"/>
      <c r="D1" s="2442"/>
      <c r="E1" s="2442"/>
    </row>
    <row r="2" spans="1:5" x14ac:dyDescent="0.2">
      <c r="A2" s="2443">
        <f>'Single Audit Cover'!E7</f>
        <v>12017801060</v>
      </c>
      <c r="B2" s="2443"/>
      <c r="C2" s="2443"/>
      <c r="D2" s="2443"/>
      <c r="E2" s="2443"/>
    </row>
    <row r="3" spans="1:5" ht="4.5" customHeight="1" x14ac:dyDescent="0.2"/>
    <row r="4" spans="1:5" x14ac:dyDescent="0.2">
      <c r="A4" s="2442" t="s">
        <v>1245</v>
      </c>
      <c r="B4" s="2442"/>
      <c r="C4" s="2442"/>
      <c r="D4" s="2442"/>
      <c r="E4" s="2442"/>
    </row>
    <row r="5" spans="1:5" x14ac:dyDescent="0.2">
      <c r="A5" s="2445" t="str">
        <f>'Single Audit Cover'!A4</f>
        <v>Year Ending June 30, 2019</v>
      </c>
      <c r="B5" s="2445"/>
      <c r="C5" s="2445"/>
      <c r="D5" s="2445"/>
      <c r="E5" s="2445"/>
    </row>
    <row r="6" spans="1:5" x14ac:dyDescent="0.2">
      <c r="A6" s="2442" t="s">
        <v>1244</v>
      </c>
      <c r="B6" s="2442"/>
      <c r="C6" s="2442"/>
      <c r="D6" s="2442"/>
      <c r="E6" s="2442"/>
    </row>
    <row r="8" spans="1:5" x14ac:dyDescent="0.2">
      <c r="A8" s="1257" t="s">
        <v>1243</v>
      </c>
    </row>
    <row r="10" spans="1:5" x14ac:dyDescent="0.2">
      <c r="A10" s="1258" t="s">
        <v>1242</v>
      </c>
      <c r="B10" s="1259" t="s">
        <v>1241</v>
      </c>
      <c r="C10" s="1259"/>
      <c r="D10" s="1260">
        <f>SUM('Acct Summary 7-8'!C7:K7)</f>
        <v>3528329</v>
      </c>
    </row>
    <row r="11" spans="1:5" ht="18" customHeight="1" x14ac:dyDescent="0.2">
      <c r="A11" s="1258" t="s">
        <v>1240</v>
      </c>
      <c r="B11" s="1259"/>
      <c r="C11" s="1259"/>
    </row>
    <row r="12" spans="1:5" x14ac:dyDescent="0.2">
      <c r="A12" s="1258" t="s">
        <v>1239</v>
      </c>
      <c r="B12" s="1259" t="s">
        <v>1238</v>
      </c>
      <c r="C12" s="1259"/>
      <c r="D12" s="1261">
        <f>SUM('Revenues 9-14'!C112:D112,'Revenues 9-14'!F112:G112)</f>
        <v>47260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1839</v>
      </c>
      <c r="B16" s="1259"/>
      <c r="C16" s="1259"/>
    </row>
    <row r="17" spans="1:4" x14ac:dyDescent="0.2">
      <c r="A17" s="1258" t="s">
        <v>2055</v>
      </c>
      <c r="B17" s="1259" t="s">
        <v>1236</v>
      </c>
      <c r="C17" s="1259"/>
      <c r="D17" s="1261">
        <f>-SUM('Revenues 9-14'!C264:D264,'Revenues 9-14'!F264:G264)</f>
        <v>-108342</v>
      </c>
    </row>
    <row r="19" spans="1:4" ht="13.5" thickBot="1" x14ac:dyDescent="0.25">
      <c r="A19" s="1262" t="s">
        <v>1235</v>
      </c>
      <c r="D19" s="1263">
        <f>SUM(D10:D17)</f>
        <v>3467247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4"/>
      <c r="B24" s="2444"/>
      <c r="D24" s="1265"/>
    </row>
    <row r="25" spans="1:4" x14ac:dyDescent="0.2">
      <c r="A25" s="2441"/>
      <c r="B25" s="2441"/>
      <c r="D25" s="1265"/>
    </row>
    <row r="26" spans="1:4" x14ac:dyDescent="0.2">
      <c r="A26" s="2441"/>
      <c r="B26" s="2441"/>
      <c r="D26" s="1265"/>
    </row>
    <row r="27" spans="1:4" x14ac:dyDescent="0.2">
      <c r="A27" s="2441"/>
      <c r="B27" s="2441"/>
      <c r="D27" s="1265"/>
    </row>
    <row r="28" spans="1:4" x14ac:dyDescent="0.2">
      <c r="A28" s="2441"/>
      <c r="B28" s="2441"/>
      <c r="D28" s="1265"/>
    </row>
    <row r="29" spans="1:4" x14ac:dyDescent="0.2">
      <c r="A29" s="2441"/>
      <c r="B29" s="2441"/>
      <c r="D29" s="1265"/>
    </row>
    <row r="30" spans="1:4" x14ac:dyDescent="0.2">
      <c r="A30" s="2441"/>
      <c r="B30" s="2441"/>
      <c r="D30" s="1265"/>
    </row>
    <row r="32" spans="1:4" x14ac:dyDescent="0.2">
      <c r="A32" s="1257" t="s">
        <v>1233</v>
      </c>
      <c r="D32" s="1260">
        <f>SUM(D19:D30)</f>
        <v>3467247</v>
      </c>
    </row>
    <row r="33" spans="1:4" x14ac:dyDescent="0.2">
      <c r="D33" s="1266"/>
    </row>
    <row r="34" spans="1:4" x14ac:dyDescent="0.2">
      <c r="A34" s="317" t="s">
        <v>1232</v>
      </c>
    </row>
    <row r="35" spans="1:4" x14ac:dyDescent="0.2">
      <c r="A35" s="317" t="s">
        <v>1231</v>
      </c>
      <c r="B35" s="1255" t="s">
        <v>1230</v>
      </c>
      <c r="D35" s="1267">
        <v>3467247</v>
      </c>
    </row>
    <row r="37" spans="1:4" x14ac:dyDescent="0.2">
      <c r="A37" s="1257" t="s">
        <v>1229</v>
      </c>
    </row>
    <row r="39" spans="1:4" ht="13.35" customHeight="1" x14ac:dyDescent="0.2">
      <c r="A39" s="1264" t="s">
        <v>1228</v>
      </c>
    </row>
    <row r="40" spans="1:4" x14ac:dyDescent="0.2">
      <c r="A40" s="2441"/>
      <c r="B40" s="2441"/>
      <c r="D40" s="1265"/>
    </row>
    <row r="41" spans="1:4" x14ac:dyDescent="0.2">
      <c r="A41" s="2441"/>
      <c r="B41" s="2441"/>
      <c r="D41" s="1268"/>
    </row>
    <row r="42" spans="1:4" x14ac:dyDescent="0.2">
      <c r="A42" s="2441"/>
      <c r="B42" s="2441"/>
      <c r="D42" s="1268"/>
    </row>
    <row r="43" spans="1:4" x14ac:dyDescent="0.2">
      <c r="A43" s="2441"/>
      <c r="B43" s="2441"/>
      <c r="D43" s="1268"/>
    </row>
    <row r="44" spans="1:4" x14ac:dyDescent="0.2">
      <c r="A44" s="2441"/>
      <c r="B44" s="2441"/>
      <c r="D44" s="1268"/>
    </row>
    <row r="45" spans="1:4" x14ac:dyDescent="0.2">
      <c r="A45" s="2441"/>
      <c r="B45" s="2441"/>
      <c r="D45" s="1268"/>
    </row>
    <row r="47" spans="1:4" x14ac:dyDescent="0.2">
      <c r="B47" s="1269" t="s">
        <v>1227</v>
      </c>
      <c r="C47" s="1269"/>
      <c r="D47" s="1270">
        <f>SUM(D35:D45)</f>
        <v>3467247</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0"/>
  <sheetViews>
    <sheetView showGridLines="0" zoomScaleNormal="100" workbookViewId="0">
      <selection activeCell="E22" sqref="E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3" t="str">
        <f>'Single Audit Cover'!A7</f>
        <v xml:space="preserve">South Eastern Sp Ed Program </v>
      </c>
      <c r="C1" s="2446"/>
      <c r="D1" s="2446"/>
      <c r="E1" s="2446"/>
      <c r="F1" s="2446"/>
      <c r="G1" s="2446"/>
      <c r="H1" s="2446"/>
      <c r="I1" s="2446"/>
      <c r="J1" s="2446"/>
      <c r="K1" s="2446"/>
      <c r="L1" s="2446"/>
      <c r="M1" s="2446"/>
    </row>
    <row r="2" spans="2:14" ht="15" x14ac:dyDescent="0.2">
      <c r="B2" s="2447">
        <f>'Single Audit Cover'!E7</f>
        <v>12017801060</v>
      </c>
      <c r="C2" s="2447"/>
      <c r="D2" s="2447"/>
      <c r="E2" s="2447"/>
      <c r="F2" s="2447"/>
      <c r="G2" s="2447"/>
      <c r="H2" s="2447"/>
      <c r="I2" s="2447"/>
      <c r="J2" s="2447"/>
      <c r="K2" s="2447"/>
      <c r="L2" s="2447"/>
      <c r="M2" s="2447"/>
      <c r="N2" s="1299"/>
    </row>
    <row r="3" spans="2:14" ht="15" x14ac:dyDescent="0.2">
      <c r="B3" s="2448" t="s">
        <v>1219</v>
      </c>
      <c r="C3" s="2448"/>
      <c r="D3" s="2448"/>
      <c r="E3" s="2448"/>
      <c r="F3" s="2448"/>
      <c r="G3" s="2448"/>
      <c r="H3" s="2448"/>
      <c r="I3" s="2448"/>
      <c r="J3" s="2448"/>
      <c r="K3" s="2448"/>
      <c r="L3" s="2448"/>
      <c r="M3" s="2448"/>
      <c r="N3" s="1299"/>
    </row>
    <row r="4" spans="2:14" ht="15" x14ac:dyDescent="0.2">
      <c r="B4" s="2449" t="str">
        <f>'Single Audit Cover'!A4</f>
        <v>Year Ending June 30, 2019</v>
      </c>
      <c r="C4" s="2449"/>
      <c r="D4" s="2449"/>
      <c r="E4" s="2449"/>
      <c r="F4" s="2449"/>
      <c r="G4" s="2449"/>
      <c r="H4" s="2449"/>
      <c r="I4" s="2449"/>
      <c r="J4" s="2449"/>
      <c r="K4" s="2449"/>
      <c r="L4" s="2449"/>
      <c r="M4" s="2449"/>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1835</v>
      </c>
      <c r="I8" s="1316" t="s">
        <v>1262</v>
      </c>
      <c r="J8" s="1315" t="s">
        <v>1984</v>
      </c>
      <c r="K8" s="1316" t="s">
        <v>1261</v>
      </c>
      <c r="L8" s="1317" t="s">
        <v>1257</v>
      </c>
      <c r="M8" s="1318" t="s">
        <v>30</v>
      </c>
    </row>
    <row r="9" spans="2:14" ht="14.25" x14ac:dyDescent="0.2">
      <c r="B9" s="1322" t="s">
        <v>1259</v>
      </c>
      <c r="C9" s="1310" t="s">
        <v>1732</v>
      </c>
      <c r="D9" s="1311" t="s">
        <v>1733</v>
      </c>
      <c r="E9" s="1319" t="s">
        <v>1835</v>
      </c>
      <c r="F9" s="1320" t="s">
        <v>1984</v>
      </c>
      <c r="G9" s="1321" t="s">
        <v>1835</v>
      </c>
      <c r="H9" s="1314" t="s">
        <v>1582</v>
      </c>
      <c r="I9" s="1316" t="s">
        <v>1984</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2085</v>
      </c>
      <c r="C11" s="1335"/>
      <c r="D11" s="1336"/>
      <c r="E11" s="1337"/>
      <c r="F11" s="1337"/>
      <c r="G11" s="1337"/>
      <c r="H11" s="1337"/>
      <c r="I11" s="1337"/>
      <c r="J11" s="1337"/>
      <c r="K11" s="1337"/>
      <c r="L11" s="1337">
        <f>+G11+I11+K11</f>
        <v>0</v>
      </c>
      <c r="M11" s="1337"/>
    </row>
    <row r="12" spans="2:14" ht="20.100000000000001" customHeight="1" x14ac:dyDescent="0.2">
      <c r="B12" s="1940" t="s">
        <v>2086</v>
      </c>
      <c r="C12" s="1338"/>
      <c r="D12" s="1339"/>
      <c r="E12" s="1340"/>
      <c r="F12" s="1340"/>
      <c r="G12" s="1340"/>
      <c r="H12" s="1340"/>
      <c r="I12" s="1340"/>
      <c r="J12" s="1340"/>
      <c r="K12" s="1340"/>
      <c r="L12" s="1337">
        <f t="shared" ref="L12:L24" si="0">+G12+I12+K12</f>
        <v>0</v>
      </c>
      <c r="M12" s="1340"/>
    </row>
    <row r="13" spans="2:14" ht="20.100000000000001" customHeight="1" x14ac:dyDescent="0.2">
      <c r="B13" s="1941" t="s">
        <v>2087</v>
      </c>
      <c r="C13" s="1338"/>
      <c r="D13" s="1339"/>
      <c r="E13" s="1340"/>
      <c r="F13" s="1340"/>
      <c r="G13" s="1340"/>
      <c r="H13" s="1340"/>
      <c r="I13" s="1340"/>
      <c r="J13" s="1340"/>
      <c r="K13" s="1340"/>
      <c r="L13" s="1337">
        <f t="shared" si="0"/>
        <v>0</v>
      </c>
      <c r="M13" s="1340"/>
    </row>
    <row r="14" spans="2:14" ht="20.100000000000001" customHeight="1" x14ac:dyDescent="0.2">
      <c r="B14" s="1942" t="s">
        <v>2088</v>
      </c>
      <c r="C14" s="1338" t="s">
        <v>2096</v>
      </c>
      <c r="D14" s="1339" t="s">
        <v>2098</v>
      </c>
      <c r="E14" s="1340"/>
      <c r="F14" s="1340">
        <v>2503165</v>
      </c>
      <c r="G14" s="1340"/>
      <c r="H14" s="1340"/>
      <c r="I14" s="1340">
        <v>2691738</v>
      </c>
      <c r="J14" s="1340"/>
      <c r="K14" s="1340">
        <v>412537</v>
      </c>
      <c r="L14" s="1337">
        <f>+G14+I14+K14</f>
        <v>3104275</v>
      </c>
      <c r="M14" s="1340">
        <v>3150059</v>
      </c>
    </row>
    <row r="15" spans="2:14" ht="20.100000000000001" customHeight="1" x14ac:dyDescent="0.2">
      <c r="B15" s="1942" t="s">
        <v>2089</v>
      </c>
      <c r="C15" s="1338" t="s">
        <v>2096</v>
      </c>
      <c r="D15" s="1339" t="s">
        <v>2099</v>
      </c>
      <c r="E15" s="1340">
        <v>1883627</v>
      </c>
      <c r="F15" s="1340">
        <v>672977</v>
      </c>
      <c r="G15" s="1340">
        <v>2173519</v>
      </c>
      <c r="H15" s="1340"/>
      <c r="I15" s="1340">
        <v>383085</v>
      </c>
      <c r="J15" s="1340"/>
      <c r="K15" s="1340"/>
      <c r="L15" s="1337">
        <f t="shared" si="0"/>
        <v>2556604</v>
      </c>
      <c r="M15" s="1340">
        <v>2737937</v>
      </c>
    </row>
    <row r="16" spans="2:14" ht="20.100000000000001" customHeight="1" x14ac:dyDescent="0.2">
      <c r="B16" s="1942" t="s">
        <v>2088</v>
      </c>
      <c r="C16" s="1338" t="s">
        <v>2096</v>
      </c>
      <c r="D16" s="1339" t="s">
        <v>2100</v>
      </c>
      <c r="E16" s="1340"/>
      <c r="F16" s="1340">
        <v>45784</v>
      </c>
      <c r="G16" s="1340"/>
      <c r="H16" s="1340"/>
      <c r="I16" s="1340"/>
      <c r="J16" s="1340">
        <v>45784</v>
      </c>
      <c r="K16" s="1340"/>
      <c r="L16" s="1337">
        <f t="shared" si="0"/>
        <v>0</v>
      </c>
      <c r="M16" s="1340"/>
    </row>
    <row r="17" spans="2:14" ht="20.100000000000001" customHeight="1" x14ac:dyDescent="0.2">
      <c r="B17" s="1942" t="s">
        <v>2090</v>
      </c>
      <c r="C17" s="1338" t="s">
        <v>2097</v>
      </c>
      <c r="D17" s="1339" t="s">
        <v>2101</v>
      </c>
      <c r="E17" s="1340"/>
      <c r="F17" s="1340">
        <v>171471</v>
      </c>
      <c r="G17" s="1340"/>
      <c r="H17" s="1340"/>
      <c r="I17" s="1340">
        <v>188330</v>
      </c>
      <c r="J17" s="1340"/>
      <c r="K17" s="1340">
        <v>17144</v>
      </c>
      <c r="L17" s="1337">
        <f t="shared" si="0"/>
        <v>205474</v>
      </c>
      <c r="M17" s="1340">
        <v>206950</v>
      </c>
    </row>
    <row r="18" spans="2:14" ht="20.100000000000001" customHeight="1" x14ac:dyDescent="0.2">
      <c r="B18" s="1942" t="s">
        <v>2103</v>
      </c>
      <c r="C18" s="1338" t="s">
        <v>2097</v>
      </c>
      <c r="D18" s="1339" t="s">
        <v>2102</v>
      </c>
      <c r="E18" s="1340">
        <v>121493</v>
      </c>
      <c r="F18" s="1340">
        <v>21446</v>
      </c>
      <c r="G18" s="1340">
        <v>130903</v>
      </c>
      <c r="H18" s="1340"/>
      <c r="I18" s="1340">
        <v>12036</v>
      </c>
      <c r="J18" s="1340"/>
      <c r="K18" s="1340"/>
      <c r="L18" s="1337">
        <f t="shared" si="0"/>
        <v>142939</v>
      </c>
      <c r="M18" s="1340">
        <v>145675</v>
      </c>
    </row>
    <row r="19" spans="2:14" ht="20.100000000000001" customHeight="1" x14ac:dyDescent="0.2">
      <c r="B19" s="1942" t="s">
        <v>2090</v>
      </c>
      <c r="C19" s="1338" t="s">
        <v>2097</v>
      </c>
      <c r="D19" s="1339" t="s">
        <v>2100</v>
      </c>
      <c r="E19" s="1340"/>
      <c r="F19" s="1340">
        <v>1476</v>
      </c>
      <c r="G19" s="1340"/>
      <c r="H19" s="1340"/>
      <c r="I19" s="1340"/>
      <c r="J19" s="1340">
        <v>1476</v>
      </c>
      <c r="K19" s="1340"/>
      <c r="L19" s="1337">
        <f>+G19+I19+K19</f>
        <v>0</v>
      </c>
      <c r="M19" s="1340"/>
    </row>
    <row r="20" spans="2:14" ht="20.100000000000001" customHeight="1" x14ac:dyDescent="0.2">
      <c r="B20" s="1941" t="s">
        <v>2091</v>
      </c>
      <c r="C20" s="1338"/>
      <c r="D20" s="1339"/>
      <c r="E20" s="1945">
        <f t="shared" ref="E20:K20" si="1">SUM(E14:E19)</f>
        <v>2005120</v>
      </c>
      <c r="F20" s="1945">
        <f t="shared" si="1"/>
        <v>3416319</v>
      </c>
      <c r="G20" s="1945">
        <f t="shared" si="1"/>
        <v>2304422</v>
      </c>
      <c r="H20" s="1945">
        <f t="shared" si="1"/>
        <v>0</v>
      </c>
      <c r="I20" s="1945">
        <f t="shared" si="1"/>
        <v>3275189</v>
      </c>
      <c r="J20" s="1945">
        <f t="shared" si="1"/>
        <v>47260</v>
      </c>
      <c r="K20" s="1945">
        <f t="shared" si="1"/>
        <v>429681</v>
      </c>
      <c r="L20" s="1945">
        <f t="shared" si="0"/>
        <v>6009292</v>
      </c>
      <c r="M20" s="1340"/>
    </row>
    <row r="21" spans="2:14" ht="20.100000000000001" customHeight="1" x14ac:dyDescent="0.2">
      <c r="B21" s="1942" t="s">
        <v>2092</v>
      </c>
      <c r="C21" s="1338"/>
      <c r="D21" s="1339"/>
      <c r="E21" s="1946">
        <f t="shared" ref="E21:K21" si="2">E20</f>
        <v>2005120</v>
      </c>
      <c r="F21" s="1946">
        <f t="shared" si="2"/>
        <v>3416319</v>
      </c>
      <c r="G21" s="1946">
        <f t="shared" si="2"/>
        <v>2304422</v>
      </c>
      <c r="H21" s="1946">
        <f t="shared" si="2"/>
        <v>0</v>
      </c>
      <c r="I21" s="1946">
        <f t="shared" si="2"/>
        <v>3275189</v>
      </c>
      <c r="J21" s="1946">
        <f t="shared" si="2"/>
        <v>47260</v>
      </c>
      <c r="K21" s="1946">
        <f t="shared" si="2"/>
        <v>429681</v>
      </c>
      <c r="L21" s="1946">
        <f t="shared" si="0"/>
        <v>6009292</v>
      </c>
      <c r="M21" s="1340"/>
    </row>
    <row r="22" spans="2:14" ht="20.100000000000001" customHeight="1" x14ac:dyDescent="0.2">
      <c r="B22" s="1334" t="s">
        <v>2093</v>
      </c>
      <c r="C22" s="1338"/>
      <c r="D22" s="1339"/>
      <c r="E22" s="1337"/>
      <c r="F22" s="1337"/>
      <c r="G22" s="1337"/>
      <c r="H22" s="1337"/>
      <c r="I22" s="1337"/>
      <c r="J22" s="1337"/>
      <c r="K22" s="1337"/>
      <c r="L22" s="1337">
        <f t="shared" si="0"/>
        <v>0</v>
      </c>
      <c r="M22" s="1340"/>
    </row>
    <row r="23" spans="2:14" ht="20.100000000000001" customHeight="1" x14ac:dyDescent="0.2">
      <c r="B23" s="1940" t="s">
        <v>2094</v>
      </c>
      <c r="C23" s="1338"/>
      <c r="D23" s="1339"/>
      <c r="E23" s="1340"/>
      <c r="F23" s="1340"/>
      <c r="G23" s="1340"/>
      <c r="H23" s="1340"/>
      <c r="I23" s="1340"/>
      <c r="J23" s="1340"/>
      <c r="K23" s="1340"/>
      <c r="L23" s="1337">
        <f t="shared" si="0"/>
        <v>0</v>
      </c>
      <c r="M23" s="1340"/>
    </row>
    <row r="24" spans="2:14" ht="20.100000000000001" customHeight="1" x14ac:dyDescent="0.2">
      <c r="B24" s="1941" t="s">
        <v>2095</v>
      </c>
      <c r="C24" s="1338">
        <v>93.778000000000006</v>
      </c>
      <c r="D24" s="1339" t="s">
        <v>2084</v>
      </c>
      <c r="E24" s="1943">
        <v>54696</v>
      </c>
      <c r="F24" s="1943">
        <v>50928</v>
      </c>
      <c r="G24" s="1943">
        <v>55618</v>
      </c>
      <c r="H24" s="1943"/>
      <c r="I24" s="1943">
        <v>51620</v>
      </c>
      <c r="J24" s="1943"/>
      <c r="K24" s="1943"/>
      <c r="L24" s="1944">
        <f t="shared" si="0"/>
        <v>107238</v>
      </c>
      <c r="M24" s="1340"/>
    </row>
    <row r="25" spans="2:14" ht="20.100000000000001" customHeight="1" thickBot="1" x14ac:dyDescent="0.25">
      <c r="B25" s="1334" t="s">
        <v>1161</v>
      </c>
      <c r="C25" s="1338"/>
      <c r="D25" s="1339"/>
      <c r="E25" s="1947">
        <f>E21+E24</f>
        <v>2059816</v>
      </c>
      <c r="F25" s="1947">
        <f>F21+F24</f>
        <v>3467247</v>
      </c>
      <c r="G25" s="1947">
        <f>G21+G24</f>
        <v>2360040</v>
      </c>
      <c r="H25" s="1947">
        <f>H21+H24</f>
        <v>0</v>
      </c>
      <c r="I25" s="1947">
        <f>I21+I24</f>
        <v>3326809</v>
      </c>
      <c r="J25" s="1947">
        <f>J21</f>
        <v>47260</v>
      </c>
      <c r="K25" s="1947">
        <f>K21</f>
        <v>429681</v>
      </c>
      <c r="L25" s="1947">
        <f>+G25+I25+K25</f>
        <v>6116530</v>
      </c>
      <c r="M25" s="1340"/>
      <c r="N25" s="1341"/>
    </row>
    <row r="26" spans="2:14" ht="12.75" customHeight="1" thickTop="1" x14ac:dyDescent="0.2">
      <c r="B26" s="1342"/>
      <c r="C26" s="1343"/>
      <c r="D26" s="1344"/>
      <c r="E26" s="1345"/>
      <c r="F26" s="1345"/>
      <c r="G26" s="1345"/>
      <c r="H26" s="1345"/>
      <c r="I26" s="1345"/>
      <c r="J26" s="1345"/>
      <c r="K26" s="1345"/>
      <c r="L26" s="1345"/>
      <c r="M26" s="1345"/>
      <c r="N26" s="1341"/>
    </row>
    <row r="27" spans="2:14" x14ac:dyDescent="0.2">
      <c r="B27" s="1254"/>
      <c r="C27" s="1346"/>
      <c r="D27" s="1347"/>
      <c r="E27" s="1254"/>
      <c r="F27" s="1254"/>
      <c r="G27" s="1247"/>
      <c r="H27" s="1247"/>
      <c r="I27" s="1247"/>
      <c r="J27" s="1247"/>
      <c r="K27" s="1247"/>
      <c r="L27" s="1247"/>
      <c r="M27" s="1254"/>
      <c r="N27" s="1341"/>
    </row>
    <row r="28" spans="2:14" ht="13.5" customHeight="1" x14ac:dyDescent="0.2">
      <c r="B28" s="1279" t="s">
        <v>1734</v>
      </c>
      <c r="C28" s="1346"/>
      <c r="D28" s="1347"/>
      <c r="E28" s="1254"/>
      <c r="F28" s="1254"/>
      <c r="G28" s="1247"/>
      <c r="H28" s="1247"/>
      <c r="I28" s="1247"/>
      <c r="J28" s="1247"/>
      <c r="K28" s="1247"/>
      <c r="L28" s="1247"/>
      <c r="M28" s="1254"/>
      <c r="N28" s="1341"/>
    </row>
    <row r="29" spans="2:14" ht="8.25" customHeight="1" x14ac:dyDescent="0.2">
      <c r="B29" s="1279"/>
      <c r="C29" s="1346"/>
      <c r="D29" s="1347"/>
      <c r="E29" s="1254"/>
      <c r="F29" s="1254"/>
      <c r="G29" s="1247"/>
      <c r="H29" s="1247"/>
      <c r="I29" s="1247"/>
      <c r="J29" s="1247"/>
      <c r="K29" s="1247"/>
      <c r="L29" s="1247"/>
      <c r="M29" s="1254"/>
      <c r="N29" s="1341"/>
    </row>
    <row r="30" spans="2:14" x14ac:dyDescent="0.2">
      <c r="B30" s="1348" t="s">
        <v>1836</v>
      </c>
      <c r="C30" s="1349"/>
      <c r="D30" s="1350"/>
      <c r="E30" s="1351"/>
      <c r="F30" s="1351"/>
      <c r="G30" s="1351"/>
      <c r="H30" s="1351"/>
      <c r="I30" s="317"/>
      <c r="J30" s="317"/>
    </row>
    <row r="31" spans="2:14" x14ac:dyDescent="0.2">
      <c r="B31" s="1274"/>
      <c r="C31" s="1352"/>
      <c r="D31" s="1353"/>
      <c r="E31" s="1275"/>
      <c r="F31" s="1275"/>
      <c r="G31" s="317"/>
      <c r="H31" s="317"/>
      <c r="I31" s="317"/>
      <c r="J31" s="317"/>
    </row>
    <row r="32" spans="2:14" ht="13.5" customHeight="1" x14ac:dyDescent="0.2">
      <c r="B32" s="1273" t="s">
        <v>1246</v>
      </c>
      <c r="G32" s="317"/>
      <c r="H32" s="317"/>
      <c r="I32" s="317"/>
      <c r="J32" s="317"/>
    </row>
    <row r="33" spans="2:13" ht="13.5" customHeight="1" x14ac:dyDescent="0.2">
      <c r="B33" s="1356"/>
      <c r="C33" s="1357"/>
      <c r="D33" s="1358"/>
      <c r="E33" s="1294"/>
      <c r="F33" s="1294"/>
      <c r="G33" s="1294"/>
      <c r="H33" s="1294"/>
      <c r="I33" s="1294"/>
      <c r="J33" s="1294"/>
      <c r="K33" s="1359"/>
      <c r="L33" s="1359"/>
      <c r="M33" s="1294"/>
    </row>
    <row r="34" spans="2:13" ht="9.6" customHeight="1" x14ac:dyDescent="0.2">
      <c r="B34" s="1360"/>
      <c r="G34" s="317"/>
      <c r="H34" s="317"/>
      <c r="I34" s="317"/>
      <c r="J34" s="317"/>
    </row>
    <row r="35" spans="2:13" ht="11.25" customHeight="1" x14ac:dyDescent="0.2">
      <c r="B35" s="1361" t="s">
        <v>1735</v>
      </c>
      <c r="C35" s="1362"/>
      <c r="D35" s="1362"/>
      <c r="E35" s="1362"/>
      <c r="F35" s="1362"/>
      <c r="G35" s="1362"/>
      <c r="H35" s="1362"/>
      <c r="I35" s="1363"/>
      <c r="J35" s="1363"/>
      <c r="K35" s="1363"/>
      <c r="L35" s="1363"/>
      <c r="M35" s="1363"/>
    </row>
    <row r="36" spans="2:13" ht="11.25" customHeight="1" x14ac:dyDescent="0.2">
      <c r="B36" s="1364" t="s">
        <v>1584</v>
      </c>
      <c r="C36" s="1363"/>
      <c r="D36" s="1363"/>
      <c r="E36" s="1363"/>
      <c r="F36" s="1363"/>
      <c r="G36" s="1363"/>
      <c r="H36" s="1363"/>
      <c r="I36" s="1363"/>
      <c r="J36" s="1363"/>
      <c r="K36" s="1363"/>
      <c r="L36" s="1363"/>
      <c r="M36" s="1363"/>
    </row>
    <row r="37" spans="2:13" ht="3.95" customHeight="1" x14ac:dyDescent="0.2">
      <c r="B37" s="1364"/>
      <c r="C37" s="1363"/>
      <c r="D37" s="1363"/>
      <c r="E37" s="1363"/>
      <c r="F37" s="1363"/>
      <c r="G37" s="1363"/>
      <c r="H37" s="1363"/>
      <c r="I37" s="1363"/>
      <c r="J37" s="1363"/>
      <c r="K37" s="1363"/>
      <c r="L37" s="1363"/>
      <c r="M37" s="1363"/>
    </row>
    <row r="38" spans="2:13" ht="11.25" customHeight="1" x14ac:dyDescent="0.2">
      <c r="B38" s="1361" t="s">
        <v>1736</v>
      </c>
      <c r="C38" s="1363"/>
      <c r="D38" s="1363"/>
      <c r="E38" s="1363"/>
      <c r="F38" s="1363"/>
      <c r="G38" s="1363"/>
      <c r="H38" s="1363"/>
      <c r="I38" s="1363"/>
      <c r="J38" s="1363"/>
      <c r="K38" s="1363"/>
      <c r="L38" s="1363"/>
      <c r="M38" s="1363"/>
    </row>
    <row r="39" spans="2:13" ht="11.25" customHeight="1" x14ac:dyDescent="0.2">
      <c r="B39" s="1297" t="s">
        <v>1585</v>
      </c>
      <c r="C39" s="1365"/>
      <c r="D39" s="1366"/>
      <c r="E39" s="1297"/>
      <c r="F39" s="1297"/>
      <c r="G39" s="1297"/>
      <c r="H39" s="1297"/>
      <c r="I39" s="1297"/>
      <c r="J39" s="1297"/>
      <c r="K39" s="1367"/>
      <c r="L39" s="1367"/>
      <c r="M39" s="1297"/>
    </row>
    <row r="40" spans="2:13" ht="3.95" customHeight="1" x14ac:dyDescent="0.2">
      <c r="B40" s="1297"/>
      <c r="C40" s="1365"/>
      <c r="D40" s="1366"/>
      <c r="E40" s="1297"/>
      <c r="F40" s="1297"/>
      <c r="G40" s="1297"/>
      <c r="H40" s="1297"/>
      <c r="I40" s="1297"/>
      <c r="J40" s="1297"/>
      <c r="K40" s="1367"/>
      <c r="L40" s="1367"/>
      <c r="M40" s="1297"/>
    </row>
    <row r="41" spans="2:13" ht="11.25" customHeight="1" x14ac:dyDescent="0.2">
      <c r="B41" s="1368" t="s">
        <v>1737</v>
      </c>
      <c r="C41" s="1365"/>
      <c r="D41" s="1366"/>
      <c r="E41" s="1297"/>
      <c r="F41" s="1297"/>
      <c r="G41" s="1297"/>
      <c r="H41" s="1297"/>
      <c r="I41" s="1297"/>
      <c r="J41" s="1297"/>
      <c r="K41" s="1367"/>
      <c r="L41" s="1367"/>
      <c r="M41" s="1297"/>
    </row>
    <row r="42" spans="2:13" ht="3.95" customHeight="1" x14ac:dyDescent="0.2">
      <c r="B42" s="1368"/>
      <c r="C42" s="1365"/>
      <c r="D42" s="1366"/>
      <c r="E42" s="1297"/>
      <c r="F42" s="1297"/>
      <c r="G42" s="1297"/>
      <c r="H42" s="1297"/>
      <c r="I42" s="1297"/>
      <c r="J42" s="1297"/>
      <c r="K42" s="1367"/>
      <c r="L42" s="1367"/>
      <c r="M42" s="1297"/>
    </row>
    <row r="43" spans="2:13" ht="11.25" customHeight="1" x14ac:dyDescent="0.2">
      <c r="B43" s="1369" t="s">
        <v>1738</v>
      </c>
      <c r="C43" s="1365"/>
      <c r="D43" s="1366"/>
      <c r="E43" s="1297"/>
      <c r="F43" s="1297"/>
      <c r="G43" s="1297"/>
      <c r="H43" s="1297"/>
      <c r="I43" s="1297"/>
      <c r="J43" s="1297"/>
      <c r="K43" s="1367"/>
      <c r="L43" s="1367"/>
      <c r="M43" s="1297"/>
    </row>
    <row r="44" spans="2:13" ht="11.25" customHeight="1" x14ac:dyDescent="0.2">
      <c r="B44" s="1297" t="s">
        <v>1586</v>
      </c>
      <c r="G44" s="317"/>
      <c r="H44" s="317"/>
      <c r="I44" s="317"/>
      <c r="J44" s="317"/>
    </row>
    <row r="45" spans="2:13" ht="11.1" customHeight="1" x14ac:dyDescent="0.2">
      <c r="B45" s="1297"/>
      <c r="G45" s="317"/>
      <c r="H45" s="317"/>
      <c r="I45" s="317"/>
      <c r="J45" s="317"/>
    </row>
    <row r="46" spans="2:13" ht="11.1" customHeight="1" x14ac:dyDescent="0.2">
      <c r="B46" s="1297"/>
      <c r="G46" s="317"/>
      <c r="H46" s="317"/>
      <c r="I46" s="317"/>
      <c r="J46" s="317"/>
    </row>
    <row r="47" spans="2:13" ht="13.5" customHeight="1" x14ac:dyDescent="0.2">
      <c r="M47" s="1370"/>
    </row>
    <row r="48" spans="2:13" ht="13.5" customHeight="1" x14ac:dyDescent="0.2">
      <c r="M48" s="1370"/>
    </row>
    <row r="49" spans="7:13" ht="13.5" customHeight="1" x14ac:dyDescent="0.2">
      <c r="M49" s="1370"/>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2" zoomScale="120" zoomScaleNormal="120" workbookViewId="0">
      <selection activeCell="I28" sqref="I2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 xml:space="preserve">South Eastern Sp Ed Program </v>
      </c>
      <c r="B1" s="2451"/>
      <c r="C1" s="2451"/>
      <c r="D1" s="2451"/>
      <c r="E1" s="2451"/>
      <c r="F1" s="2451"/>
    </row>
    <row r="2" spans="1:7" ht="13.5" customHeight="1" x14ac:dyDescent="0.2">
      <c r="A2" s="2447">
        <f>'Single Audit Cover'!E7</f>
        <v>12017801060</v>
      </c>
      <c r="B2" s="2447"/>
      <c r="C2" s="2447"/>
      <c r="D2" s="2447"/>
      <c r="E2" s="2447"/>
      <c r="F2" s="2447"/>
      <c r="G2" s="1272"/>
    </row>
    <row r="3" spans="1:7" ht="15.75" customHeight="1" x14ac:dyDescent="0.2">
      <c r="A3" s="2452" t="s">
        <v>1271</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7"/>
      <c r="D5" s="317"/>
    </row>
    <row r="6" spans="1:7" ht="13.5" customHeight="1" x14ac:dyDescent="0.2">
      <c r="A6" s="1273" t="s">
        <v>1728</v>
      </c>
      <c r="C6" s="317"/>
      <c r="D6" s="317"/>
    </row>
    <row r="7" spans="1:7" ht="60.95" customHeight="1" x14ac:dyDescent="0.2">
      <c r="A7" s="2450" t="s">
        <v>2131</v>
      </c>
      <c r="B7" s="2450"/>
      <c r="C7" s="2450"/>
      <c r="D7" s="2450"/>
      <c r="E7" s="2450"/>
      <c r="F7" s="2450"/>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21.75" customHeight="1" x14ac:dyDescent="0.2">
      <c r="A13" s="2450" t="s">
        <v>2132</v>
      </c>
      <c r="B13" s="2450"/>
      <c r="C13" s="2450"/>
      <c r="D13" s="2450"/>
      <c r="E13" s="2450"/>
      <c r="F13" s="2450"/>
    </row>
    <row r="14" spans="1:7" ht="9.75" customHeight="1" x14ac:dyDescent="0.2">
      <c r="C14" s="1257"/>
      <c r="D14" s="1257"/>
    </row>
    <row r="15" spans="1:7" ht="13.5" customHeight="1" x14ac:dyDescent="0.2">
      <c r="C15" s="1846" t="s">
        <v>1270</v>
      </c>
      <c r="D15" s="2455" t="s">
        <v>1269</v>
      </c>
      <c r="E15" s="2455"/>
      <c r="F15" s="2455"/>
    </row>
    <row r="16" spans="1:7" ht="13.5" customHeight="1" x14ac:dyDescent="0.2">
      <c r="A16" s="1279"/>
      <c r="B16" s="1273" t="s">
        <v>1268</v>
      </c>
      <c r="C16" s="1846" t="s">
        <v>1267</v>
      </c>
      <c r="D16" s="2456" t="s">
        <v>1588</v>
      </c>
      <c r="E16" s="2456"/>
      <c r="F16" s="2456"/>
    </row>
    <row r="17" spans="1:6" ht="20.45" customHeight="1" x14ac:dyDescent="0.2">
      <c r="A17" s="1280"/>
      <c r="B17" s="1281" t="s">
        <v>2133</v>
      </c>
      <c r="C17" s="1282" t="s">
        <v>2096</v>
      </c>
      <c r="D17" s="2454"/>
      <c r="E17" s="2454"/>
      <c r="F17" s="2454"/>
    </row>
    <row r="18" spans="1:6" ht="20.65" customHeight="1" x14ac:dyDescent="0.2">
      <c r="A18" s="1280"/>
      <c r="B18" s="1952" t="s">
        <v>2134</v>
      </c>
      <c r="C18" s="1282"/>
      <c r="D18" s="2454">
        <v>1458</v>
      </c>
      <c r="E18" s="2454"/>
      <c r="F18" s="2454"/>
    </row>
    <row r="19" spans="1:6" ht="20.65" customHeight="1" x14ac:dyDescent="0.2">
      <c r="A19" s="1280"/>
      <c r="B19" s="1952" t="s">
        <v>2135</v>
      </c>
      <c r="C19" s="1282"/>
      <c r="D19" s="2454">
        <v>1721</v>
      </c>
      <c r="E19" s="2454"/>
      <c r="F19" s="2454"/>
    </row>
    <row r="20" spans="1:6" ht="20.65" customHeight="1" x14ac:dyDescent="0.2">
      <c r="A20" s="1280"/>
      <c r="B20" s="1952" t="s">
        <v>2136</v>
      </c>
      <c r="C20" s="1282"/>
      <c r="D20" s="2454">
        <v>2573</v>
      </c>
      <c r="E20" s="2454"/>
      <c r="F20" s="2454"/>
    </row>
    <row r="21" spans="1:6" ht="20.65" customHeight="1" x14ac:dyDescent="0.2">
      <c r="A21" s="1280"/>
      <c r="B21" s="1952" t="s">
        <v>2137</v>
      </c>
      <c r="C21" s="1282"/>
      <c r="D21" s="2454">
        <v>13858</v>
      </c>
      <c r="E21" s="2454"/>
      <c r="F21" s="2454"/>
    </row>
    <row r="22" spans="1:6" ht="20.65" customHeight="1" x14ac:dyDescent="0.2">
      <c r="A22" s="1280"/>
      <c r="B22" s="1952" t="s">
        <v>2138</v>
      </c>
      <c r="C22" s="1282"/>
      <c r="D22" s="2454">
        <v>24590</v>
      </c>
      <c r="E22" s="2454"/>
      <c r="F22" s="2454"/>
    </row>
    <row r="23" spans="1:6" ht="20.65" customHeight="1" x14ac:dyDescent="0.2">
      <c r="A23" s="1280"/>
      <c r="B23" s="1952" t="s">
        <v>2139</v>
      </c>
      <c r="C23" s="1282"/>
      <c r="D23" s="2454">
        <v>1584</v>
      </c>
      <c r="E23" s="2454"/>
      <c r="F23" s="2454"/>
    </row>
    <row r="24" spans="1:6" ht="20.65" customHeight="1" x14ac:dyDescent="0.2">
      <c r="A24" s="1280"/>
      <c r="B24" s="1953" t="s">
        <v>156</v>
      </c>
      <c r="C24" s="1282" t="s">
        <v>2096</v>
      </c>
      <c r="D24" s="2454">
        <f>D23+D22+D21+D20+D19+D18</f>
        <v>45784</v>
      </c>
      <c r="E24" s="2454"/>
      <c r="F24" s="2454"/>
    </row>
    <row r="25" spans="1:6" ht="20.65" customHeight="1" x14ac:dyDescent="0.2">
      <c r="A25" s="1280"/>
      <c r="B25" s="1281" t="s">
        <v>2140</v>
      </c>
      <c r="C25" s="1282" t="s">
        <v>2097</v>
      </c>
      <c r="D25" s="2454"/>
      <c r="E25" s="2454"/>
      <c r="F25" s="2454"/>
    </row>
    <row r="26" spans="1:6" ht="20.65" customHeight="1" x14ac:dyDescent="0.2">
      <c r="A26" s="1280"/>
      <c r="B26" s="1952" t="s">
        <v>2137</v>
      </c>
      <c r="C26" s="1282"/>
      <c r="D26" s="2454">
        <v>725</v>
      </c>
      <c r="E26" s="2454"/>
      <c r="F26" s="2454"/>
    </row>
    <row r="27" spans="1:6" ht="20.65" customHeight="1" x14ac:dyDescent="0.2">
      <c r="A27" s="1280"/>
      <c r="B27" s="1952" t="s">
        <v>2138</v>
      </c>
      <c r="C27" s="1282"/>
      <c r="D27" s="2454">
        <v>751</v>
      </c>
      <c r="E27" s="2454"/>
      <c r="F27" s="2454"/>
    </row>
    <row r="28" spans="1:6" ht="20.65" customHeight="1" x14ac:dyDescent="0.2">
      <c r="A28" s="1280"/>
      <c r="B28" s="1953" t="s">
        <v>156</v>
      </c>
      <c r="C28" s="1282" t="s">
        <v>2097</v>
      </c>
      <c r="D28" s="2454">
        <f>D26+D27</f>
        <v>1476</v>
      </c>
      <c r="E28" s="2454"/>
      <c r="F28" s="2454"/>
    </row>
    <row r="29" spans="1:6" ht="20.65" customHeight="1" x14ac:dyDescent="0.2">
      <c r="A29" s="1280"/>
      <c r="B29" s="1281" t="s">
        <v>1161</v>
      </c>
      <c r="C29" s="1282"/>
      <c r="D29" s="2454">
        <f>D24+D28</f>
        <v>47260</v>
      </c>
      <c r="E29" s="2454"/>
      <c r="F29" s="2454"/>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8" t="s">
        <v>2130</v>
      </c>
      <c r="B32" s="2458"/>
      <c r="C32" s="2458"/>
      <c r="D32" s="2458"/>
      <c r="E32" s="2458"/>
      <c r="F32" s="2458"/>
    </row>
    <row r="33" spans="1:6" ht="13.5" customHeight="1" x14ac:dyDescent="0.2">
      <c r="A33" s="328" t="s">
        <v>1434</v>
      </c>
      <c r="B33" s="328"/>
      <c r="C33" s="1285">
        <v>0</v>
      </c>
      <c r="D33" s="1903"/>
      <c r="E33" s="1283"/>
    </row>
    <row r="34" spans="1:6" ht="13.5" customHeight="1" x14ac:dyDescent="0.2">
      <c r="A34" s="328" t="s">
        <v>1834</v>
      </c>
      <c r="B34" s="328"/>
      <c r="C34" s="1286">
        <v>0</v>
      </c>
      <c r="D34" s="1903" t="s">
        <v>1589</v>
      </c>
      <c r="E34" s="2459">
        <f>+C33+C34</f>
        <v>0</v>
      </c>
      <c r="F34" s="2460"/>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572</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572</v>
      </c>
      <c r="D40" s="1903"/>
      <c r="E40" s="1283"/>
    </row>
    <row r="41" spans="1:6" ht="14.25" customHeight="1" x14ac:dyDescent="0.2">
      <c r="A41" s="328"/>
      <c r="B41" s="328" t="s">
        <v>1438</v>
      </c>
      <c r="C41" s="1289" t="s">
        <v>572</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1" t="s">
        <v>1590</v>
      </c>
      <c r="C49" s="2461"/>
      <c r="D49" s="2461"/>
      <c r="E49" s="1396"/>
    </row>
    <row r="50" spans="1:5" s="1297" customFormat="1" ht="3.75" customHeight="1" x14ac:dyDescent="0.2">
      <c r="A50" s="1296"/>
      <c r="B50" s="1845"/>
      <c r="C50" s="1845"/>
      <c r="D50" s="1845"/>
      <c r="E50" s="1396"/>
    </row>
    <row r="51" spans="1:5" s="1297" customFormat="1" ht="20.25" customHeight="1" x14ac:dyDescent="0.2">
      <c r="A51" s="1298">
        <v>6</v>
      </c>
      <c r="B51" s="2457" t="s">
        <v>1551</v>
      </c>
      <c r="C51" s="2457"/>
      <c r="D51" s="2457"/>
    </row>
    <row r="52" spans="1:5" ht="14.25" customHeight="1" x14ac:dyDescent="0.2">
      <c r="A52" s="1298"/>
      <c r="B52" s="2457"/>
      <c r="C52" s="2457"/>
      <c r="D52" s="245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7" t="s">
        <v>1168</v>
      </c>
      <c r="B2" s="2067"/>
      <c r="C2" s="2067"/>
      <c r="D2" s="2067"/>
      <c r="E2" s="2067"/>
      <c r="F2" s="2067"/>
      <c r="G2" s="2067"/>
      <c r="H2" s="2067"/>
      <c r="I2" s="2067"/>
      <c r="J2" s="206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1" t="s">
        <v>1633</v>
      </c>
      <c r="B35" s="2082"/>
      <c r="C35" s="2082"/>
      <c r="D35" s="2082"/>
      <c r="E35" s="2083"/>
      <c r="F35" s="2083"/>
      <c r="G35" s="2083"/>
      <c r="H35" s="2083"/>
      <c r="I35" s="208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1" t="s">
        <v>313</v>
      </c>
      <c r="B47" s="2084"/>
      <c r="C47" s="2084"/>
      <c r="D47" s="2084"/>
      <c r="E47" s="2085"/>
      <c r="F47" s="2085"/>
      <c r="G47" s="2085"/>
      <c r="H47" s="2085"/>
      <c r="I47" s="208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2061</v>
      </c>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8" t="s">
        <v>2078</v>
      </c>
      <c r="C57" s="2089"/>
      <c r="D57" s="2089"/>
      <c r="E57" s="2089"/>
      <c r="F57" s="2089"/>
      <c r="G57" s="2089"/>
      <c r="H57" s="2089"/>
      <c r="I57" s="2089"/>
      <c r="J57" s="2090"/>
    </row>
    <row r="58" spans="1:10" s="181" customFormat="1" x14ac:dyDescent="0.2">
      <c r="A58" s="253"/>
      <c r="B58" s="2091"/>
      <c r="C58" s="2092"/>
      <c r="D58" s="2092"/>
      <c r="E58" s="2092"/>
      <c r="F58" s="2092"/>
      <c r="G58" s="2092"/>
      <c r="H58" s="2092"/>
      <c r="I58" s="2092"/>
      <c r="J58" s="2093"/>
    </row>
    <row r="59" spans="1:10" s="181" customFormat="1" x14ac:dyDescent="0.2">
      <c r="A59" s="253"/>
      <c r="B59" s="2091"/>
      <c r="C59" s="2092"/>
      <c r="D59" s="2092"/>
      <c r="E59" s="2092"/>
      <c r="F59" s="2092"/>
      <c r="G59" s="2092"/>
      <c r="H59" s="2092"/>
      <c r="I59" s="2092"/>
      <c r="J59" s="2093"/>
    </row>
    <row r="60" spans="1:10" s="181" customFormat="1" x14ac:dyDescent="0.2">
      <c r="A60" s="253"/>
      <c r="B60" s="2091"/>
      <c r="C60" s="2092"/>
      <c r="D60" s="2092"/>
      <c r="E60" s="2092"/>
      <c r="F60" s="2092"/>
      <c r="G60" s="2092"/>
      <c r="H60" s="2092"/>
      <c r="I60" s="2092"/>
      <c r="J60" s="2093"/>
    </row>
    <row r="61" spans="1:10" s="181" customFormat="1" x14ac:dyDescent="0.2">
      <c r="A61" s="253"/>
      <c r="B61" s="2091"/>
      <c r="C61" s="2092"/>
      <c r="D61" s="2092"/>
      <c r="E61" s="2092"/>
      <c r="F61" s="2092"/>
      <c r="G61" s="2092"/>
      <c r="H61" s="2092"/>
      <c r="I61" s="2092"/>
      <c r="J61" s="2093"/>
    </row>
    <row r="62" spans="1:10" s="181" customFormat="1" x14ac:dyDescent="0.2">
      <c r="A62" s="253"/>
      <c r="B62" s="2091"/>
      <c r="C62" s="2092"/>
      <c r="D62" s="2092"/>
      <c r="E62" s="2092"/>
      <c r="F62" s="2092"/>
      <c r="G62" s="2092"/>
      <c r="H62" s="2092"/>
      <c r="I62" s="2092"/>
      <c r="J62" s="2093"/>
    </row>
    <row r="63" spans="1:10" s="181" customFormat="1" x14ac:dyDescent="0.2">
      <c r="A63" s="253"/>
      <c r="B63" s="2091"/>
      <c r="C63" s="2092"/>
      <c r="D63" s="2092"/>
      <c r="E63" s="2092"/>
      <c r="F63" s="2092"/>
      <c r="G63" s="2092"/>
      <c r="H63" s="2092"/>
      <c r="I63" s="2092"/>
      <c r="J63" s="2093"/>
    </row>
    <row r="64" spans="1:10" s="181" customFormat="1" x14ac:dyDescent="0.2">
      <c r="A64" s="253"/>
      <c r="B64" s="2091"/>
      <c r="C64" s="2092"/>
      <c r="D64" s="2092"/>
      <c r="E64" s="2092"/>
      <c r="F64" s="2092"/>
      <c r="G64" s="2092"/>
      <c r="H64" s="2092"/>
      <c r="I64" s="2092"/>
      <c r="J64" s="2093"/>
    </row>
    <row r="65" spans="1:10" s="181" customFormat="1" x14ac:dyDescent="0.2">
      <c r="A65" s="253"/>
      <c r="B65" s="2091"/>
      <c r="C65" s="2092"/>
      <c r="D65" s="2092"/>
      <c r="E65" s="2092"/>
      <c r="F65" s="2092"/>
      <c r="G65" s="2092"/>
      <c r="H65" s="2092"/>
      <c r="I65" s="2092"/>
      <c r="J65" s="2093"/>
    </row>
    <row r="66" spans="1:10" s="181" customFormat="1" x14ac:dyDescent="0.2">
      <c r="A66" s="253"/>
      <c r="B66" s="2091"/>
      <c r="C66" s="2092"/>
      <c r="D66" s="2092"/>
      <c r="E66" s="2092"/>
      <c r="F66" s="2092"/>
      <c r="G66" s="2092"/>
      <c r="H66" s="2092"/>
      <c r="I66" s="2092"/>
      <c r="J66" s="2093"/>
    </row>
    <row r="67" spans="1:10" s="181" customFormat="1" ht="9" customHeight="1" x14ac:dyDescent="0.2">
      <c r="A67" s="254"/>
      <c r="B67" s="2094"/>
      <c r="C67" s="2095"/>
      <c r="D67" s="2095"/>
      <c r="E67" s="2095"/>
      <c r="F67" s="2095"/>
      <c r="G67" s="2095"/>
      <c r="H67" s="2095"/>
      <c r="I67" s="2095"/>
      <c r="J67" s="209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1" t="s">
        <v>1323</v>
      </c>
      <c r="B70" s="2084"/>
      <c r="C70" s="2084"/>
      <c r="D70" s="2084"/>
      <c r="E70" s="2085"/>
      <c r="F70" s="2085"/>
      <c r="G70" s="2085"/>
      <c r="H70" s="2085"/>
      <c r="I70" s="208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1900</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6" t="s">
        <v>1320</v>
      </c>
      <c r="B83" s="2086"/>
      <c r="C83" s="2086"/>
      <c r="D83" s="208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8"/>
      <c r="C102" s="2069"/>
      <c r="D102" s="2069"/>
      <c r="E102" s="2069"/>
      <c r="F102" s="2069"/>
      <c r="G102" s="2069"/>
      <c r="H102" s="2069"/>
      <c r="I102" s="2070"/>
    </row>
    <row r="103" spans="1:9" s="181" customFormat="1" ht="11.25" customHeight="1" x14ac:dyDescent="0.2">
      <c r="A103" s="316"/>
      <c r="B103" s="2071"/>
      <c r="C103" s="2072"/>
      <c r="D103" s="2072"/>
      <c r="E103" s="2072"/>
      <c r="F103" s="2072"/>
      <c r="G103" s="2072"/>
      <c r="H103" s="2072"/>
      <c r="I103" s="2073"/>
    </row>
    <row r="104" spans="1:9" s="181" customFormat="1" ht="11.25" customHeight="1" x14ac:dyDescent="0.2">
      <c r="A104" s="316"/>
      <c r="B104" s="2071"/>
      <c r="C104" s="2072"/>
      <c r="D104" s="2072"/>
      <c r="E104" s="2072"/>
      <c r="F104" s="2072"/>
      <c r="G104" s="2072"/>
      <c r="H104" s="2072"/>
      <c r="I104" s="2073"/>
    </row>
    <row r="105" spans="1:9" s="181" customFormat="1" x14ac:dyDescent="0.2">
      <c r="A105" s="316"/>
      <c r="B105" s="2071"/>
      <c r="C105" s="2072"/>
      <c r="D105" s="2072"/>
      <c r="E105" s="2072"/>
      <c r="F105" s="2072"/>
      <c r="G105" s="2072"/>
      <c r="H105" s="2072"/>
      <c r="I105" s="2073"/>
    </row>
    <row r="106" spans="1:9" s="181" customFormat="1" ht="11.25" customHeight="1" x14ac:dyDescent="0.2">
      <c r="A106" s="316"/>
      <c r="B106" s="2071"/>
      <c r="C106" s="2072"/>
      <c r="D106" s="2072"/>
      <c r="E106" s="2072"/>
      <c r="F106" s="2072"/>
      <c r="G106" s="2072"/>
      <c r="H106" s="2072"/>
      <c r="I106" s="2073"/>
    </row>
    <row r="107" spans="1:9" s="181" customFormat="1" ht="11.25" customHeight="1" x14ac:dyDescent="0.2">
      <c r="A107" s="316"/>
      <c r="B107" s="2071"/>
      <c r="C107" s="2072"/>
      <c r="D107" s="2072"/>
      <c r="E107" s="2072"/>
      <c r="F107" s="2072"/>
      <c r="G107" s="2072"/>
      <c r="H107" s="2072"/>
      <c r="I107" s="2073"/>
    </row>
    <row r="108" spans="1:9" s="181" customFormat="1" ht="11.25" customHeight="1" x14ac:dyDescent="0.2">
      <c r="A108" s="316"/>
      <c r="B108" s="2071"/>
      <c r="C108" s="2072"/>
      <c r="D108" s="2072"/>
      <c r="E108" s="2072"/>
      <c r="F108" s="2072"/>
      <c r="G108" s="2072"/>
      <c r="H108" s="2072"/>
      <c r="I108" s="2073"/>
    </row>
    <row r="109" spans="1:9" s="181" customFormat="1" ht="11.25" customHeight="1" x14ac:dyDescent="0.2">
      <c r="A109" s="316"/>
      <c r="B109" s="2071"/>
      <c r="C109" s="2072"/>
      <c r="D109" s="2072"/>
      <c r="E109" s="2072"/>
      <c r="F109" s="2072"/>
      <c r="G109" s="2072"/>
      <c r="H109" s="2072"/>
      <c r="I109" s="2073"/>
    </row>
    <row r="110" spans="1:9" s="181" customFormat="1" ht="11.25" customHeight="1" x14ac:dyDescent="0.2">
      <c r="A110" s="316"/>
      <c r="B110" s="2071"/>
      <c r="C110" s="2072"/>
      <c r="D110" s="2072"/>
      <c r="E110" s="2072"/>
      <c r="F110" s="2072"/>
      <c r="G110" s="2072"/>
      <c r="H110" s="2072"/>
      <c r="I110" s="2073"/>
    </row>
    <row r="111" spans="1:9" s="181" customFormat="1" ht="11.25" customHeight="1" x14ac:dyDescent="0.2">
      <c r="A111" s="316"/>
      <c r="B111" s="2071"/>
      <c r="C111" s="2072"/>
      <c r="D111" s="2072"/>
      <c r="E111" s="2072"/>
      <c r="F111" s="2072"/>
      <c r="G111" s="2072"/>
      <c r="H111" s="2072"/>
      <c r="I111" s="2073"/>
    </row>
    <row r="112" spans="1:9" s="181" customFormat="1" ht="11.25" customHeight="1" x14ac:dyDescent="0.2">
      <c r="A112" s="316"/>
      <c r="B112" s="2074"/>
      <c r="C112" s="2075"/>
      <c r="D112" s="2075"/>
      <c r="E112" s="2075"/>
      <c r="F112" s="2075"/>
      <c r="G112" s="2075"/>
      <c r="H112" s="2075"/>
      <c r="I112" s="207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7"/>
      <c r="D114" s="207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8" t="s">
        <v>1330</v>
      </c>
      <c r="D117" s="2079"/>
      <c r="E117" s="2080"/>
      <c r="F117" s="2080"/>
      <c r="G117" s="2080"/>
      <c r="H117" s="2080"/>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1901</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8" zoomScale="110" zoomScaleNormal="110" workbookViewId="0">
      <selection activeCell="E51" sqref="E5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 xml:space="preserve">South Eastern Sp Ed Program </v>
      </c>
      <c r="C1" s="2467"/>
      <c r="D1" s="2467"/>
      <c r="E1" s="2467"/>
      <c r="F1" s="2467"/>
      <c r="G1" s="2467"/>
      <c r="H1" s="2467"/>
      <c r="I1" s="2467"/>
      <c r="J1" s="1406"/>
    </row>
    <row r="2" spans="2:10" s="317" customFormat="1" ht="12.75" customHeight="1" x14ac:dyDescent="0.2">
      <c r="B2" s="2468">
        <f>'Single Audit Cover'!E7</f>
        <v>12017801060</v>
      </c>
      <c r="C2" s="2469"/>
      <c r="D2" s="2469"/>
      <c r="E2" s="2469"/>
      <c r="F2" s="2469"/>
      <c r="G2" s="2469"/>
      <c r="H2" s="2469"/>
      <c r="I2" s="2469"/>
      <c r="J2" s="1406"/>
    </row>
    <row r="3" spans="2:10" s="317" customFormat="1" ht="12.75" customHeight="1" x14ac:dyDescent="0.2">
      <c r="B3" s="2470" t="s">
        <v>1285</v>
      </c>
      <c r="C3" s="2471"/>
      <c r="D3" s="2471"/>
      <c r="E3" s="2471"/>
      <c r="F3" s="2471"/>
      <c r="G3" s="2471"/>
      <c r="H3" s="2471"/>
      <c r="I3" s="2471"/>
      <c r="J3" s="1407"/>
    </row>
    <row r="4" spans="2:10" s="317" customFormat="1" ht="12.75" customHeight="1" x14ac:dyDescent="0.2">
      <c r="B4" s="2470" t="str">
        <f>'Single Audit Cover'!A4</f>
        <v>Year Ending June 30, 2019</v>
      </c>
      <c r="C4" s="2471"/>
      <c r="D4" s="2471"/>
      <c r="E4" s="2471"/>
      <c r="F4" s="2471"/>
      <c r="G4" s="2471"/>
      <c r="H4" s="2471"/>
      <c r="I4" s="2471"/>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0" t="s">
        <v>1284</v>
      </c>
      <c r="C7" s="2471"/>
      <c r="D7" s="2471"/>
      <c r="E7" s="2471"/>
      <c r="F7" s="2471"/>
      <c r="G7" s="2471"/>
      <c r="H7" s="2471"/>
      <c r="I7" s="2471"/>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2" t="s">
        <v>1164</v>
      </c>
      <c r="D11" s="2472"/>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2061</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3" t="s">
        <v>2104</v>
      </c>
      <c r="E29" s="2473"/>
      <c r="F29" s="2473"/>
      <c r="G29" s="2473"/>
      <c r="H29" s="2473"/>
      <c r="I29" s="2473"/>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4" t="s">
        <v>1748</v>
      </c>
      <c r="D37" s="2475"/>
      <c r="E37" s="2475"/>
      <c r="F37" s="2476"/>
      <c r="G37" s="2474" t="s">
        <v>1592</v>
      </c>
      <c r="H37" s="2475"/>
      <c r="I37" s="2476"/>
    </row>
    <row r="38" spans="2:9" ht="16.5" customHeight="1" x14ac:dyDescent="0.2">
      <c r="B38" s="1428" t="s">
        <v>2105</v>
      </c>
      <c r="C38" s="2462" t="s">
        <v>2106</v>
      </c>
      <c r="D38" s="2463"/>
      <c r="E38" s="2463"/>
      <c r="F38" s="2464"/>
      <c r="G38" s="2477">
        <v>3322449</v>
      </c>
      <c r="H38" s="2478"/>
      <c r="I38" s="2479"/>
    </row>
    <row r="39" spans="2:9" ht="16.5" customHeight="1" x14ac:dyDescent="0.2">
      <c r="B39" s="1428"/>
      <c r="C39" s="2462"/>
      <c r="D39" s="2463"/>
      <c r="E39" s="2463"/>
      <c r="F39" s="2464"/>
      <c r="G39" s="2465"/>
      <c r="H39" s="2465"/>
      <c r="I39" s="2465"/>
    </row>
    <row r="40" spans="2:9" ht="16.5" customHeight="1" x14ac:dyDescent="0.2">
      <c r="B40" s="1428"/>
      <c r="C40" s="2462"/>
      <c r="D40" s="2463"/>
      <c r="E40" s="2463"/>
      <c r="F40" s="2464"/>
      <c r="G40" s="2465"/>
      <c r="H40" s="2465"/>
      <c r="I40" s="2465"/>
    </row>
    <row r="41" spans="2:9" ht="16.5" customHeight="1" x14ac:dyDescent="0.2">
      <c r="B41" s="1428"/>
      <c r="C41" s="2462"/>
      <c r="D41" s="2463"/>
      <c r="E41" s="2463"/>
      <c r="F41" s="2464"/>
      <c r="G41" s="2465"/>
      <c r="H41" s="2465"/>
      <c r="I41" s="2465"/>
    </row>
    <row r="42" spans="2:9" ht="16.5" customHeight="1" x14ac:dyDescent="0.2">
      <c r="B42" s="1428"/>
      <c r="C42" s="2462"/>
      <c r="D42" s="2463"/>
      <c r="E42" s="2463"/>
      <c r="F42" s="2464"/>
      <c r="G42" s="2465"/>
      <c r="H42" s="2465"/>
      <c r="I42" s="2465"/>
    </row>
    <row r="43" spans="2:9" ht="16.5" customHeight="1" x14ac:dyDescent="0.2">
      <c r="B43" s="1428"/>
      <c r="C43" s="2480" t="s">
        <v>1593</v>
      </c>
      <c r="D43" s="2481"/>
      <c r="E43" s="2481"/>
      <c r="F43" s="2482"/>
      <c r="G43" s="2483">
        <f>SUM(G38:I42)</f>
        <v>3322449</v>
      </c>
      <c r="H43" s="2483"/>
      <c r="I43" s="2483"/>
    </row>
    <row r="44" spans="2:9" ht="12.75" customHeight="1" x14ac:dyDescent="0.2"/>
    <row r="45" spans="2:9" ht="12.75" customHeight="1" x14ac:dyDescent="0.2">
      <c r="B45" s="1419" t="s">
        <v>2058</v>
      </c>
      <c r="D45" s="2484">
        <v>3374069</v>
      </c>
      <c r="E45" s="2485"/>
    </row>
    <row r="46" spans="2:9" ht="5.25" customHeight="1" x14ac:dyDescent="0.2">
      <c r="B46" s="1429"/>
      <c r="D46" s="1430"/>
      <c r="E46" s="1431"/>
    </row>
    <row r="47" spans="2:9" ht="12.75" customHeight="1" x14ac:dyDescent="0.2">
      <c r="B47" s="1297" t="s">
        <v>1594</v>
      </c>
      <c r="C47" s="1297"/>
      <c r="D47" s="1432">
        <f>+G43/D45</f>
        <v>0.98470096491802628</v>
      </c>
      <c r="E47" s="1433"/>
      <c r="F47" s="1434"/>
      <c r="I47" s="1435"/>
    </row>
    <row r="48" spans="2:9" ht="9.9499999999999993" customHeight="1" x14ac:dyDescent="0.2"/>
    <row r="49" spans="1:9" x14ac:dyDescent="0.2">
      <c r="B49" s="1365" t="s">
        <v>1273</v>
      </c>
      <c r="C49" s="1279"/>
      <c r="D49" s="1279"/>
      <c r="E49" s="2486">
        <v>750000</v>
      </c>
      <c r="F49" s="2486"/>
      <c r="G49" s="2486"/>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F28" sqref="F2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 xml:space="preserve">South Eastern Sp Ed Program </v>
      </c>
      <c r="C1" s="2466"/>
      <c r="D1" s="2466"/>
      <c r="E1" s="2466"/>
      <c r="F1" s="2466"/>
      <c r="G1" s="2466"/>
      <c r="H1" s="2466"/>
      <c r="I1" s="2466"/>
      <c r="J1" s="2466"/>
      <c r="K1" s="2466"/>
      <c r="L1" s="1371"/>
      <c r="M1" s="1371"/>
    </row>
    <row r="2" spans="1:13" ht="12" customHeight="1" x14ac:dyDescent="0.2">
      <c r="B2" s="2468">
        <f>'Single Audit Cover'!E7</f>
        <v>12017801060</v>
      </c>
      <c r="C2" s="2468"/>
      <c r="D2" s="2468"/>
      <c r="E2" s="2468"/>
      <c r="F2" s="2468"/>
      <c r="G2" s="2468"/>
      <c r="H2" s="2468"/>
      <c r="I2" s="2468"/>
      <c r="J2" s="2468"/>
      <c r="K2" s="2468"/>
      <c r="L2" s="1372"/>
      <c r="M2" s="1373"/>
    </row>
    <row r="3" spans="1:13" ht="10.35" customHeight="1" x14ac:dyDescent="0.2">
      <c r="B3" s="2489" t="s">
        <v>1285</v>
      </c>
      <c r="C3" s="2489"/>
      <c r="D3" s="2489"/>
      <c r="E3" s="2489"/>
      <c r="F3" s="2489"/>
      <c r="G3" s="2489"/>
      <c r="H3" s="2489"/>
      <c r="I3" s="2489"/>
      <c r="J3" s="2489"/>
      <c r="K3" s="2489"/>
      <c r="L3" s="1374"/>
      <c r="M3" s="1374"/>
    </row>
    <row r="4" spans="1:13" ht="14.25" customHeight="1" x14ac:dyDescent="0.2">
      <c r="B4" s="2490" t="str">
        <f>'Single Audit Cover'!A4</f>
        <v>Year Ending June 30, 2019</v>
      </c>
      <c r="C4" s="2490"/>
      <c r="D4" s="2490"/>
      <c r="E4" s="2490"/>
      <c r="F4" s="2490"/>
      <c r="G4" s="2490"/>
      <c r="H4" s="2490"/>
      <c r="I4" s="2490"/>
      <c r="J4" s="2490"/>
      <c r="K4" s="249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0" t="s">
        <v>1296</v>
      </c>
      <c r="C7" s="2490"/>
      <c r="D7" s="2491"/>
      <c r="E7" s="2491"/>
      <c r="F7" s="2491"/>
      <c r="G7" s="2491"/>
      <c r="H7" s="2491"/>
      <c r="I7" s="2491"/>
      <c r="J7" s="2491"/>
      <c r="K7" s="249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1985</v>
      </c>
      <c r="D10" s="1383">
        <v>1</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8" t="s">
        <v>2107</v>
      </c>
      <c r="C14" s="2488"/>
      <c r="D14" s="2488"/>
      <c r="E14" s="2488"/>
      <c r="F14" s="2488"/>
      <c r="G14" s="2488"/>
      <c r="H14" s="2488"/>
      <c r="I14" s="2488"/>
      <c r="J14" s="2488"/>
      <c r="K14" s="248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8" t="s">
        <v>2108</v>
      </c>
      <c r="C17" s="2488"/>
      <c r="D17" s="2488"/>
      <c r="E17" s="2488"/>
      <c r="F17" s="2488"/>
      <c r="G17" s="2488"/>
      <c r="H17" s="2488"/>
      <c r="I17" s="2488"/>
      <c r="J17" s="2488"/>
      <c r="K17" s="2488"/>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92" t="s">
        <v>2109</v>
      </c>
      <c r="C20" s="2492"/>
      <c r="D20" s="2488"/>
      <c r="E20" s="2488"/>
      <c r="F20" s="2488"/>
      <c r="G20" s="2488"/>
      <c r="H20" s="2488"/>
      <c r="I20" s="2488"/>
      <c r="J20" s="2488"/>
      <c r="K20" s="248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8" t="s">
        <v>2110</v>
      </c>
      <c r="C23" s="2488"/>
      <c r="D23" s="2488"/>
      <c r="E23" s="2488"/>
      <c r="F23" s="2488"/>
      <c r="G23" s="2488"/>
      <c r="H23" s="2488"/>
      <c r="I23" s="2488"/>
      <c r="J23" s="2488"/>
      <c r="K23" s="248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8" t="s">
        <v>2111</v>
      </c>
      <c r="C26" s="2488"/>
      <c r="D26" s="2488"/>
      <c r="E26" s="2488"/>
      <c r="F26" s="2488"/>
      <c r="G26" s="2488"/>
      <c r="H26" s="2488"/>
      <c r="I26" s="2488"/>
      <c r="J26" s="2488"/>
      <c r="K26" s="248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7" t="s">
        <v>2112</v>
      </c>
      <c r="C29" s="2487"/>
      <c r="D29" s="2488"/>
      <c r="E29" s="2488"/>
      <c r="F29" s="2488"/>
      <c r="G29" s="2488"/>
      <c r="H29" s="2488"/>
      <c r="I29" s="2488"/>
      <c r="J29" s="2488"/>
      <c r="K29" s="248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7" t="s">
        <v>2141</v>
      </c>
      <c r="C32" s="2487"/>
      <c r="D32" s="2488"/>
      <c r="E32" s="2488"/>
      <c r="F32" s="2488"/>
      <c r="G32" s="2488"/>
      <c r="H32" s="2488"/>
      <c r="I32" s="2488"/>
      <c r="J32" s="2488"/>
      <c r="K32" s="248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5" zoomScale="110" zoomScaleNormal="110" workbookViewId="0">
      <selection activeCell="R35" sqref="R3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3" t="str">
        <f>'Single Audit Cover'!A7</f>
        <v xml:space="preserve">South Eastern Sp Ed Program </v>
      </c>
      <c r="C1" s="2493"/>
      <c r="D1" s="2493"/>
      <c r="E1" s="2493"/>
      <c r="F1" s="2493"/>
      <c r="G1" s="2493"/>
      <c r="H1" s="2493"/>
      <c r="I1" s="2493"/>
      <c r="J1" s="2493"/>
      <c r="K1" s="2493"/>
      <c r="L1" s="1449"/>
    </row>
    <row r="2" spans="1:12" ht="12.75" customHeight="1" x14ac:dyDescent="0.2">
      <c r="B2" s="2494">
        <f>'Single Audit Cover'!E7</f>
        <v>12017801060</v>
      </c>
      <c r="C2" s="2494"/>
      <c r="D2" s="2494"/>
      <c r="E2" s="2494"/>
      <c r="F2" s="2494"/>
      <c r="G2" s="2494"/>
      <c r="H2" s="2494"/>
      <c r="I2" s="2494"/>
      <c r="J2" s="2494"/>
      <c r="K2" s="2494"/>
      <c r="L2" s="1450"/>
    </row>
    <row r="3" spans="1:12" ht="12.75" customHeight="1" x14ac:dyDescent="0.2">
      <c r="B3" s="2489" t="s">
        <v>1285</v>
      </c>
      <c r="C3" s="2489"/>
      <c r="D3" s="2489"/>
      <c r="E3" s="2489"/>
      <c r="F3" s="2489"/>
      <c r="G3" s="2489"/>
      <c r="H3" s="2489"/>
      <c r="I3" s="2489"/>
      <c r="J3" s="2489"/>
      <c r="K3" s="2489"/>
      <c r="L3" s="1374"/>
    </row>
    <row r="4" spans="1:12" ht="12.75" customHeight="1" x14ac:dyDescent="0.2">
      <c r="B4" s="2489" t="str">
        <f>'Single Audit Cover'!A4</f>
        <v>Year Ending June 30, 2019</v>
      </c>
      <c r="C4" s="2489"/>
      <c r="D4" s="2489"/>
      <c r="E4" s="2489"/>
      <c r="F4" s="2489"/>
      <c r="G4" s="2489"/>
      <c r="H4" s="2489"/>
      <c r="I4" s="2489"/>
      <c r="J4" s="2489"/>
      <c r="K4" s="2489"/>
      <c r="L4" s="1374"/>
    </row>
    <row r="5" spans="1:12" ht="5.25" customHeight="1" x14ac:dyDescent="0.2">
      <c r="B5" s="1257" t="s">
        <v>1169</v>
      </c>
      <c r="C5" s="1257"/>
      <c r="L5" s="322"/>
    </row>
    <row r="6" spans="1:12" ht="30.75" customHeight="1" x14ac:dyDescent="0.2">
      <c r="A6" s="322"/>
      <c r="B6" s="2495" t="s">
        <v>1308</v>
      </c>
      <c r="C6" s="2495"/>
      <c r="D6" s="2495"/>
      <c r="E6" s="2495"/>
      <c r="F6" s="2495"/>
      <c r="G6" s="2495"/>
      <c r="H6" s="2495"/>
      <c r="I6" s="2495"/>
      <c r="J6" s="2495"/>
      <c r="K6" s="2495"/>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1985</v>
      </c>
      <c r="D8" s="1452" t="s">
        <v>2084</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3"/>
      <c r="G12" s="2473"/>
      <c r="H12" s="2473"/>
      <c r="I12" s="2473"/>
      <c r="J12" s="2473"/>
      <c r="K12" s="2473"/>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6" t="s">
        <v>2084</v>
      </c>
      <c r="E14" s="2496"/>
      <c r="F14" s="2496"/>
      <c r="H14" s="1459" t="s">
        <v>1303</v>
      </c>
      <c r="I14" s="2497" t="s">
        <v>2084</v>
      </c>
      <c r="J14" s="2497"/>
      <c r="K14" s="249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7"/>
      <c r="E16" s="2497"/>
      <c r="F16" s="2497"/>
      <c r="G16" s="2497"/>
      <c r="H16" s="2497"/>
      <c r="I16" s="2497"/>
      <c r="J16" s="2497"/>
      <c r="K16" s="2497"/>
      <c r="L16" s="322"/>
    </row>
    <row r="17" spans="2:12" ht="13.5" customHeight="1" x14ac:dyDescent="0.2">
      <c r="B17" s="1384" t="s">
        <v>1301</v>
      </c>
      <c r="C17" s="1384"/>
      <c r="D17" s="2498"/>
      <c r="E17" s="2498"/>
      <c r="F17" s="2498"/>
      <c r="G17" s="2498"/>
      <c r="H17" s="2498"/>
      <c r="I17" s="2498"/>
      <c r="J17" s="2498"/>
      <c r="K17" s="249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8" t="s">
        <v>2084</v>
      </c>
      <c r="C20" s="2488"/>
      <c r="D20" s="2488"/>
      <c r="E20" s="2488"/>
      <c r="F20" s="2488"/>
      <c r="G20" s="2488"/>
      <c r="H20" s="2488"/>
      <c r="I20" s="2488"/>
      <c r="J20" s="2488"/>
      <c r="K20" s="248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8" t="s">
        <v>2084</v>
      </c>
      <c r="C23" s="2488"/>
      <c r="D23" s="2488"/>
      <c r="E23" s="2488"/>
      <c r="F23" s="2488"/>
      <c r="G23" s="2488"/>
      <c r="H23" s="2488"/>
      <c r="I23" s="2488"/>
      <c r="J23" s="2488"/>
      <c r="K23" s="248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8" t="s">
        <v>2084</v>
      </c>
      <c r="C26" s="2488"/>
      <c r="D26" s="2488"/>
      <c r="E26" s="2488"/>
      <c r="F26" s="2488"/>
      <c r="G26" s="2488"/>
      <c r="H26" s="2488"/>
      <c r="I26" s="2488"/>
      <c r="J26" s="2488"/>
      <c r="K26" s="248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8" t="s">
        <v>2084</v>
      </c>
      <c r="C29" s="2488"/>
      <c r="D29" s="2488"/>
      <c r="E29" s="2488"/>
      <c r="F29" s="2488"/>
      <c r="G29" s="2488"/>
      <c r="H29" s="2488"/>
      <c r="I29" s="2488"/>
      <c r="J29" s="2488"/>
      <c r="K29" s="248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8" t="s">
        <v>2084</v>
      </c>
      <c r="C32" s="2488"/>
      <c r="D32" s="2488"/>
      <c r="E32" s="2488"/>
      <c r="F32" s="2488"/>
      <c r="G32" s="2488"/>
      <c r="H32" s="2488"/>
      <c r="I32" s="2488"/>
      <c r="J32" s="2488"/>
      <c r="K32" s="248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8" t="s">
        <v>2084</v>
      </c>
      <c r="C35" s="2488"/>
      <c r="D35" s="2488"/>
      <c r="E35" s="2488"/>
      <c r="F35" s="2488"/>
      <c r="G35" s="2488"/>
      <c r="H35" s="2488"/>
      <c r="I35" s="2488"/>
      <c r="J35" s="2488"/>
      <c r="K35" s="248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8" t="s">
        <v>2084</v>
      </c>
      <c r="C38" s="2488"/>
      <c r="D38" s="2488"/>
      <c r="E38" s="2488"/>
      <c r="F38" s="2488"/>
      <c r="G38" s="2488"/>
      <c r="H38" s="2488"/>
      <c r="I38" s="2488"/>
      <c r="J38" s="2488"/>
      <c r="K38" s="248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8" t="s">
        <v>2084</v>
      </c>
      <c r="C41" s="2488"/>
      <c r="D41" s="2488"/>
      <c r="E41" s="2488"/>
      <c r="F41" s="2488"/>
      <c r="G41" s="2488"/>
      <c r="H41" s="2488"/>
      <c r="I41" s="2488"/>
      <c r="J41" s="2488"/>
      <c r="K41" s="248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22" sqref="C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6" t="str">
        <f>'Single Audit Cover'!A7</f>
        <v xml:space="preserve">South Eastern Sp Ed Program </v>
      </c>
      <c r="C1" s="2466"/>
      <c r="D1" s="2466"/>
      <c r="E1" s="1469"/>
    </row>
    <row r="2" spans="2:5" s="1279" customFormat="1" ht="12.75" customHeight="1" x14ac:dyDescent="0.2">
      <c r="B2" s="2468">
        <f>'Single Audit Cover'!E7</f>
        <v>12017801060</v>
      </c>
      <c r="C2" s="2468"/>
      <c r="D2" s="2468"/>
      <c r="E2" s="1470"/>
    </row>
    <row r="3" spans="2:5" ht="12.75" customHeight="1" x14ac:dyDescent="0.2">
      <c r="B3" s="2489" t="s">
        <v>1763</v>
      </c>
      <c r="C3" s="2489"/>
      <c r="D3" s="2489"/>
      <c r="E3" s="1271"/>
    </row>
    <row r="4" spans="2:5" s="1279" customFormat="1" ht="12.75" customHeight="1" x14ac:dyDescent="0.2">
      <c r="B4" s="2499" t="str">
        <f>'Single Audit Cover'!A4</f>
        <v>Year Ending June 30, 2019</v>
      </c>
      <c r="C4" s="2499"/>
      <c r="D4" s="2499"/>
      <c r="E4" s="1471"/>
    </row>
    <row r="5" spans="2:5" s="1279" customFormat="1" ht="40.15" customHeight="1" x14ac:dyDescent="0.2">
      <c r="B5" s="1472"/>
      <c r="C5" s="328"/>
      <c r="D5" s="328"/>
      <c r="E5" s="328"/>
    </row>
    <row r="6" spans="2:5" s="1279" customFormat="1" ht="13.5" customHeight="1" x14ac:dyDescent="0.2">
      <c r="B6" s="1473" t="s">
        <v>1315</v>
      </c>
      <c r="C6" s="1473" t="s">
        <v>1314</v>
      </c>
      <c r="D6" s="1473" t="s">
        <v>1764</v>
      </c>
    </row>
    <row r="7" spans="2:5" ht="13.5" customHeight="1" x14ac:dyDescent="0.2">
      <c r="B7" s="1474" t="s">
        <v>2113</v>
      </c>
      <c r="C7" s="324" t="s">
        <v>2114</v>
      </c>
      <c r="D7" s="1948" t="s">
        <v>2117</v>
      </c>
      <c r="E7" s="324"/>
    </row>
    <row r="8" spans="2:5" ht="13.5" customHeight="1" x14ac:dyDescent="0.2">
      <c r="B8" s="1474"/>
      <c r="C8" s="324" t="s">
        <v>2115</v>
      </c>
      <c r="D8" s="324"/>
      <c r="E8" s="324"/>
    </row>
    <row r="9" spans="2:5" ht="13.5" customHeight="1" x14ac:dyDescent="0.2">
      <c r="B9" s="1475"/>
      <c r="C9" s="323" t="s">
        <v>2116</v>
      </c>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1765</v>
      </c>
    </row>
    <row r="46" spans="2:5" ht="12.2" customHeight="1" x14ac:dyDescent="0.2">
      <c r="B46" s="1483" t="s">
        <v>1766</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7" t="s">
        <v>386</v>
      </c>
      <c r="B1" s="2097"/>
      <c r="C1" s="2097"/>
      <c r="D1" s="2097"/>
      <c r="E1" s="2097"/>
      <c r="F1" s="2097"/>
      <c r="G1" s="2097"/>
      <c r="H1" s="2097"/>
      <c r="I1" s="2097"/>
      <c r="J1" s="2097"/>
      <c r="K1" s="2097"/>
      <c r="L1" s="2097"/>
      <c r="M1" s="209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107" t="str">
        <f>IF(SUM(J10)&lt;=0.0999999,"","Enter the Tax Rates by moving the decimal two places to the left.")</f>
        <v/>
      </c>
      <c r="E11" s="2108"/>
      <c r="F11" s="2108"/>
      <c r="G11" s="2108"/>
      <c r="H11" s="2108"/>
      <c r="I11" s="2108"/>
      <c r="J11" s="210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6740794</v>
      </c>
      <c r="E16" s="356"/>
      <c r="F16" s="1733">
        <f>SUM('Acct Summary 7-8'!C17,'Acct Summary 7-8'!D17,'Acct Summary 7-8'!F17)</f>
        <v>6661312</v>
      </c>
      <c r="G16" s="356"/>
      <c r="H16" s="1733">
        <f>SUM(D16-F16)</f>
        <v>79482</v>
      </c>
      <c r="I16" s="222"/>
      <c r="J16" s="1733">
        <f>SUM('Acct Summary 7-8'!C81,'Acct Summary 7-8'!D81,'Acct Summary 7-8'!F81,'Acct Summary 7-8'!I81)</f>
        <v>928368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8"/>
      <c r="C54" s="2099"/>
      <c r="D54" s="2099"/>
      <c r="E54" s="2099"/>
      <c r="F54" s="2099"/>
      <c r="G54" s="2099"/>
      <c r="H54" s="2099"/>
      <c r="I54" s="2099"/>
      <c r="J54" s="2099"/>
      <c r="K54" s="2099"/>
      <c r="L54" s="2100"/>
      <c r="M54" s="380"/>
    </row>
    <row r="55" spans="1:13" ht="12.75" customHeight="1" x14ac:dyDescent="0.2">
      <c r="B55" s="2101"/>
      <c r="C55" s="2102"/>
      <c r="D55" s="2102"/>
      <c r="E55" s="2102"/>
      <c r="F55" s="2102"/>
      <c r="G55" s="2102"/>
      <c r="H55" s="2102"/>
      <c r="I55" s="2102"/>
      <c r="J55" s="2102"/>
      <c r="K55" s="2102"/>
      <c r="L55" s="2103"/>
      <c r="M55" s="380"/>
    </row>
    <row r="56" spans="1:13" ht="12.75" customHeight="1" x14ac:dyDescent="0.2">
      <c r="B56" s="2101"/>
      <c r="C56" s="2102"/>
      <c r="D56" s="2102"/>
      <c r="E56" s="2102"/>
      <c r="F56" s="2102"/>
      <c r="G56" s="2102"/>
      <c r="H56" s="2102"/>
      <c r="I56" s="2102"/>
      <c r="J56" s="2102"/>
      <c r="K56" s="2102"/>
      <c r="L56" s="2103"/>
      <c r="M56" s="222"/>
    </row>
    <row r="57" spans="1:13" ht="12.75" customHeight="1" x14ac:dyDescent="0.2">
      <c r="B57" s="2101"/>
      <c r="C57" s="2102"/>
      <c r="D57" s="2102"/>
      <c r="E57" s="2102"/>
      <c r="F57" s="2102"/>
      <c r="G57" s="2102"/>
      <c r="H57" s="2102"/>
      <c r="I57" s="2102"/>
      <c r="J57" s="2102"/>
      <c r="K57" s="2102"/>
      <c r="L57" s="2103"/>
      <c r="M57" s="222"/>
    </row>
    <row r="58" spans="1:13" x14ac:dyDescent="0.2">
      <c r="B58" s="2104"/>
      <c r="C58" s="2105"/>
      <c r="D58" s="2105"/>
      <c r="E58" s="2105"/>
      <c r="F58" s="2105"/>
      <c r="G58" s="2105"/>
      <c r="H58" s="2105"/>
      <c r="I58" s="2105"/>
      <c r="J58" s="2105"/>
      <c r="K58" s="2105"/>
      <c r="L58" s="210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9"/>
      <c r="D61" s="211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2"/>
      <c r="B1" s="2113"/>
      <c r="C1" s="2113"/>
      <c r="D1" s="384"/>
      <c r="E1" s="384"/>
      <c r="F1" s="384"/>
      <c r="G1" s="384"/>
      <c r="H1" s="384"/>
      <c r="I1" s="384"/>
      <c r="J1" s="384"/>
      <c r="K1" s="384"/>
      <c r="L1" s="384"/>
      <c r="M1" s="384"/>
      <c r="N1" s="384"/>
      <c r="O1" s="2112"/>
      <c r="P1" s="2113"/>
      <c r="Q1" s="2113"/>
    </row>
    <row r="2" spans="1:18" ht="15" x14ac:dyDescent="0.2">
      <c r="A2" s="2116" t="s">
        <v>556</v>
      </c>
      <c r="B2" s="2116"/>
      <c r="C2" s="2116"/>
      <c r="D2" s="2116"/>
      <c r="E2" s="2116"/>
      <c r="F2" s="2116"/>
      <c r="G2" s="2116"/>
      <c r="H2" s="2116"/>
      <c r="I2" s="2116"/>
      <c r="J2" s="2116"/>
      <c r="K2" s="2116"/>
      <c r="L2" s="2116"/>
      <c r="M2" s="2116"/>
      <c r="N2" s="2116"/>
      <c r="O2" s="2116"/>
      <c r="P2" s="2116"/>
      <c r="Q2" s="2116"/>
      <c r="R2" s="2116"/>
    </row>
    <row r="3" spans="1:18" ht="12.75" x14ac:dyDescent="0.2">
      <c r="A3" s="2117" t="s">
        <v>1413</v>
      </c>
      <c r="B3" s="2117"/>
      <c r="C3" s="2117"/>
      <c r="D3" s="2117"/>
      <c r="E3" s="2117"/>
      <c r="F3" s="2117"/>
      <c r="G3" s="2117"/>
      <c r="H3" s="2117"/>
      <c r="I3" s="2117"/>
      <c r="J3" s="2117"/>
      <c r="K3" s="2117"/>
      <c r="L3" s="2117"/>
      <c r="M3" s="2117"/>
      <c r="N3" s="2117"/>
      <c r="O3" s="2117"/>
      <c r="P3" s="2117"/>
      <c r="Q3" s="2117"/>
      <c r="R3" s="2117"/>
    </row>
    <row r="4" spans="1:18" x14ac:dyDescent="0.2">
      <c r="A4" s="2118" t="s">
        <v>1554</v>
      </c>
      <c r="B4" s="2118"/>
      <c r="C4" s="2118"/>
      <c r="D4" s="2118"/>
      <c r="E4" s="2118"/>
      <c r="F4" s="2118"/>
      <c r="G4" s="2118"/>
      <c r="H4" s="2118"/>
      <c r="I4" s="2118"/>
      <c r="J4" s="2118"/>
      <c r="K4" s="2118"/>
      <c r="L4" s="2118"/>
      <c r="M4" s="2118"/>
      <c r="N4" s="2118"/>
      <c r="O4" s="2118"/>
      <c r="P4" s="2118"/>
      <c r="Q4" s="2118"/>
      <c r="R4" s="211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 xml:space="preserve">South Eastern Sp Ed Program </v>
      </c>
      <c r="E7" s="391"/>
      <c r="G7" s="252"/>
      <c r="H7" s="387"/>
      <c r="I7" s="387"/>
      <c r="J7" s="387"/>
      <c r="K7" s="387"/>
      <c r="L7" s="329"/>
      <c r="M7" s="329"/>
      <c r="N7" s="329"/>
      <c r="O7" s="329"/>
      <c r="P7" s="329"/>
    </row>
    <row r="8" spans="1:18" ht="12.75" x14ac:dyDescent="0.2">
      <c r="A8" s="329"/>
      <c r="B8" s="329"/>
      <c r="C8" s="389" t="s">
        <v>1125</v>
      </c>
      <c r="D8" s="392">
        <f>COVER!A13</f>
        <v>12017801060</v>
      </c>
      <c r="E8" s="393"/>
      <c r="G8" s="329"/>
      <c r="H8" s="329"/>
      <c r="I8" s="329"/>
      <c r="J8" s="329"/>
      <c r="K8" s="329"/>
      <c r="L8" s="329"/>
      <c r="M8" s="329"/>
      <c r="N8" s="329"/>
      <c r="O8" s="329"/>
      <c r="P8" s="329"/>
    </row>
    <row r="9" spans="1:18" ht="12.75" x14ac:dyDescent="0.2">
      <c r="A9" s="329"/>
      <c r="B9" s="329"/>
      <c r="C9" s="389" t="s">
        <v>713</v>
      </c>
      <c r="D9" s="394" t="str">
        <f>COVER!A15</f>
        <v>Jasper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928368</v>
      </c>
      <c r="I12" s="404"/>
      <c r="J12" s="404"/>
      <c r="K12" s="405">
        <f>TRUNC((H12/H13*100000),5)/100000</f>
        <v>0.13772383490000001</v>
      </c>
      <c r="L12" s="406"/>
      <c r="M12" s="360" t="s">
        <v>1144</v>
      </c>
      <c r="N12" s="360"/>
      <c r="O12" s="407">
        <v>0.35</v>
      </c>
      <c r="P12" s="218"/>
      <c r="Q12" s="218"/>
    </row>
    <row r="13" spans="1:18" s="408" customFormat="1" ht="12.75" x14ac:dyDescent="0.2">
      <c r="A13" s="218"/>
      <c r="B13" s="401"/>
      <c r="C13" s="2114" t="s">
        <v>1324</v>
      </c>
      <c r="D13" s="2115"/>
      <c r="E13" s="218"/>
      <c r="F13" s="409" t="s">
        <v>793</v>
      </c>
      <c r="G13" s="402"/>
      <c r="H13" s="403">
        <f>SUM('Acct Summary 7-8'!C8+'Acct Summary 7-8'!D8+'Acct Summary 7-8'!F8+'Acct Summary 7-8'!I8)+H14</f>
        <v>6740794</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6661312</v>
      </c>
      <c r="I17" s="404"/>
      <c r="J17" s="416"/>
      <c r="K17" s="405">
        <f>TRUNC((H17/H18*100000),5)/100000</f>
        <v>0.98820880739999994</v>
      </c>
      <c r="L17" s="406"/>
      <c r="M17" s="417" t="s">
        <v>1171</v>
      </c>
      <c r="O17" s="418" t="str">
        <f>IF(AND(O16="2", J20 &gt; 2),"1",IF(AND(O16 = "1", J20 &gt; 2),"2",IF(AND(O16="1", J20 &gt;1),"1","0")))</f>
        <v>0</v>
      </c>
      <c r="P17" s="218"/>
    </row>
    <row r="18" spans="1:18" s="408" customFormat="1" ht="11.25" x14ac:dyDescent="0.2">
      <c r="A18" s="218"/>
      <c r="B18" s="401"/>
      <c r="C18" s="2114" t="s">
        <v>1317</v>
      </c>
      <c r="D18" s="2115"/>
      <c r="E18" s="218"/>
      <c r="F18" s="419" t="s">
        <v>794</v>
      </c>
      <c r="G18" s="402"/>
      <c r="H18" s="403">
        <f>SUM('Acct Summary 7-8'!C8+'Acct Summary 7-8'!D8+'Acct Summary 7-8'!F8+'Acct Summary 7-8'!I8)+H19</f>
        <v>6740794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11" t="s">
        <v>1412</v>
      </c>
      <c r="D24" s="2111"/>
      <c r="E24" s="218"/>
      <c r="F24" s="218" t="s">
        <v>445</v>
      </c>
      <c r="G24" s="402"/>
      <c r="H24" s="403">
        <f>SUM('Assets-Liab 5-6'!C4+'Assets-Liab 5-6'!D4+'Assets-Liab 5-6'!F4+'Assets-Liab 5-6'!I4+'Assets-Liab 5-6'!C5+'Assets-Liab 5-6'!D5+'Assets-Liab 5-6'!F5+'Assets-Liab 5-6'!I5)</f>
        <v>933435</v>
      </c>
      <c r="I24" s="422"/>
      <c r="J24" s="422"/>
      <c r="K24" s="423">
        <f>TRUNC(((H24/H25*100000)/100000),2)</f>
        <v>50.44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18503.64444</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1926</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1" t="s">
        <v>973</v>
      </c>
      <c r="B3" s="2122"/>
      <c r="C3" s="1559"/>
      <c r="D3" s="1560"/>
      <c r="E3" s="1560"/>
      <c r="F3" s="1560"/>
      <c r="G3" s="1560"/>
      <c r="H3" s="1560"/>
      <c r="I3" s="1560"/>
      <c r="J3" s="1560"/>
      <c r="K3" s="1560"/>
      <c r="L3" s="1560"/>
      <c r="M3" s="1561"/>
      <c r="N3" s="1562"/>
    </row>
    <row r="4" spans="1:14" ht="13.5" customHeight="1" x14ac:dyDescent="0.2">
      <c r="A4" s="463" t="s">
        <v>1651</v>
      </c>
      <c r="B4" s="464"/>
      <c r="C4" s="465">
        <v>933435</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933435</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23" t="s">
        <v>147</v>
      </c>
      <c r="B14" s="212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v>2440766</v>
      </c>
      <c r="N17" s="484"/>
    </row>
    <row r="18" spans="1:14" s="485" customFormat="1" ht="12.75" customHeight="1" x14ac:dyDescent="0.2">
      <c r="A18" s="482" t="s">
        <v>1404</v>
      </c>
      <c r="B18" s="483">
        <v>240</v>
      </c>
      <c r="C18" s="477"/>
      <c r="D18" s="477"/>
      <c r="E18" s="477"/>
      <c r="F18" s="477"/>
      <c r="G18" s="477"/>
      <c r="H18" s="477"/>
      <c r="I18" s="477"/>
      <c r="J18" s="477"/>
      <c r="K18" s="477"/>
      <c r="L18" s="477"/>
      <c r="M18" s="467">
        <v>6382</v>
      </c>
      <c r="N18" s="484"/>
    </row>
    <row r="19" spans="1:14" s="485" customFormat="1" ht="12.75" customHeight="1" x14ac:dyDescent="0.2">
      <c r="A19" s="482" t="s">
        <v>1405</v>
      </c>
      <c r="B19" s="483">
        <v>250</v>
      </c>
      <c r="C19" s="477"/>
      <c r="D19" s="477"/>
      <c r="E19" s="477"/>
      <c r="F19" s="477"/>
      <c r="G19" s="477"/>
      <c r="H19" s="477"/>
      <c r="I19" s="477"/>
      <c r="J19" s="477"/>
      <c r="K19" s="477"/>
      <c r="L19" s="477"/>
      <c r="M19" s="467">
        <v>795030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3242178</v>
      </c>
      <c r="N23" s="1688">
        <f>SUM(N21:N22)</f>
        <v>0</v>
      </c>
    </row>
    <row r="24" spans="1:14" ht="18" customHeight="1" thickTop="1" x14ac:dyDescent="0.2">
      <c r="A24" s="2125" t="s">
        <v>598</v>
      </c>
      <c r="B24" s="212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5067</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5067</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27" t="s">
        <v>529</v>
      </c>
      <c r="B35" s="212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928368</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3242178</v>
      </c>
      <c r="N40" s="497"/>
    </row>
    <row r="41" spans="1:14" ht="13.5" customHeight="1" thickBot="1" x14ac:dyDescent="0.25">
      <c r="A41" s="1736" t="s">
        <v>655</v>
      </c>
      <c r="B41" s="1706"/>
      <c r="C41" s="1688">
        <f>(SUM(C34,C37,C38,C39))</f>
        <v>933435</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3242178</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C28" sqref="C2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9" t="s">
        <v>1175</v>
      </c>
      <c r="B3" s="2150"/>
      <c r="C3" s="1573"/>
      <c r="D3" s="1574"/>
      <c r="E3" s="1574"/>
      <c r="F3" s="1574"/>
      <c r="G3" s="1574"/>
      <c r="H3" s="1574"/>
      <c r="I3" s="1574"/>
      <c r="J3" s="1574"/>
      <c r="K3" s="1575"/>
      <c r="L3" s="506"/>
    </row>
    <row r="4" spans="1:13" ht="15.75" customHeight="1" x14ac:dyDescent="0.2">
      <c r="A4" s="1928" t="s">
        <v>1499</v>
      </c>
      <c r="B4" s="1929">
        <v>1000</v>
      </c>
      <c r="C4" s="1742">
        <f>'Revenues 9-14'!C109</f>
        <v>2545500</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47260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619705</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3528329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6740794</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1474597</v>
      </c>
      <c r="D9" s="516"/>
      <c r="E9" s="481"/>
      <c r="F9" s="481"/>
      <c r="G9" s="517"/>
      <c r="H9" s="481"/>
      <c r="I9" s="509" t="s">
        <v>1169</v>
      </c>
      <c r="J9" s="478"/>
      <c r="K9" s="481"/>
      <c r="L9" s="347"/>
    </row>
    <row r="10" spans="1:13" s="519" customFormat="1" ht="13.5" thickBot="1" x14ac:dyDescent="0.25">
      <c r="A10" s="1736" t="s">
        <v>1173</v>
      </c>
      <c r="B10" s="1709"/>
      <c r="C10" s="1688">
        <f>SUM(C8:C9)</f>
        <v>8215391</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23" t="s">
        <v>1176</v>
      </c>
      <c r="B11" s="2124"/>
      <c r="C11" s="1570"/>
      <c r="D11" s="1571"/>
      <c r="E11" s="1571"/>
      <c r="F11" s="1571"/>
      <c r="G11" s="1571"/>
      <c r="H11" s="1571"/>
      <c r="I11" s="1571"/>
      <c r="J11" s="1571"/>
      <c r="K11" s="1572"/>
      <c r="L11" s="518"/>
    </row>
    <row r="12" spans="1:13" ht="15.75" customHeight="1" x14ac:dyDescent="0.2">
      <c r="A12" s="1576" t="s">
        <v>456</v>
      </c>
      <c r="B12" s="1578">
        <v>1000</v>
      </c>
      <c r="C12" s="1742">
        <f>'Expenditures 15-22'!K33</f>
        <v>2552431</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3580549</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528332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6661312</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1474597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8135909</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39" t="s">
        <v>1655</v>
      </c>
      <c r="B20" s="2140"/>
      <c r="C20" s="1746">
        <f>C8-C17</f>
        <v>79482</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51" t="s">
        <v>595</v>
      </c>
      <c r="B21" s="2152"/>
      <c r="C21" s="1570"/>
      <c r="D21" s="1571"/>
      <c r="E21" s="1571"/>
      <c r="F21" s="1571"/>
      <c r="G21" s="1571"/>
      <c r="H21" s="1571"/>
      <c r="I21" s="1571"/>
      <c r="J21" s="1571"/>
      <c r="K21" s="1572"/>
      <c r="L21" s="524"/>
    </row>
    <row r="22" spans="1:12" ht="15.75" customHeight="1" collapsed="1" x14ac:dyDescent="0.2">
      <c r="A22" s="2147" t="s">
        <v>596</v>
      </c>
      <c r="B22" s="2148"/>
      <c r="C22" s="477"/>
      <c r="D22" s="477"/>
      <c r="E22" s="477"/>
      <c r="F22" s="477"/>
      <c r="G22" s="477"/>
      <c r="H22" s="477"/>
      <c r="I22" s="477"/>
      <c r="J22" s="477"/>
      <c r="K22" s="477"/>
      <c r="L22" s="347"/>
    </row>
    <row r="23" spans="1:12" s="485" customFormat="1" ht="15.75" customHeight="1" x14ac:dyDescent="0.2">
      <c r="A23" s="2143" t="s">
        <v>293</v>
      </c>
      <c r="B23" s="214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45" t="s">
        <v>981</v>
      </c>
      <c r="B32" s="214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53" t="s">
        <v>374</v>
      </c>
      <c r="B44" s="2154"/>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7" t="s">
        <v>108</v>
      </c>
      <c r="B45" s="2148"/>
      <c r="C45" s="528"/>
      <c r="D45" s="528"/>
      <c r="E45" s="528"/>
      <c r="F45" s="528"/>
      <c r="G45" s="528"/>
      <c r="H45" s="528"/>
      <c r="I45" s="528"/>
      <c r="J45" s="528"/>
      <c r="K45" s="528"/>
      <c r="L45" s="347"/>
    </row>
    <row r="46" spans="1:12" s="485" customFormat="1" ht="15.75" customHeight="1" x14ac:dyDescent="0.2">
      <c r="A46" s="2155" t="s">
        <v>109</v>
      </c>
      <c r="B46" s="215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9" t="s">
        <v>440</v>
      </c>
      <c r="B76" s="2130"/>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31" t="s">
        <v>1177</v>
      </c>
      <c r="B77" s="2132"/>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35" t="s">
        <v>597</v>
      </c>
      <c r="B78" s="2136"/>
      <c r="C78" s="1702">
        <f t="shared" ref="C78:K78" si="9">C20+C77</f>
        <v>79482</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1943</v>
      </c>
      <c r="B79" s="534"/>
      <c r="C79" s="478">
        <v>848886</v>
      </c>
      <c r="D79" s="535"/>
      <c r="E79" s="535"/>
      <c r="F79" s="535"/>
      <c r="G79" s="535"/>
      <c r="H79" s="535"/>
      <c r="I79" s="535"/>
      <c r="J79" s="535"/>
      <c r="K79" s="535"/>
      <c r="L79" s="347"/>
    </row>
    <row r="80" spans="1:12" x14ac:dyDescent="0.2">
      <c r="A80" s="2141" t="s">
        <v>1791</v>
      </c>
      <c r="B80" s="2142"/>
      <c r="C80" s="467"/>
      <c r="D80" s="467"/>
      <c r="E80" s="467"/>
      <c r="F80" s="467"/>
      <c r="G80" s="467"/>
      <c r="H80" s="467"/>
      <c r="I80" s="467"/>
      <c r="J80" s="467"/>
      <c r="K80" s="467"/>
      <c r="L80" s="347"/>
    </row>
    <row r="81" spans="1:12" ht="13.5" thickBot="1" x14ac:dyDescent="0.25">
      <c r="A81" s="2133" t="s">
        <v>1944</v>
      </c>
      <c r="B81" s="2134"/>
      <c r="C81" s="1688">
        <f>(SUM(C78:C80))</f>
        <v>928368</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79482</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8.5614756217362087E-2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14" activePane="bottomLeft" state="frozen"/>
      <selection pane="bottomLeft" activeCell="C127" sqref="C12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7" t="s">
        <v>1798</v>
      </c>
      <c r="B1" s="452"/>
      <c r="C1" s="453" t="s">
        <v>425</v>
      </c>
      <c r="D1" s="453" t="s">
        <v>426</v>
      </c>
      <c r="E1" s="453" t="s">
        <v>427</v>
      </c>
      <c r="F1" s="453" t="s">
        <v>428</v>
      </c>
      <c r="G1" s="453" t="s">
        <v>429</v>
      </c>
      <c r="H1" s="453" t="s">
        <v>430</v>
      </c>
      <c r="I1" s="453" t="s">
        <v>431</v>
      </c>
      <c r="J1" s="453" t="s">
        <v>432</v>
      </c>
      <c r="K1" s="453" t="s">
        <v>756</v>
      </c>
    </row>
    <row r="2" spans="1:12" ht="36" x14ac:dyDescent="0.2">
      <c r="A2" s="213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2534220</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2534220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11250</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11250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30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30</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2545500</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47260</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47260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30" t="s">
        <v>1930</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v>591832</v>
      </c>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591832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27873</v>
      </c>
      <c r="D168" s="580"/>
      <c r="E168" s="580"/>
      <c r="F168" s="580"/>
      <c r="G168" s="581"/>
      <c r="H168" s="582"/>
      <c r="I168" s="581"/>
      <c r="J168" s="581"/>
      <c r="K168" s="582"/>
    </row>
    <row r="169" spans="1:11" ht="12.75" customHeight="1" thickTop="1" thickBot="1" x14ac:dyDescent="0.25">
      <c r="A169" s="2157" t="s">
        <v>398</v>
      </c>
      <c r="B169" s="2158"/>
      <c r="C169" s="1722">
        <f t="shared" ref="C169:K169" si="6">SUM(C132,C141,C145,C146:C150,C155,C156:C167,C168)</f>
        <v>619705</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619705</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9" t="s">
        <v>1492</v>
      </c>
      <c r="B172" s="216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3" t="s">
        <v>1665</v>
      </c>
      <c r="B175" s="216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7" t="s">
        <v>1664</v>
      </c>
      <c r="B176" s="216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5" t="s">
        <v>785</v>
      </c>
      <c r="B181" s="216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61" t="s">
        <v>1799</v>
      </c>
      <c r="B182" s="216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192917</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3176142</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3369059</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1931</v>
      </c>
      <c r="B261" s="470">
        <v>4981</v>
      </c>
      <c r="C261" s="575"/>
      <c r="D261" s="576"/>
      <c r="E261" s="468"/>
      <c r="F261" s="576"/>
      <c r="G261" s="576"/>
      <c r="H261" s="468"/>
      <c r="I261" s="468"/>
      <c r="J261" s="468"/>
      <c r="K261" s="468"/>
    </row>
    <row r="262" spans="1:11" ht="12.75" customHeight="1" thickTop="1" thickBot="1" x14ac:dyDescent="0.25">
      <c r="A262" s="1931" t="s">
        <v>1932</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50928</v>
      </c>
      <c r="D263" s="576"/>
      <c r="E263" s="468"/>
      <c r="F263" s="576"/>
      <c r="G263" s="576"/>
      <c r="H263" s="468"/>
      <c r="I263" s="468"/>
      <c r="J263" s="468"/>
      <c r="K263" s="468"/>
    </row>
    <row r="264" spans="1:11" ht="12.75" customHeight="1" thickTop="1" thickBot="1" x14ac:dyDescent="0.25">
      <c r="A264" s="463" t="s">
        <v>377</v>
      </c>
      <c r="B264" s="470">
        <v>4992</v>
      </c>
      <c r="C264" s="575">
        <v>108342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3528329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3528329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6740794</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6" activePane="bottomLeft" state="frozen"/>
      <selection pane="bottomLeft" activeCell="G74" sqref="G7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7" t="s">
        <v>1798</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7" t="s">
        <v>297</v>
      </c>
      <c r="B3" s="2178"/>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1442975</v>
      </c>
      <c r="D8" s="466">
        <v>301080</v>
      </c>
      <c r="E8" s="466">
        <v>126825</v>
      </c>
      <c r="F8" s="466">
        <v>79853</v>
      </c>
      <c r="G8" s="466"/>
      <c r="H8" s="466"/>
      <c r="I8" s="467"/>
      <c r="J8" s="467"/>
      <c r="K8" s="1671">
        <f t="shared" si="0"/>
        <v>1950733</v>
      </c>
      <c r="L8" s="466">
        <v>1974475</v>
      </c>
    </row>
    <row r="9" spans="1:14" x14ac:dyDescent="0.2">
      <c r="A9" s="1504" t="s">
        <v>721</v>
      </c>
      <c r="B9" s="614" t="s">
        <v>968</v>
      </c>
      <c r="C9" s="467">
        <v>373324</v>
      </c>
      <c r="D9" s="467">
        <v>52325</v>
      </c>
      <c r="E9" s="467">
        <v>3727</v>
      </c>
      <c r="F9" s="467">
        <v>55895</v>
      </c>
      <c r="G9" s="467"/>
      <c r="H9" s="467"/>
      <c r="I9" s="467"/>
      <c r="J9" s="467"/>
      <c r="K9" s="1671">
        <f t="shared" si="0"/>
        <v>485271</v>
      </c>
      <c r="L9" s="466">
        <v>519959</v>
      </c>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84596</v>
      </c>
      <c r="D13" s="466">
        <v>9392</v>
      </c>
      <c r="E13" s="466">
        <v>21123</v>
      </c>
      <c r="F13" s="466">
        <v>1316</v>
      </c>
      <c r="G13" s="466"/>
      <c r="H13" s="466"/>
      <c r="I13" s="467"/>
      <c r="J13" s="467"/>
      <c r="K13" s="1671">
        <f t="shared" si="0"/>
        <v>116427</v>
      </c>
      <c r="L13" s="466">
        <v>122929</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1900895</v>
      </c>
      <c r="D33" s="1670">
        <f t="shared" ref="D33:L33" si="1">SUM(D5:D32)</f>
        <v>362797</v>
      </c>
      <c r="E33" s="1670">
        <f t="shared" si="1"/>
        <v>151675</v>
      </c>
      <c r="F33" s="1670">
        <f t="shared" si="1"/>
        <v>137064</v>
      </c>
      <c r="G33" s="1670">
        <f t="shared" si="1"/>
        <v>0</v>
      </c>
      <c r="H33" s="1670">
        <f t="shared" si="1"/>
        <v>0</v>
      </c>
      <c r="I33" s="1670">
        <f t="shared" si="1"/>
        <v>0</v>
      </c>
      <c r="J33" s="1670">
        <f t="shared" si="1"/>
        <v>0</v>
      </c>
      <c r="K33" s="1670">
        <f t="shared" si="1"/>
        <v>2552431</v>
      </c>
      <c r="L33" s="1670">
        <f t="shared" si="1"/>
        <v>2617363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326921</v>
      </c>
      <c r="D36" s="481">
        <v>29370</v>
      </c>
      <c r="E36" s="481">
        <v>20423</v>
      </c>
      <c r="F36" s="481">
        <v>5485</v>
      </c>
      <c r="G36" s="481"/>
      <c r="H36" s="481"/>
      <c r="I36" s="467"/>
      <c r="J36" s="467"/>
      <c r="K36" s="1671">
        <f t="shared" ref="K36:K41" si="2">SUM(C36:J36)</f>
        <v>382199</v>
      </c>
      <c r="L36" s="466">
        <v>369120</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397476</v>
      </c>
      <c r="D38" s="466">
        <v>78711</v>
      </c>
      <c r="E38" s="466">
        <v>26573</v>
      </c>
      <c r="F38" s="466">
        <v>10150</v>
      </c>
      <c r="G38" s="466"/>
      <c r="H38" s="466"/>
      <c r="I38" s="467"/>
      <c r="J38" s="467"/>
      <c r="K38" s="1671">
        <f t="shared" si="2"/>
        <v>512910</v>
      </c>
      <c r="L38" s="466">
        <v>509858</v>
      </c>
    </row>
    <row r="39" spans="1:14" x14ac:dyDescent="0.2">
      <c r="A39" s="1504" t="s">
        <v>199</v>
      </c>
      <c r="B39" s="614">
        <v>2140</v>
      </c>
      <c r="C39" s="466">
        <v>439982</v>
      </c>
      <c r="D39" s="466">
        <v>52877</v>
      </c>
      <c r="E39" s="466">
        <v>36886</v>
      </c>
      <c r="F39" s="466">
        <v>14546</v>
      </c>
      <c r="G39" s="466"/>
      <c r="H39" s="466"/>
      <c r="I39" s="467"/>
      <c r="J39" s="467"/>
      <c r="K39" s="1671">
        <f t="shared" si="2"/>
        <v>544291</v>
      </c>
      <c r="L39" s="466">
        <v>567213</v>
      </c>
    </row>
    <row r="40" spans="1:14" x14ac:dyDescent="0.2">
      <c r="A40" s="1504" t="s">
        <v>200</v>
      </c>
      <c r="B40" s="614">
        <v>2150</v>
      </c>
      <c r="C40" s="466">
        <v>334276</v>
      </c>
      <c r="D40" s="466">
        <v>36970</v>
      </c>
      <c r="E40" s="466">
        <v>28001</v>
      </c>
      <c r="F40" s="466">
        <v>27404</v>
      </c>
      <c r="G40" s="466"/>
      <c r="H40" s="466"/>
      <c r="I40" s="467"/>
      <c r="J40" s="467"/>
      <c r="K40" s="1671">
        <f t="shared" si="2"/>
        <v>426651</v>
      </c>
      <c r="L40" s="466">
        <v>437735</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1498655</v>
      </c>
      <c r="D42" s="1670">
        <f t="shared" ref="D42:L42" si="3">SUM(D36:D41)</f>
        <v>197928</v>
      </c>
      <c r="E42" s="1670">
        <f t="shared" si="3"/>
        <v>111883</v>
      </c>
      <c r="F42" s="1670">
        <f t="shared" si="3"/>
        <v>57585</v>
      </c>
      <c r="G42" s="1670">
        <f t="shared" si="3"/>
        <v>0</v>
      </c>
      <c r="H42" s="1670">
        <f t="shared" si="3"/>
        <v>0</v>
      </c>
      <c r="I42" s="1670">
        <f t="shared" si="3"/>
        <v>0</v>
      </c>
      <c r="J42" s="1670">
        <f t="shared" si="3"/>
        <v>0</v>
      </c>
      <c r="K42" s="1670">
        <f t="shared" si="3"/>
        <v>1866051</v>
      </c>
      <c r="L42" s="1670">
        <f t="shared" si="3"/>
        <v>1883926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85083</v>
      </c>
      <c r="D44" s="481">
        <v>15808</v>
      </c>
      <c r="E44" s="481">
        <v>88987</v>
      </c>
      <c r="F44" s="481">
        <v>11655</v>
      </c>
      <c r="G44" s="481"/>
      <c r="H44" s="481"/>
      <c r="I44" s="467"/>
      <c r="J44" s="467"/>
      <c r="K44" s="1672">
        <f>SUM(C44:J44)</f>
        <v>201533</v>
      </c>
      <c r="L44" s="481">
        <v>205471</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85083</v>
      </c>
      <c r="D47" s="1670">
        <f t="shared" ref="D47:K47" si="4">SUM(D44:D46)</f>
        <v>15808</v>
      </c>
      <c r="E47" s="1670">
        <f t="shared" si="4"/>
        <v>88987</v>
      </c>
      <c r="F47" s="1670">
        <f t="shared" si="4"/>
        <v>11655</v>
      </c>
      <c r="G47" s="1670">
        <f t="shared" si="4"/>
        <v>0</v>
      </c>
      <c r="H47" s="1670">
        <f t="shared" si="4"/>
        <v>0</v>
      </c>
      <c r="I47" s="1670">
        <f t="shared" si="4"/>
        <v>0</v>
      </c>
      <c r="J47" s="1670">
        <f t="shared" si="4"/>
        <v>0</v>
      </c>
      <c r="K47" s="1670">
        <f t="shared" si="4"/>
        <v>201533</v>
      </c>
      <c r="L47" s="1670">
        <f>SUM(L44:L46)</f>
        <v>205471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v>145031</v>
      </c>
      <c r="D50" s="466">
        <v>23583</v>
      </c>
      <c r="E50" s="466">
        <v>10118</v>
      </c>
      <c r="F50" s="466">
        <v>2055</v>
      </c>
      <c r="G50" s="466"/>
      <c r="H50" s="466">
        <v>2034</v>
      </c>
      <c r="I50" s="467"/>
      <c r="J50" s="467"/>
      <c r="K50" s="1672">
        <f>SUM(C50:J50)</f>
        <v>182821</v>
      </c>
      <c r="L50" s="466">
        <v>187451</v>
      </c>
    </row>
    <row r="51" spans="1:14" x14ac:dyDescent="0.2">
      <c r="A51" s="1504" t="s">
        <v>42</v>
      </c>
      <c r="B51" s="614">
        <v>2330</v>
      </c>
      <c r="C51" s="466">
        <v>602925</v>
      </c>
      <c r="D51" s="466">
        <v>88617</v>
      </c>
      <c r="E51" s="466">
        <v>107540</v>
      </c>
      <c r="F51" s="466">
        <v>35735</v>
      </c>
      <c r="G51" s="466"/>
      <c r="H51" s="466"/>
      <c r="I51" s="467"/>
      <c r="J51" s="467"/>
      <c r="K51" s="1672">
        <f>SUM(C51:J51)</f>
        <v>834817</v>
      </c>
      <c r="L51" s="466">
        <v>858089</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747956</v>
      </c>
      <c r="D53" s="1670">
        <f t="shared" ref="D53:L53" si="5">SUM(D49:D52)</f>
        <v>112200</v>
      </c>
      <c r="E53" s="1670">
        <f t="shared" si="5"/>
        <v>117658</v>
      </c>
      <c r="F53" s="1670">
        <f t="shared" si="5"/>
        <v>37790</v>
      </c>
      <c r="G53" s="1670">
        <f t="shared" si="5"/>
        <v>0</v>
      </c>
      <c r="H53" s="1670">
        <f t="shared" si="5"/>
        <v>2034</v>
      </c>
      <c r="I53" s="1670">
        <f t="shared" si="5"/>
        <v>0</v>
      </c>
      <c r="J53" s="1670">
        <f t="shared" si="5"/>
        <v>0</v>
      </c>
      <c r="K53" s="1670">
        <f t="shared" si="5"/>
        <v>1017638</v>
      </c>
      <c r="L53" s="1670">
        <f t="shared" si="5"/>
        <v>1045540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v>5470</v>
      </c>
      <c r="F60" s="466"/>
      <c r="G60" s="466"/>
      <c r="H60" s="466"/>
      <c r="I60" s="467"/>
      <c r="J60" s="467"/>
      <c r="K60" s="1672">
        <f t="shared" si="7"/>
        <v>5470</v>
      </c>
      <c r="L60" s="466">
        <v>5470</v>
      </c>
      <c r="M60" s="609"/>
      <c r="N60" s="609"/>
    </row>
    <row r="61" spans="1:14" s="343" customFormat="1" x14ac:dyDescent="0.2">
      <c r="A61" s="1504" t="s">
        <v>197</v>
      </c>
      <c r="B61" s="614">
        <v>2540</v>
      </c>
      <c r="C61" s="466"/>
      <c r="D61" s="466"/>
      <c r="E61" s="466">
        <v>199541</v>
      </c>
      <c r="F61" s="466">
        <v>52414</v>
      </c>
      <c r="G61" s="466">
        <v>90117</v>
      </c>
      <c r="H61" s="466"/>
      <c r="I61" s="467"/>
      <c r="J61" s="467"/>
      <c r="K61" s="1672">
        <f t="shared" si="7"/>
        <v>342072</v>
      </c>
      <c r="L61" s="466">
        <v>431351</v>
      </c>
      <c r="M61" s="609"/>
      <c r="N61" s="609"/>
    </row>
    <row r="62" spans="1:14" s="343" customFormat="1" x14ac:dyDescent="0.2">
      <c r="A62" s="1504" t="s">
        <v>953</v>
      </c>
      <c r="B62" s="614">
        <v>2550</v>
      </c>
      <c r="C62" s="466"/>
      <c r="D62" s="466"/>
      <c r="E62" s="466">
        <v>12644</v>
      </c>
      <c r="F62" s="466"/>
      <c r="G62" s="466"/>
      <c r="H62" s="466"/>
      <c r="I62" s="467"/>
      <c r="J62" s="467"/>
      <c r="K62" s="1672">
        <f t="shared" si="7"/>
        <v>12644</v>
      </c>
      <c r="L62" s="466">
        <v>12644</v>
      </c>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v>2263</v>
      </c>
      <c r="F64" s="481"/>
      <c r="G64" s="481"/>
      <c r="H64" s="481"/>
      <c r="I64" s="467"/>
      <c r="J64" s="467"/>
      <c r="K64" s="1672">
        <f t="shared" si="7"/>
        <v>2263</v>
      </c>
      <c r="L64" s="481">
        <v>2263</v>
      </c>
    </row>
    <row r="65" spans="1:14" s="343" customFormat="1" ht="12.75" customHeight="1" thickBot="1" x14ac:dyDescent="0.25">
      <c r="A65" s="1668" t="s">
        <v>719</v>
      </c>
      <c r="B65" s="1669" t="s">
        <v>35</v>
      </c>
      <c r="C65" s="1670">
        <f>SUM(C59:C64)</f>
        <v>0</v>
      </c>
      <c r="D65" s="1670">
        <f t="shared" ref="D65:L65" si="8">SUM(D59:D64)</f>
        <v>0</v>
      </c>
      <c r="E65" s="1670">
        <f t="shared" si="8"/>
        <v>219918</v>
      </c>
      <c r="F65" s="1670">
        <f t="shared" si="8"/>
        <v>52414</v>
      </c>
      <c r="G65" s="1670">
        <f t="shared" si="8"/>
        <v>90117</v>
      </c>
      <c r="H65" s="1670">
        <f t="shared" si="8"/>
        <v>0</v>
      </c>
      <c r="I65" s="1670">
        <f t="shared" si="8"/>
        <v>0</v>
      </c>
      <c r="J65" s="1670">
        <f t="shared" si="8"/>
        <v>0</v>
      </c>
      <c r="K65" s="1670">
        <f t="shared" si="8"/>
        <v>362449</v>
      </c>
      <c r="L65" s="1670">
        <f t="shared" si="8"/>
        <v>451728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v>1215</v>
      </c>
      <c r="F70" s="466"/>
      <c r="G70" s="466"/>
      <c r="H70" s="466"/>
      <c r="I70" s="467"/>
      <c r="J70" s="467"/>
      <c r="K70" s="1672">
        <f>SUM(C70:J70)</f>
        <v>1215</v>
      </c>
      <c r="L70" s="466">
        <v>1215</v>
      </c>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1215</v>
      </c>
      <c r="F72" s="1670">
        <f t="shared" si="9"/>
        <v>0</v>
      </c>
      <c r="G72" s="1670">
        <f t="shared" si="9"/>
        <v>0</v>
      </c>
      <c r="H72" s="1670">
        <f t="shared" si="9"/>
        <v>0</v>
      </c>
      <c r="I72" s="1670">
        <f t="shared" si="9"/>
        <v>0</v>
      </c>
      <c r="J72" s="1670">
        <f t="shared" si="9"/>
        <v>0</v>
      </c>
      <c r="K72" s="1670">
        <f t="shared" si="9"/>
        <v>1215</v>
      </c>
      <c r="L72" s="1670">
        <f>SUM(L67:L71)</f>
        <v>1215</v>
      </c>
      <c r="M72" s="609"/>
      <c r="N72" s="609"/>
    </row>
    <row r="73" spans="1:14" s="343" customFormat="1" ht="14.25" thickTop="1" thickBot="1" x14ac:dyDescent="0.25">
      <c r="A73" s="1510" t="s">
        <v>980</v>
      </c>
      <c r="B73" s="632" t="s">
        <v>574</v>
      </c>
      <c r="C73" s="573"/>
      <c r="D73" s="573"/>
      <c r="E73" s="573">
        <v>6298</v>
      </c>
      <c r="F73" s="573">
        <v>28559</v>
      </c>
      <c r="G73" s="573">
        <v>96806</v>
      </c>
      <c r="H73" s="573"/>
      <c r="I73" s="531"/>
      <c r="J73" s="531"/>
      <c r="K73" s="1670">
        <f>SUM(C73:J73)</f>
        <v>131663</v>
      </c>
      <c r="L73" s="576">
        <v>150000</v>
      </c>
      <c r="M73" s="609"/>
      <c r="N73" s="609"/>
    </row>
    <row r="74" spans="1:14" ht="12.75" customHeight="1" thickTop="1" thickBot="1" x14ac:dyDescent="0.25">
      <c r="A74" s="1668" t="s">
        <v>811</v>
      </c>
      <c r="B74" s="1676">
        <v>2000</v>
      </c>
      <c r="C74" s="1677">
        <f>SUM(C42,C47,C53,C57,C65,C72,C73)</f>
        <v>2331694</v>
      </c>
      <c r="D74" s="1677">
        <f t="shared" ref="D74:K74" si="10">SUM(D42,D47,D53,D57,D65,D72,D73)</f>
        <v>325936</v>
      </c>
      <c r="E74" s="1677">
        <f t="shared" si="10"/>
        <v>545959</v>
      </c>
      <c r="F74" s="1677">
        <f t="shared" si="10"/>
        <v>188003</v>
      </c>
      <c r="G74" s="1677">
        <f t="shared" si="10"/>
        <v>186923</v>
      </c>
      <c r="H74" s="1677">
        <f t="shared" si="10"/>
        <v>2034</v>
      </c>
      <c r="I74" s="1677">
        <f t="shared" si="10"/>
        <v>0</v>
      </c>
      <c r="J74" s="1677">
        <f t="shared" si="10"/>
        <v>0</v>
      </c>
      <c r="K74" s="1677">
        <f t="shared" si="10"/>
        <v>3580549</v>
      </c>
      <c r="L74" s="1677">
        <f>SUM(L42,L47,L53,L57,L65,L72,L73)</f>
        <v>3737880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239205</v>
      </c>
      <c r="F79" s="616"/>
      <c r="G79" s="616"/>
      <c r="H79" s="466">
        <v>289127</v>
      </c>
      <c r="I79" s="477"/>
      <c r="J79" s="477"/>
      <c r="K79" s="1671">
        <f t="shared" si="11"/>
        <v>528332</v>
      </c>
      <c r="L79" s="466">
        <v>464627</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239205</v>
      </c>
      <c r="F84" s="616"/>
      <c r="G84" s="616"/>
      <c r="H84" s="1670">
        <f>SUM(H78:H83)</f>
        <v>289127</v>
      </c>
      <c r="I84" s="477"/>
      <c r="J84" s="477"/>
      <c r="K84" s="1670">
        <f>SUM(K78:K83)</f>
        <v>528332</v>
      </c>
      <c r="L84" s="1670">
        <f>SUM(L78:L83)</f>
        <v>464627</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239205</v>
      </c>
      <c r="F102" s="616"/>
      <c r="G102" s="616"/>
      <c r="H102" s="1677">
        <f>SUM(H84,H92,H100,H101)</f>
        <v>289127</v>
      </c>
      <c r="I102" s="477"/>
      <c r="J102" s="477"/>
      <c r="K102" s="1677">
        <f>SUM(K84,K92,K100,K101)</f>
        <v>528332</v>
      </c>
      <c r="L102" s="1677">
        <f>SUM(L84,L92,L100,L101)</f>
        <v>464627</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4232589</v>
      </c>
      <c r="D114" s="1670">
        <f t="shared" ref="D114:K114" si="13">SUM(D33,D74,D75,D102,D112,D113)</f>
        <v>688733</v>
      </c>
      <c r="E114" s="1670">
        <f t="shared" si="13"/>
        <v>936839</v>
      </c>
      <c r="F114" s="1670">
        <f t="shared" si="13"/>
        <v>325067</v>
      </c>
      <c r="G114" s="1670">
        <f t="shared" si="13"/>
        <v>186923</v>
      </c>
      <c r="H114" s="1670">
        <f>SUM(H33,H74,H75,H102,H112,H113)</f>
        <v>291161</v>
      </c>
      <c r="I114" s="1670">
        <f t="shared" si="13"/>
        <v>0</v>
      </c>
      <c r="J114" s="1670">
        <f t="shared" si="13"/>
        <v>0</v>
      </c>
      <c r="K114" s="1670">
        <f t="shared" si="13"/>
        <v>6661312</v>
      </c>
      <c r="L114" s="1670">
        <f>SUM(L33,L74,L75,L102,L112,L113)</f>
        <v>6819870</v>
      </c>
    </row>
    <row r="115" spans="1:14" ht="13.5" thickTop="1" x14ac:dyDescent="0.2">
      <c r="A115" s="2169" t="s">
        <v>996</v>
      </c>
      <c r="B115" s="2170"/>
      <c r="C115" s="618"/>
      <c r="D115" s="618"/>
      <c r="E115" s="618"/>
      <c r="F115" s="618"/>
      <c r="G115" s="618"/>
      <c r="H115" s="618"/>
      <c r="I115" s="618"/>
      <c r="J115" s="618"/>
      <c r="K115" s="1684">
        <f>'Revenues 9-14'!C268-'Expenditures 15-22'!K114</f>
        <v>79482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4" t="s">
        <v>296</v>
      </c>
      <c r="B117" s="2175"/>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2054</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1840</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6" t="s">
        <v>620</v>
      </c>
      <c r="B151" s="2166"/>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89" t="s">
        <v>1178</v>
      </c>
      <c r="B152" s="2190"/>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4" t="s">
        <v>621</v>
      </c>
      <c r="B154" s="217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1841</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1840</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1842</v>
      </c>
      <c r="C158" s="616"/>
      <c r="D158" s="616"/>
      <c r="E158" s="616"/>
      <c r="F158" s="616"/>
      <c r="G158" s="616"/>
      <c r="H158" s="467"/>
      <c r="I158" s="616"/>
      <c r="J158" s="616"/>
      <c r="K158" s="1671">
        <f>H158</f>
        <v>0</v>
      </c>
      <c r="L158" s="467"/>
      <c r="M158" s="619"/>
      <c r="N158" s="619"/>
    </row>
    <row r="159" spans="1:14" s="620" customFormat="1" ht="12" x14ac:dyDescent="0.2">
      <c r="A159" s="1826" t="s">
        <v>1843</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1844</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69" t="s">
        <v>996</v>
      </c>
      <c r="B175" s="2170"/>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2054</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69" t="s">
        <v>996</v>
      </c>
      <c r="B211" s="2170"/>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1" t="s">
        <v>965</v>
      </c>
      <c r="B213" s="2192"/>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1801</v>
      </c>
      <c r="B249" s="683" t="s">
        <v>282</v>
      </c>
      <c r="C249" s="616"/>
      <c r="D249" s="474"/>
      <c r="E249" s="616"/>
      <c r="F249" s="616"/>
      <c r="G249" s="616"/>
      <c r="H249" s="616"/>
      <c r="I249" s="616"/>
      <c r="J249" s="616"/>
      <c r="K249" s="1672">
        <f t="shared" si="21"/>
        <v>0</v>
      </c>
      <c r="L249" s="466"/>
    </row>
    <row r="250" spans="1:12" x14ac:dyDescent="0.2">
      <c r="A250" s="1505" t="s">
        <v>1802</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1800</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1840</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7" t="s">
        <v>505</v>
      </c>
      <c r="B295" s="2188"/>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69" t="s">
        <v>996</v>
      </c>
      <c r="B296" s="2170"/>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9" t="s">
        <v>143</v>
      </c>
      <c r="B298" s="2173"/>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1845</v>
      </c>
      <c r="B306" s="690" t="s">
        <v>1840</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84" t="s">
        <v>277</v>
      </c>
      <c r="B312" s="2185"/>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80" t="s">
        <v>996</v>
      </c>
      <c r="B313" s="2181"/>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3" t="s">
        <v>149</v>
      </c>
      <c r="B315" s="219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5" t="s">
        <v>898</v>
      </c>
      <c r="B317" s="2194"/>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1801</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1846</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1840</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1842</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1847</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82" t="s">
        <v>996</v>
      </c>
      <c r="B343" s="2183"/>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2" t="s">
        <v>966</v>
      </c>
      <c r="B345" s="2173"/>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1848</v>
      </c>
      <c r="B354" s="683" t="s">
        <v>1840</v>
      </c>
      <c r="C354" s="616"/>
      <c r="D354" s="616"/>
      <c r="E354" s="616"/>
      <c r="F354" s="616"/>
      <c r="G354" s="616"/>
      <c r="H354" s="474"/>
      <c r="I354" s="701"/>
      <c r="J354" s="616"/>
      <c r="K354" s="1699">
        <f>H354</f>
        <v>0</v>
      </c>
      <c r="L354" s="471"/>
    </row>
    <row r="355" spans="1:14" ht="12.75" customHeight="1" x14ac:dyDescent="0.2">
      <c r="A355" s="1513" t="s">
        <v>1849</v>
      </c>
      <c r="B355" s="690" t="s">
        <v>1842</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69" t="s">
        <v>996</v>
      </c>
      <c r="B368" s="2170"/>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4d435f69-8686-490b-bd6d-b153bf22ab50"/>
    <ds:schemaRef ds:uri="http://www.w3.org/XML/1998/namespace"/>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d21dc803-237d-4c68-8692-8d731fd29118"/>
    <ds:schemaRef ds:uri="6ce3111e-7420-4802-b50a-75d4e9a0b980"/>
    <ds:schemaRef ds:uri="http://schemas.microsoft.com/sharepoint/v3"/>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2019-10-21T15:01:28Z</cp:lastPrinted>
  <dcterms:created xsi:type="dcterms:W3CDTF">2003-10-29T19:06:34Z</dcterms:created>
  <dcterms:modified xsi:type="dcterms:W3CDTF">2019-12-03T20:05:57Z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