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381274EF-3862-422C-978E-82F0F5098E7E}"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1" i="106"/>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33" i="118"/>
  <c r="D22" i="37"/>
  <c r="J22" i="37"/>
  <c r="D24" i="37"/>
  <c r="B4270" i="106" s="1"/>
  <c r="D4270" i="106" s="1"/>
  <c r="L5" i="11"/>
  <c r="B2056" i="106" s="1"/>
  <c r="D2056" i="106" s="1"/>
  <c r="H365" i="29" l="1"/>
  <c r="B7242" i="106" s="1"/>
  <c r="D7242" i="106" s="1"/>
  <c r="F77" i="4"/>
  <c r="B3255" i="106" s="1"/>
  <c r="D3255" i="106" s="1"/>
  <c r="K184" i="29"/>
  <c r="F13" i="4" s="1"/>
  <c r="B2596" i="106" s="1"/>
  <c r="D2596" i="106" s="1"/>
  <c r="G210" i="29"/>
  <c r="K76" i="4"/>
  <c r="B3586" i="106" s="1"/>
  <c r="D3586" i="106" s="1"/>
  <c r="L13" i="11"/>
  <c r="B2060" i="106" s="1"/>
  <c r="D2060" i="106" s="1"/>
  <c r="I210" i="29"/>
  <c r="B7071" i="106" s="1"/>
  <c r="D7071" i="106" s="1"/>
  <c r="B4087" i="106"/>
  <c r="D4087" i="106" s="1"/>
  <c r="K41" i="3"/>
  <c r="L15" i="11"/>
  <c r="B3459" i="106" s="1"/>
  <c r="D3459" i="106" s="1"/>
  <c r="B1308" i="106"/>
  <c r="D1308" i="106" s="1"/>
  <c r="E174" i="29"/>
  <c r="B1309" i="106" s="1"/>
  <c r="D1309" i="106" s="1"/>
  <c r="B1126" i="106"/>
  <c r="D1126" i="106" s="1"/>
  <c r="D17" i="7"/>
  <c r="B4104" i="106" s="1"/>
  <c r="D4104" i="106" s="1"/>
  <c r="D11" i="37"/>
  <c r="D31" i="36"/>
  <c r="L22" i="37"/>
  <c r="L367" i="29"/>
  <c r="F19" i="7"/>
  <c r="B1807" i="106" s="1"/>
  <c r="D1807" i="106" s="1"/>
  <c r="D7245" i="106"/>
  <c r="C352" i="29"/>
  <c r="D9" i="7"/>
  <c r="B1767" i="106" s="1"/>
  <c r="D1767" i="106" s="1"/>
  <c r="H29" i="118"/>
  <c r="K28" i="118" s="1"/>
  <c r="O27" i="118" s="1"/>
  <c r="O29" i="118" s="1"/>
  <c r="N22" i="3"/>
  <c r="B283" i="106" s="1"/>
  <c r="D283" i="106" s="1"/>
  <c r="L342" i="29"/>
  <c r="F49" i="34"/>
  <c r="F44" i="34"/>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B1365" i="106" l="1"/>
  <c r="D1365" i="106" s="1"/>
  <c r="F65" i="34"/>
  <c r="D7252" i="106"/>
  <c r="D7256" i="106"/>
  <c r="D7251" i="106"/>
  <c r="L114" i="29"/>
  <c r="C114" i="29"/>
  <c r="B757" i="106" s="1"/>
  <c r="D757" i="106" s="1"/>
  <c r="F174" i="34"/>
  <c r="L16" i="11"/>
  <c r="B2061" i="106" s="1"/>
  <c r="D2061" i="106" s="1"/>
  <c r="D44" i="36"/>
  <c r="I26" i="12"/>
  <c r="B7741" i="106" s="1"/>
  <c r="D7741" i="106" s="1"/>
  <c r="B1996" i="106"/>
  <c r="D1996" i="106" s="1"/>
  <c r="B3568" i="106"/>
  <c r="D3568" i="106" s="1"/>
  <c r="D52" i="36"/>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B6227" i="106" l="1"/>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<sst xmlns="http://schemas.openxmlformats.org/spreadsheetml/2006/main" count="5071" uniqueCount="2096">
  <si>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</si>
  <si>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</si>
  <si>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</si>
  <si>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</si>
  <si>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</si>
  <si>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</si>
  <si>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</si>
  <si>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</si>
  <si>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</si>
  <si>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</si>
  <si>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</si>
  <si>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</si>
  <si>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</si>
  <si>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</si>
  <si>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</si>
  <si>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</si>
  <si>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</si>
  <si>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</si>
  <si>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</si>
  <si>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</si>
  <si>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</si>
  <si>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</si>
  <si>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</si>
  <si>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</si>
  <si>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</si>
  <si>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</si>
  <si>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</si>
  <si>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</si>
  <si>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</si>
  <si>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</si>
  <si>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</si>
  <si>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</si>
  <si>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</si>
  <si>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</si>
  <si>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</si>
  <si>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</si>
  <si>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</si>
  <si>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</si>
  <si>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</si>
  <si>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</si>
  <si>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</si>
  <si>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</si>
  <si>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</si>
  <si>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</si>
  <si>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</si>
  <si>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</si>
  <si>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</si>
  <si>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</si>
  <si>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</si>
  <si>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</si>
  <si>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</si>
  <si>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</si>
  <si>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</si>
  <si>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</si>
  <si>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</si>
  <si>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</si>
  <si>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</si>
  <si>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</si>
  <si>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</si>
  <si>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</si>
  <si>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</si>
  <si>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</si>
  <si>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</si>
  <si>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</si>
  <si>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</si>
  <si>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</si>
  <si>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</si>
  <si>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</si>
  <si>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</si>
  <si>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</si>
  <si>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</si>
  <si>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</si>
  <si>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</si>
  <si>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</si>
  <si>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</si>
  <si>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</si>
  <si>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</si>
  <si>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</si>
  <si>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</si>
  <si>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</si>
  <si>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</si>
  <si>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</si>
  <si>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</si>
  <si>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</si>
  <si>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</si>
  <si>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</si>
  <si>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</si>
  <si>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</si>
  <si>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</si>
  <si>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</si>
  <si>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</si>
  <si>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</si>
  <si>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</si>
  <si>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</si>
  <si>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</si>
  <si>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</si>
  <si>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</si>
  <si>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</si>
  <si>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</si>
  <si>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</si>
  <si>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</si>
  <si>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</si>
  <si>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</si>
  <si>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</si>
  <si>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</si>
  <si>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</si>
  <si>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</si>
  <si>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</si>
  <si>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</si>
  <si>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</si>
  <si>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</si>
  <si>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</si>
  <si>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</si>
  <si>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</si>
  <si>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</si>
  <si>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</si>
  <si>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</si>
  <si>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</si>
  <si>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</si>
  <si>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</si>
  <si>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</si>
  <si>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</si>
  <si>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</si>
  <si>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</si>
  <si>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</si>
  <si>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</si>
  <si>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</si>
  <si>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</si>
  <si>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</si>
  <si>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</si>
  <si>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</si>
  <si>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</si>
  <si>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</si>
  <si>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</si>
  <si>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</si>
  <si>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</si>
  <si>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</si>
  <si>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</si>
  <si>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</si>
  <si>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</si>
  <si>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</si>
  <si>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</si>
  <si>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</si>
  <si>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</si>
  <si>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</si>
  <si>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</si>
  <si>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</si>
  <si>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</si>
  <si>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</si>
  <si>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</si>
  <si>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</si>
  <si>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</si>
  <si>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</si>
  <si>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</si>
  <si>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</si>
  <si>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</si>
  <si>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</si>
  <si>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</si>
  <si>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</si>
  <si>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</si>
  <si>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</si>
  <si>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</si>
  <si>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</si>
  <si>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</si>
  <si>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</si>
  <si>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</si>
  <si>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</si>
  <si>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</si>
  <si>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</si>
  <si>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</si>
  <si>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</si>
  <si>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</si>
  <si>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</si>
  <si>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</si>
  <si>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</si>
  <si>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</si>
  <si>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</si>
  <si>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</si>
  <si>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</si>
  <si>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</si>
  <si>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</si>
  <si>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</si>
  <si>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</si>
  <si>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</si>
  <si>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</si>
  <si>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</si>
  <si>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</si>
  <si>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</si>
  <si>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</si>
  <si>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</si>
  <si>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</si>
  <si>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</si>
  <si>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</si>
  <si>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</si>
  <si>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</si>
  <si>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</si>
  <si>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</si>
  <si>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</si>
  <si>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</si>
  <si>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</si>
  <si>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</si>
  <si>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</si>
  <si>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</si>
  <si>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</si>
  <si>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</si>
  <si>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</si>
  <si>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</si>
  <si>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</si>
  <si>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</si>
  <si>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</si>
  <si>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</si>
  <si>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</si>
  <si>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</si>
  <si>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</si>
  <si>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</si>
  <si>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</si>
  <si>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</si>
  <si>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</si>
  <si>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</si>
  <si>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</si>
  <si>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</si>
  <si>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</si>
  <si>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</si>
  <si>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</si>
  <si>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</si>
  <si>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</si>
  <si>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</si>
  <si>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</si>
  <si>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</si>
  <si>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</si>
  <si>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</si>
  <si>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</si>
  <si>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</si>
  <si>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</si>
  <si>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</si>
  <si>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</si>
  <si>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</si>
  <si>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</si>
  <si>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</si>
  <si>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</si>
  <si>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</si>
  <si>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</si>
  <si>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</si>
  <si>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</si>
  <si>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</si>
  <si>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</si>
  <si>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</si>
  <si>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</si>
  <si>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</si>
  <si>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</si>
  <si>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</si>
  <si>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</si>
  <si>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</si>
  <si>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</si>
  <si>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</si>
  <si>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</si>
  <si>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</si>
  <si>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</si>
  <si>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</si>
  <si>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</si>
  <si>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</si>
  <si>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</si>
  <si>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</si>
  <si>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</si>
  <si>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</si>
  <si>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</si>
  <si>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</si>
  <si>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</si>
  <si>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</si>
  <si>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</si>
  <si>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</si>
  <si>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</si>
  <si>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</si>
  <si>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</si>
  <si>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</si>
  <si>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</si>
  <si>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</si>
  <si>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</si>
  <si>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</si>
  <si>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</si>
  <si>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</si>
  <si>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</si>
  <si>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</si>
  <si>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</si>
  <si>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</si>
  <si>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</si>
  <si>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</si>
  <si>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</si>
  <si>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</si>
  <si>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</si>
  <si>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</si>
  <si>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</si>
  <si>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</si>
  <si>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</si>
  <si>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</si>
  <si>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</si>
  <si>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</si>
  <si>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</si>
  <si>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</si>
  <si>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</si>
  <si>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</si>
  <si>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</si>
  <si>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</si>
  <si>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</si>
  <si>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</si>
  <si>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</si>
  <si>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</si>
  <si>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</si>
  <si>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</si>
  <si>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</si>
  <si>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</si>
  <si>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</si>
  <si>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</si>
  <si>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</si>
  <si>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</si>
  <si>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</si>
  <si>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</si>
  <si>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</si>
  <si>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</si>
  <si>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</si>
  <si>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</si>
  <si>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</si>
  <si>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</si>
  <si>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</si>
  <si>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</si>
  <si>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</si>
  <si>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</si>
  <si>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</si>
  <si>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</si>
  <si>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</si>
  <si>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</si>
  <si>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</si>
  <si>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</si>
  <si>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</si>
  <si>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</si>
  <si>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</si>
  <si>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</si>
  <si>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</si>
  <si>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</si>
  <si>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</si>
  <si>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</si>
  <si>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</si>
  <si>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</si>
  <si>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</si>
  <si>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</si>
  <si>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</si>
  <si>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</si>
  <si>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</si>
  <si>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</si>
  <si>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</si>
  <si>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</si>
  <si>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</si>
  <si>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</si>
  <si>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</si>
  <si>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</si>
  <si>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</si>
  <si>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</si>
  <si>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</si>
  <si>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</si>
  <si>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</si>
  <si>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</si>
  <si>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</si>
  <si>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</si>
  <si>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</si>
  <si>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</si>
  <si>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</si>
  <si>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</si>
  <si>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</si>
  <si>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</si>
  <si>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</si>
  <si>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</si>
  <si>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</si>
  <si>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</si>
  <si>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</si>
  <si>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</si>
  <si>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</si>
  <si>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</si>
  <si>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</si>
  <si>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</si>
  <si>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</si>
  <si>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</si>
  <si>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</si>
  <si>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</si>
  <si>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</si>
  <si>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</si>
  <si>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</si>
  <si>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</si>
  <si>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</si>
  <si>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</si>
  <si>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</si>
  <si>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</si>
  <si>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</si>
  <si>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</si>
  <si>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</si>
  <si>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</si>
  <si>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</si>
  <si>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</si>
  <si>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</si>
  <si>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</si>
  <si>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</si>
  <si>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</si>
  <si>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</si>
  <si>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</si>
  <si>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</si>
  <si>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</si>
  <si>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</si>
  <si>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</si>
  <si>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</si>
  <si>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</si>
  <si>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</si>
  <si>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</si>
  <si>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</si>
  <si>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</si>
  <si>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</si>
  <si>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</si>
  <si>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</si>
  <si>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</si>
  <si>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</si>
  <si>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</si>
  <si>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</si>
  <si>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</si>
  <si>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</si>
  <si>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</si>
  <si>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</si>
  <si>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</si>
  <si>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</si>
  <si>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</si>
  <si>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</si>
  <si>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</si>
  <si>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</si>
  <si>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</si>
  <si>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</si>
  <si>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</si>
  <si>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</si>
  <si>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</si>
  <si>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</si>
  <si>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</si>
  <si>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</si>
  <si>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</si>
  <si>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</si>
  <si>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</si>
  <si>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</si>
  <si>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</si>
  <si>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</si>
  <si>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</si>
  <si>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</si>
  <si>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</si>
  <si>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</si>
  <si>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</si>
  <si>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</si>
  <si>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</si>
  <si>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</si>
  <si>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</si>
  <si>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</si>
  <si>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</si>
  <si>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</si>
  <si>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</si>
  <si>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</si>
  <si>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</si>
  <si>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</si>
  <si>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</si>
  <si>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</si>
  <si>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</si>
  <si>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</si>
  <si>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</si>
  <si>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</si>
  <si>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</si>
  <si>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</si>
  <si>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</si>
  <si>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</si>
  <si>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</si>
  <si>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</si>
  <si>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</si>
  <si>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</si>
  <si>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</si>
  <si>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</si>
  <si>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</si>
  <si>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</si>
  <si>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</si>
  <si>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</si>
  <si>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</si>
  <si>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</si>
  <si>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</si>
  <si>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</si>
  <si>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</si>
  <si>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</si>
  <si>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</si>
  <si>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</si>
  <si>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</si>
  <si>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</si>
  <si>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</si>
  <si>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</si>
  <si>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</si>
  <si>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</si>
  <si>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</si>
  <si>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</si>
  <si>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</si>
  <si>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</si>
  <si>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</si>
  <si>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</si>
  <si>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</si>
  <si>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</si>
  <si>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</si>
  <si>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</si>
  <si>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</si>
  <si>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</si>
  <si>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</si>
  <si>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</si>
  <si>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</si>
  <si>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</si>
  <si>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</si>
  <si>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</si>
  <si>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</si>
  <si>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</si>
  <si>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</si>
  <si>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</si>
  <si>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</si>
  <si>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</si>
  <si>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</si>
  <si>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</si>
  <si>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</si>
  <si>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</si>
  <si>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</si>
  <si>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</si>
  <si>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</si>
  <si>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</si>
  <si>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</si>
  <si>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</si>
  <si>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</si>
  <si>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</si>
  <si>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</si>
  <si>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</si>
  <si>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</si>
  <si>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</si>
  <si>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</si>
  <si>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</si>
  <si>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</si>
  <si>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</si>
  <si>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</si>
  <si>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</si>
  <si>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</si>
  <si>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</si>
  <si>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</si>
  <si>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</si>
  <si>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</si>
  <si>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</si>
  <si>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</si>
  <si>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</si>
  <si>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</si>
  <si>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</si>
  <si>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</si>
  <si>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</si>
  <si>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</si>
  <si>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</si>
  <si>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</si>
  <si>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</si>
  <si>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</si>
  <si>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</si>
  <si>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</si>
  <si>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</si>
  <si>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</si>
  <si>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</si>
  <si>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</si>
  <si>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</si>
  <si>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</si>
  <si>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</si>
  <si>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</si>
  <si>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</si>
  <si>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</si>
  <si>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</si>
  <si>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</si>
  <si>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</si>
  <si>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</si>
  <si>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</si>
  <si>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</si>
  <si>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</si>
  <si>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</si>
  <si>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</si>
  <si>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</si>
  <si>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</si>
  <si>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</si>
  <si>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</si>
  <si>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</si>
  <si>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</si>
  <si>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</si>
  <si>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</si>
  <si>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</si>
  <si>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</si>
  <si>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</si>
  <si>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</si>
  <si>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</si>
  <si>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</si>
  <si>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</si>
  <si>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</si>
  <si>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</si>
  <si>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</si>
  <si>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</si>
  <si>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</si>
  <si>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</si>
  <si>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</si>
  <si>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</si>
  <si>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</si>
  <si>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</si>
  <si>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</si>
  <si>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</si>
  <si>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</si>
  <si>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</si>
  <si>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</si>
  <si>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</si>
  <si>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</si>
  <si>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</si>
  <si>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</si>
  <si>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</si>
  <si>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</si>
  <si>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</si>
  <si>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</si>
  <si>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</si>
  <si>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</si>
  <si>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</si>
  <si>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</si>
  <si>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</si>
  <si>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</si>
  <si>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</si>
  <si>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</si>
  <si>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</si>
  <si>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</si>
  <si>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</si>
  <si>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</si>
  <si>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</si>
  <si>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</si>
  <si>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</si>
  <si>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</si>
  <si>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</si>
  <si>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</si>
  <si>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</si>
  <si>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</si>
  <si>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</si>
  <si>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</si>
  <si>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</si>
  <si>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</si>
  <si>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</si>
  <si>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</si>
  <si>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</si>
  <si>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</si>
  <si>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</si>
  <si>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</si>
  <si>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</si>
  <si>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</si>
  <si>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</si>
  <si>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</si>
  <si>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</si>
  <si>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</si>
  <si>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</si>
  <si>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</si>
  <si>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</si>
  <si>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</si>
  <si>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</si>
  <si>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</si>
  <si>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</si>
  <si>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</si>
  <si>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</si>
  <si>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</si>
  <si>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</si>
  <si>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</si>
  <si>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</si>
  <si>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</si>
  <si>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</si>
  <si>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</si>
  <si>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</si>
  <si>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</si>
  <si>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</si>
  <si>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</si>
  <si>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</si>
  <si>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</si>
  <si>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</si>
  <si>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</si>
  <si>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</si>
  <si>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</si>
  <si>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</si>
  <si>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</si>
  <si>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</si>
  <si>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</si>
  <si>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</si>
  <si>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</si>
  <si>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</si>
  <si>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</si>
  <si>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</si>
  <si>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</si>
  <si>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</si>
  <si>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</si>
  <si>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</si>
  <si>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</si>
  <si>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</si>
  <si>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</si>
  <si>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</si>
  <si>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</si>
  <si>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</si>
  <si>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</si>
  <si>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</si>
  <si>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</si>
  <si>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</si>
  <si>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</si>
  <si>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</si>
  <si>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</si>
  <si>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</si>
  <si>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</si>
  <si>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</si>
  <si>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</si>
  <si>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</si>
  <si>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</si>
  <si>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</si>
  <si>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</si>
  <si>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</si>
  <si>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</si>
  <si>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</si>
  <si>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</si>
  <si>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</si>
  <si>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</si>
  <si>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</si>
  <si>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</si>
  <si>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</si>
  <si>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</si>
  <si>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</si>
  <si>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</si>
  <si>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</si>
  <si>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</si>
  <si>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</si>
  <si>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</si>
  <si>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</si>
  <si>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</si>
  <si>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</si>
  <si>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</si>
  <si>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</si>
  <si>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</si>
  <si>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</si>
  <si>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</si>
  <si>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</si>
  <si>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</si>
  <si>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</si>
  <si>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</si>
  <si>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</si>
  <si>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</si>
  <si>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</si>
  <si>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</si>
  <si>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</si>
  <si>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</si>
  <si>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</si>
  <si>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</si>
  <si>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</si>
  <si>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</si>
  <si>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</si>
  <si>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</si>
  <si>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</si>
  <si>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</si>
  <si>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</si>
  <si>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</si>
  <si>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</si>
  <si>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</si>
  <si>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</si>
  <si>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</si>
  <si>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</si>
  <si>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</si>
  <si>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</si>
  <si>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</si>
  <si>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</si>
  <si>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</si>
  <si>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</si>
  <si>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</si>
  <si>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</si>
  <si>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</si>
  <si>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</si>
  <si>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</si>
  <si>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</si>
  <si>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</si>
  <si>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</si>
  <si>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</si>
  <si>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</si>
  <si>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</si>
  <si>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</si>
  <si>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</si>
  <si>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</si>
  <si>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</si>
  <si>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</si>
  <si>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</si>
  <si>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</si>
  <si>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</si>
  <si>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</si>
  <si>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</si>
  <si>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</si>
  <si>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</si>
  <si>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</si>
  <si>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</si>
  <si>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</si>
  <si>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</si>
  <si>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</si>
  <si>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</si>
  <si>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</si>
  <si>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</si>
  <si>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</si>
  <si>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</si>
  <si>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</si>
  <si>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</si>
  <si>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</si>
  <si>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</si>
  <si>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</si>
  <si>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</si>
  <si>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</si>
  <si>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</si>
  <si>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</si>
  <si>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</si>
  <si>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</si>
  <si>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</si>
  <si>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</si>
  <si>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</si>
  <si>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</si>
  <si>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</si>
  <si>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</si>
  <si>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</si>
  <si>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</si>
  <si>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</si>
  <si>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</si>
  <si>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</si>
  <si>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</si>
  <si>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</si>
  <si>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</si>
  <si>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</si>
  <si>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</si>
  <si>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</si>
  <si>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</si>
  <si>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</si>
  <si>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</si>
  <si>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</si>
  <si>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</si>
  <si>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</si>
  <si>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</si>
  <si>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</si>
  <si>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</si>
  <si>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</si>
  <si>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</si>
  <si>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</si>
  <si>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</si>
  <si>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</si>
  <si>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</si>
  <si>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</si>
  <si>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</si>
  <si>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</si>
  <si>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</si>
  <si>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</si>
  <si>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</si>
  <si>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</si>
  <si>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</si>
  <si>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</si>
  <si>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</si>
  <si>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</si>
  <si>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</si>
  <si>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</si>
  <si>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</si>
  <si>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</si>
  <si>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</si>
  <si>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</si>
  <si>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</si>
  <si>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</si>
  <si>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</si>
  <si>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</si>
  <si>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</si>
  <si>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</si>
  <si>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</si>
  <si>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</si>
  <si>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</si>
  <si>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</si>
  <si>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</si>
  <si>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</si>
  <si>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</si>
  <si>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</si>
  <si>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</si>
  <si>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</si>
  <si>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</si>
  <si>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</si>
  <si>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</si>
  <si>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</si>
  <si>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</si>
  <si>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</si>
  <si>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</si>
  <si>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</si>
  <si>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</si>
  <si>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</si>
  <si>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</si>
  <si>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</si>
  <si>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</si>
  <si>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</si>
  <si>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</si>
  <si>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</si>
  <si>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</si>
  <si>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</si>
  <si>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</si>
  <si>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</si>
  <si>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</si>
  <si>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</si>
  <si>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</si>
  <si>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</si>
  <si>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</si>
  <si>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</si>
  <si>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</si>
  <si>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</si>
  <si>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</si>
  <si>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</si>
  <si>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</si>
  <si>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</si>
  <si>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</si>
  <si>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</si>
  <si>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</si>
  <si>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</si>
  <si>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</si>
  <si>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</si>
  <si>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</si>
  <si>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</si>
  <si>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</si>
  <si>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</si>
  <si>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</si>
  <si>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</si>
  <si>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</si>
  <si>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</si>
  <si>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</si>
  <si>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</si>
  <si>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</si>
  <si>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</si>
  <si>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</si>
  <si>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</si>
  <si>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</si>
  <si>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</si>
  <si>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</si>
  <si>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</si>
  <si>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</si>
  <si>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</si>
  <si>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</si>
  <si>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</si>
  <si>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</si>
  <si>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</si>
  <si>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</si>
  <si>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</si>
  <si>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</si>
  <si>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</si>
  <si>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</si>
  <si>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</si>
  <si>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</si>
  <si>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</si>
  <si>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</si>
  <si>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</si>
  <si>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</si>
  <si>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</si>
  <si>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</si>
  <si>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</si>
  <si>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</si>
  <si>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</si>
  <si>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</si>
  <si>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</si>
  <si>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</si>
  <si>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</si>
  <si>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</si>
  <si>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</si>
  <si>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</si>
  <si>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</si>
  <si>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</si>
  <si>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</si>
  <si>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</si>
  <si>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</si>
  <si>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</si>
  <si>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</si>
  <si>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</si>
  <si>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</si>
  <si>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</si>
  <si>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</si>
  <si>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</si>
  <si>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</si>
  <si>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</si>
  <si>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</si>
  <si>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</si>
  <si>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</si>
  <si>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</si>
  <si>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</si>
  <si>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</si>
  <si>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</si>
  <si>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</si>
  <si>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</si>
  <si>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</si>
  <si>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</si>
  <si>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</si>
  <si>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</si>
  <si>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</si>
  <si>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</si>
  <si>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</si>
  <si>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</si>
  <si>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</si>
  <si>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</si>
  <si>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</si>
  <si>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</si>
  <si>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</si>
  <si>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</si>
  <si>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</si>
  <si>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</si>
  <si>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</si>
  <si>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</si>
  <si>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</si>
  <si>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</si>
  <si>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</si>
  <si>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</si>
  <si>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</si>
  <si>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</si>
  <si>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</si>
  <si>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</si>
  <si>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</si>
  <si>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</si>
  <si>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</si>
  <si>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</si>
  <si>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</si>
  <si>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</si>
  <si>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</si>
  <si>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</si>
  <si>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</si>
  <si>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</si>
  <si>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</si>
  <si>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</si>
  <si>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</si>
  <si>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</si>
  <si>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</si>
  <si>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</si>
  <si>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</si>
  <si>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</si>
  <si>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</si>
  <si>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</si>
  <si>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</si>
  <si>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</si>
  <si>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</si>
  <si>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</si>
  <si>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</si>
  <si>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</si>
  <si>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</si>
  <si>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</si>
  <si>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</si>
  <si>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</si>
  <si>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</si>
  <si>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</si>
  <si>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</si>
  <si>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</si>
  <si>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</si>
  <si>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</si>
  <si>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</si>
  <si>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</si>
  <si>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</si>
  <si>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</si>
  <si>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</si>
  <si>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</si>
  <si>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</si>
  <si>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</si>
  <si>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</si>
  <si>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</si>
  <si>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</si>
  <si>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</si>
  <si>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</si>
  <si>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</si>
  <si>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</si>
  <si>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</si>
  <si>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</si>
  <si>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</si>
  <si>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</si>
  <si>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</si>
  <si>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</si>
  <si>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</si>
  <si>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</si>
  <si>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</si>
  <si>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</si>
  <si>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</si>
  <si>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</si>
  <si>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</si>
  <si>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</si>
  <si>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</si>
  <si>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</si>
  <si>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</si>
  <si>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</si>
  <si>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</si>
  <si>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</si>
  <si>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</si>
  <si>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</si>
  <si>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</si>
  <si>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</si>
  <si>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</si>
  <si>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</si>
  <si>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</si>
  <si>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</si>
  <si>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</si>
  <si>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</si>
  <si>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</si>
  <si>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</si>
  <si>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</si>
  <si>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</si>
  <si>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</si>
  <si>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</si>
  <si>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</si>
  <si>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</si>
  <si>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</si>
  <si>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</si>
  <si>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</si>
  <si>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</si>
  <si>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</si>
  <si>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</si>
  <si>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</si>
  <si>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</si>
  <si>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</si>
  <si>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</si>
  <si>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</si>
  <si>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</si>
  <si>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</si>
  <si>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</si>
  <si>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</si>
  <si>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</si>
  <si>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</si>
  <si>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</si>
  <si>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</si>
  <si>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</si>
  <si>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</si>
  <si>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</si>
  <si>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</si>
  <si>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</si>
  <si>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</si>
  <si>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</si>
  <si>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</si>
  <si>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</si>
  <si>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</si>
  <si>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</si>
  <si>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</si>
  <si>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</si>
  <si>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</si>
  <si>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</si>
  <si>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</si>
  <si>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</si>
  <si>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</si>
  <si>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</si>
  <si>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</si>
  <si>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</si>
  <si>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</si>
  <si>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</si>
  <si>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</si>
  <si>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</si>
  <si>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</si>
  <si>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</si>
  <si>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</si>
  <si>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</si>
  <si>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</si>
  <si>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</si>
  <si>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</si>
  <si>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</si>
  <si>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</si>
  <si>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</si>
  <si>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</si>
  <si>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</si>
  <si>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</si>
  <si>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</si>
  <si>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</si>
  <si>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</si>
  <si>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</si>
  <si>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</si>
  <si>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</si>
  <si>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</si>
  <si>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</si>
  <si>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</si>
  <si>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</si>
  <si>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</si>
  <si>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</si>
  <si>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</si>
  <si>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</si>
  <si>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</si>
  <si>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</si>
  <si>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</si>
  <si>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</si>
  <si>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</si>
  <si>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</si>
  <si>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</si>
  <si>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</si>
  <si>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</si>
  <si>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</si>
  <si>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</si>
  <si>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</si>
  <si>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</si>
  <si>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</si>
  <si>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</si>
  <si>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</si>
  <si>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</si>
  <si>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</si>
  <si>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</si>
  <si>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</si>
  <si>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</si>
  <si>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</si>
  <si>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</si>
  <si>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</si>
  <si>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</si>
  <si>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</si>
  <si>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</si>
  <si>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</si>
  <si>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</si>
  <si>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</si>
  <si>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</si>
  <si>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</si>
  <si>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</si>
  <si>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</si>
  <si>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</si>
  <si>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</si>
  <si>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</si>
  <si>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</si>
  <si>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</si>
  <si>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</si>
  <si>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</si>
  <si>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</si>
  <si>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</si>
  <si>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</si>
  <si>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</si>
  <si>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</si>
  <si>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</si>
  <si>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</si>
  <si>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</si>
  <si>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</si>
  <si>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</si>
  <si>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</si>
  <si>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</si>
  <si>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</si>
  <si>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</si>
  <si>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</si>
  <si>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</si>
  <si>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</si>
  <si>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</si>
  <si>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</si>
  <si>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</si>
  <si>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</si>
  <si>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</si>
  <si>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</si>
  <si>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</si>
  <si>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</si>
  <si>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</si>
  <si>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</si>
  <si>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</si>
  <si>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</si>
  <si>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</si>
  <si>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</si>
  <si>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</si>
  <si>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</si>
  <si>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</si>
  <si>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</si>
  <si>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</si>
  <si>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</si>
  <si>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</si>
  <si>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</si>
  <si>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</si>
  <si>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</si>
  <si>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</si>
  <si>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</si>
  <si>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</si>
  <si>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</si>
  <si>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</si>
  <si>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</si>
  <si>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</si>
  <si>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</si>
  <si>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</si>
  <si>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</si>
  <si>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</si>
  <si>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</si>
  <si>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</si>
  <si>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</si>
  <si>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</si>
  <si>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</si>
  <si>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</si>
  <si>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</si>
  <si>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</si>
  <si>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</si>
  <si>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</si>
  <si>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</si>
  <si>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</si>
  <si>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</si>
  <si>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</si>
  <si>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</si>
  <si>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</si>
  <si>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</si>
  <si>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</si>
  <si>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</si>
  <si>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</si>
  <si>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</si>
  <si>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</si>
  <si>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</si>
  <si>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</si>
  <si>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</si>
  <si>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</si>
  <si>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</si>
  <si>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</si>
  <si>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</si>
  <si>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</si>
  <si>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</si>
  <si>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</si>
  <si>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</si>
  <si>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</si>
  <si>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</si>
  <si>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</si>
  <si>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</si>
  <si>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</si>
  <si>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</si>
  <si>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</si>
  <si>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</si>
  <si>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</si>
  <si>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</si>
  <si>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</si>
  <si>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</si>
  <si>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</si>
  <si>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</si>
  <si>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</si>
  <si>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</si>
  <si>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</si>
  <si>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</si>
  <si>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</si>
  <si>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</si>
  <si>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</si>
  <si>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</si>
  <si>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</si>
  <si>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</si>
  <si>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</si>
  <si>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</si>
  <si>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</si>
  <si>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</si>
  <si>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</si>
  <si>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</si>
  <si>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</si>
  <si>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</si>
  <si>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</si>
  <si>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</si>
  <si>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</si>
  <si>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</si>
  <si>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</si>
  <si>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</si>
  <si>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</si>
  <si>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</si>
  <si>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</si>
  <si>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</si>
  <si>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</si>
  <si>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</si>
  <si>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</si>
  <si>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</si>
  <si>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</si>
  <si>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</si>
  <si>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</si>
  <si>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</si>
  <si>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</si>
  <si>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</si>
  <si>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</si>
  <si>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</si>
  <si>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</si>
  <si>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</si>
  <si>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</si>
  <si>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</si>
  <si>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</si>
  <si>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</si>
  <si>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</si>
  <si>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</si>
  <si>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</si>
  <si>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</si>
  <si>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</si>
  <si>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</si>
  <si>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</si>
  <si>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</si>
  <si>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</si>
  <si>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</si>
  <si>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</si>
  <si>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</si>
  <si>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</si>
  <si>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</si>
  <si>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</si>
  <si>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</si>
  <si>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</si>
  <si>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</si>
  <si>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</si>
  <si>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</si>
  <si>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</si>
  <si>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</si>
  <si>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</si>
  <si>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</si>
  <si>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</si>
  <si>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</si>
  <si>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</si>
  <si>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</si>
  <si>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</si>
  <si>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</si>
  <si>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</si>
  <si>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</si>
  <si>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</si>
  <si>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</si>
  <si>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</si>
  <si>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</si>
  <si>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</si>
  <si>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</si>
  <si>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</si>
  <si>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</si>
  <si>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</si>
  <si>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</si>
  <si>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</si>
  <si>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</si>
  <si>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</si>
  <si>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</si>
  <si>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</si>
  <si>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</si>
  <si>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</si>
  <si>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</si>
  <si>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</si>
  <si>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</si>
  <si>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</si>
  <si>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</si>
  <si>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</si>
  <si>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</si>
  <si>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</si>
  <si>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</si>
  <si>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</si>
  <si>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</si>
  <si>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</si>
  <si>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</si>
  <si>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</si>
  <si>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</si>
  <si>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</si>
  <si>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</si>
  <si>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</si>
  <si>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</si>
  <si>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</si>
  <si>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</si>
  <si>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</si>
  <si>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</si>
  <si>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</si>
  <si>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</si>
  <si>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</si>
  <si>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</si>
  <si>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</si>
  <si>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</si>
  <si>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</si>
  <si>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</si>
  <si>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</si>
  <si>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</si>
  <si>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</si>
  <si>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</si>
  <si>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</si>
  <si>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</si>
  <si>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</si>
  <si>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</si>
  <si>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</si>
  <si>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</si>
  <si>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</si>
  <si>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</si>
  <si>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</si>
  <si>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</si>
  <si>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</si>
  <si>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</si>
  <si>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</si>
  <si>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</si>
  <si>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</si>
  <si>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</si>
  <si>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</si>
  <si>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</si>
  <si>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</si>
  <si>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</si>
  <si>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</si>
  <si>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</si>
  <si>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</si>
  <si>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</si>
  <si>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</si>
  <si>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</si>
  <si>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</si>
  <si>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</si>
  <si>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</si>
  <si>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</si>
  <si>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</si>
  <si>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</si>
  <si>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</si>
  <si>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</si>
  <si>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</si>
  <si>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</si>
  <si>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</si>
  <si>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</si>
  <si>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</si>
  <si>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</si>
  <si>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</si>
  <si>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</si>
  <si>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</si>
  <si>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</si>
  <si>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</si>
  <si>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</si>
  <si>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</si>
  <si>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</si>
  <si>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</si>
  <si>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</si>
  <si>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</si>
  <si>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</si>
  <si>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</si>
  <si>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</si>
  <si>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</si>
  <si>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</si>
  <si>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</si>
  <si>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</si>
  <si>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</si>
  <si>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</si>
  <si>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</si>
  <si>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</si>
  <si>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</si>
  <si>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</si>
  <si>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</si>
  <si>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</si>
  <si>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</si>
  <si>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</si>
  <si>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</si>
  <si>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</si>
  <si>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</si>
  <si>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</si>
  <si>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</si>
  <si>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</si>
  <si>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</si>
  <si>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</si>
  <si>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</si>
  <si>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</si>
  <si>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</si>
  <si>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</si>
  <si>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</si>
  <si>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</si>
  <si>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</si>
  <si>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</si>
  <si>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</si>
  <si>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</si>
  <si>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</si>
  <si>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</si>
  <si>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</si>
  <si>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</si>
  <si>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</si>
  <si>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</si>
  <si>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</si>
  <si>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</si>
  <si>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</si>
  <si>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</si>
  <si>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</si>
  <si>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</si>
  <si>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</si>
  <si>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</si>
  <si>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</si>
  <si>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</si>
  <si>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</si>
  <si>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</si>
  <si>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</si>
  <si>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</si>
  <si>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</si>
  <si>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</si>
  <si>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</si>
  <si>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</si>
  <si>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</si>
  <si>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</si>
  <si>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</si>
  <si>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</si>
  <si>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</si>
  <si>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</si>
  <si>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</si>
  <si>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</si>
  <si>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</si>
  <si>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</si>
  <si>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</si>
  <si>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</si>
  <si>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</si>
  <si>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</si>
  <si>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</si>
  <si>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</si>
  <si>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</si>
  <si>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</si>
  <si>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</si>
  <si>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</si>
  <si>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</si>
  <si>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</si>
  <si>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</si>
  <si>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</si>
  <si>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</si>
  <si>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</si>
  <si>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</si>
  <si>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</si>
  <si>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</si>
  <si>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</si>
  <si>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</si>
  <si>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</si>
  <si>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</si>
  <si>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</si>
  <si>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</si>
  <si>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</si>
  <si>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</si>
  <si>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</si>
  <si>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</si>
  <si>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</si>
  <si>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</si>
  <si>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</si>
  <si>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</si>
  <si>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</si>
  <si>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</si>
  <si>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</si>
  <si>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</si>
  <si>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</si>
  <si>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</si>
  <si>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</si>
  <si>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</si>
  <si>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</si>
  <si>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</si>
  <si>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</si>
  <si>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</si>
  <si>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</si>
  <si>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</si>
  <si>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</si>
  <si>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</si>
  <si>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</si>
  <si>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</si>
  <si>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</si>
  <si>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</si>
  <si>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</si>
  <si>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</si>
  <si>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</si>
  <si>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</si>
  <si>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</si>
  <si>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</si>
  <si>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</si>
  <si>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</si>
  <si>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</si>
  <si>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</si>
  <si>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</si>
  <si>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</si>
  <si>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</si>
  <si>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</si>
  <si>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</si>
  <si>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</si>
  <si>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</si>
  <si>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</si>
  <si>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</si>
  <si>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</si>
  <si>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</si>
  <si>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</si>
  <si>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</si>
  <si>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</si>
  <si>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</si>
  <si>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</si>
  <si>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</si>
  <si>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</si>
  <si>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</si>
  <si>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</si>
  <si>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</si>
  <si>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</si>
  <si>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</si>
  <si>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</si>
  <si>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</si>
  <si>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</si>
  <si>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</si>
  <si>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</si>
  <si>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</si>
  <si>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</si>
  <si>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</si>
  <si>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</si>
  <si>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</si>
  <si>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</si>
  <si>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</si>
  <si>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</si>
  <si>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</si>
  <si>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</si>
  <si>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</si>
  <si>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</si>
  <si>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</si>
  <si>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</si>
  <si>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</si>
  <si>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</si>
  <si>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</si>
  <si>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</si>
  <si>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</si>
  <si>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</si>
  <si>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</si>
  <si>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</si>
  <si>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</si>
  <si>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</si>
  <si>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</si>
  <si>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</si>
  <si>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</si>
  <si>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</si>
  <si>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</si>
  <si>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</si>
  <si>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</si>
  <si>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</si>
  <si>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</si>
  <si>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</si>
  <si>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</si>
  <si>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</si>
  <si>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</si>
  <si>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</si>
  <si>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</si>
  <si>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</si>
  <si>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</si>
  <si>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</si>
  <si>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</si>
  <si>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</si>
  <si>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</si>
  <si>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</si>
  <si>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</si>
  <si>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</si>
  <si>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</si>
  <si>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</si>
  <si>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</si>
  <si>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</si>
  <si>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</si>
  <si>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</si>
  <si>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</si>
  <si>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</si>
  <si>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</si>
  <si>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</si>
  <si>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</si>
  <si>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</si>
  <si>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</si>
  <si>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</si>
  <si>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</si>
  <si>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</si>
  <si>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</si>
  <si>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</si>
  <si>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</si>
  <si>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</si>
  <si>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</si>
  <si>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</si>
  <si>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</si>
  <si>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</si>
  <si>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</si>
  <si>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</si>
  <si>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</si>
  <si>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</si>
  <si>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</si>
  <si>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</si>
  <si>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</si>
  <si>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</si>
  <si>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</si>
  <si>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</si>
  <si>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</si>
  <si>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</si>
  <si>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</si>
  <si>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</si>
  <si>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</si>
  <si>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</si>
  <si>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</si>
  <si>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</si>
  <si>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</si>
  <si>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</si>
  <si>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</si>
  <si>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</si>
  <si>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</si>
  <si>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</si>
  <si>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</si>
  <si>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</si>
  <si>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</si>
  <si>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</si>
  <si>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</si>
  <si>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</si>
  <si>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</si>
  <si>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</si>
  <si>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</si>
  <si>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</si>
  <si>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</si>
  <si>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</si>
  <si>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</si>
  <si>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</si>
  <si>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</si>
  <si>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</si>
  <si>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</si>
  <si>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</si>
  <si>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</si>
  <si>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</si>
  <si>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</si>
  <si>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</si>
  <si>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</si>
  <si>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</si>
  <si>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</si>
  <si>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</si>
  <si>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</si>
  <si>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</si>
  <si>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</si>
  <si>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</si>
  <si>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</si>
  <si>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</si>
  <si>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</si>
  <si>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</si>
  <si>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</si>
  <si>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</si>
  <si>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</si>
  <si>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</si>
  <si>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</si>
  <si>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</si>
  <si>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</si>
  <si>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</si>
  <si>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</si>
  <si>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</si>
  <si>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</si>
  <si>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</si>
  <si>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</si>
  <si>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</si>
  <si>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</si>
  <si>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</si>
  <si>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</si>
  <si>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</si>
  <si>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</si>
  <si>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</si>
  <si>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</si>
  <si>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</si>
  <si>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</si>
  <si>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</si>
  <si>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</si>
  <si>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</si>
  <si>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</si>
  <si>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</si>
  <si>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</si>
  <si>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</si>
  <si>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</si>
  <si>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</si>
  <si>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</si>
  <si>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</si>
  <si>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</si>
  <si>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</si>
  <si>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</si>
  <si>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</si>
  <si>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</si>
  <si>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</si>
  <si>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</si>
  <si>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</si>
  <si>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</si>
  <si>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</si>
  <si>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</si>
  <si>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</si>
  <si>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</si>
  <si>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</si>
  <si>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</si>
  <si>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</si>
  <si>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</si>
  <si>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</si>
  <si>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</si>
  <si>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</si>
  <si>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</si>
  <si>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</si>
  <si>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</si>
  <si>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</si>
  <si>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</si>
  <si>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</si>
  <si>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</si>
  <si>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</si>
  <si>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</si>
  <si>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</si>
  <si>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</si>
  <si>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</si>
  <si>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</si>
  <si>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</si>
  <si>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</si>
  <si>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</si>
  <si>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</si>
  <si>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</si>
  <si>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</si>
  <si>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</si>
  <si>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</si>
  <si>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</si>
  <si>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</si>
  <si>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</si>
  <si>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</si>
  <si>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</si>
  <si>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</si>
  <si>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</si>
  <si>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</si>
  <si>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</si>
  <si>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</si>
  <si>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</si>
  <si>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</si>
  <si>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</si>
  <si>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</si>
  <si>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</si>
  <si>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</si>
  <si>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</si>
  <si>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</si>
  <si>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</si>
  <si>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</si>
  <si>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</si>
  <si>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</si>
  <si>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</si>
  <si>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</si>
  <si>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</si>
  <si>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</si>
  <si>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</si>
  <si>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</si>
  <si>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</si>
  <si>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</si>
  <si>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</si>
  <si>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</si>
  <si>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</si>
  <si>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</si>
  <si>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</si>
  <si>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</si>
  <si>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</si>
  <si>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</si>
  <si>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</si>
  <si>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</si>
  <si>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</si>
  <si>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</si>
  <si>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</si>
  <si>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</si>
  <si>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</si>
  <si>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</si>
  <si>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</si>
  <si>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</si>
  <si>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</si>
  <si>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</si>
  <si>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</si>
  <si>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</si>
  <si>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</si>
  <si>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</si>
  <si>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</si>
  <si>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</si>
  <si>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</si>
  <si>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</si>
  <si>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</si>
  <si>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</si>
  <si>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</si>
  <si>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</si>
  <si>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</si>
  <si>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</si>
  <si>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</si>
  <si>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</si>
  <si>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</si>
  <si>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</si>
  <si>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</si>
  <si>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</si>
  <si>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</si>
  <si>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</si>
  <si>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</si>
  <si>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</si>
  <si>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</si>
  <si>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</si>
  <si>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</si>
  <si>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</si>
  <si>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</si>
  <si>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</si>
  <si>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</si>
  <si>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</si>
  <si>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</si>
  <si>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</si>
  <si>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</si>
  <si>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</si>
  <si>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</si>
  <si>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</si>
  <si>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</si>
  <si>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</si>
  <si>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</si>
  <si>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</si>
  <si>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</si>
  <si>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</si>
  <si>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</si>
  <si>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</si>
  <si>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</si>
  <si>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</si>
  <si>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</si>
  <si>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</si>
  <si>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</si>
  <si>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</si>
  <si>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</si>
  <si>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</si>
  <si>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</si>
  <si>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</si>
  <si>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</si>
  <si>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</si>
  <si>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</si>
  <si>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</si>
  <si>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</si>
  <si>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</si>
  <si>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</si>
  <si>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</si>
  <si>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</si>
  <si>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</si>
  <si>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</si>
  <si>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</si>
  <si>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</si>
  <si>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</si>
  <si>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</si>
  <si>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</si>
  <si>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</si>
  <si>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</si>
  <si>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</si>
  <si>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</si>
  <si>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</si>
  <si>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</si>
  <si>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</si>
  <si>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</si>
  <si>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</si>
  <si>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</si>
  <si>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</si>
  <si>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</si>
  <si>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</si>
  <si>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</si>
  <si>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</si>
  <si>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</si>
  <si>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</si>
  <si>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</si>
  <si>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</si>
  <si>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</si>
  <si>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</si>
  <si>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</si>
  <si>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</si>
  <si>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</si>
  <si>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</si>
  <si>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</si>
  <si>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</si>
  <si>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</si>
  <si>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</si>
  <si>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</si>
  <si>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</si>
  <si>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</si>
  <si>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</si>
  <si>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</si>
  <si>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</si>
  <si>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</si>
  <si>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</si>
  <si>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</si>
  <si>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</si>
  <si>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</si>
  <si>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</si>
  <si>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</si>
  <si>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</si>
  <si>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</si>
  <si>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</si>
  <si>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</si>
  <si>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</si>
  <si>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</si>
  <si>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</si>
  <si>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</si>
  <si>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</si>
  <si>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</si>
  <si>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</si>
  <si>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</si>
  <si>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</si>
  <si>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</si>
  <si>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</si>
  <si>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</si>
  <si>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</si>
  <si>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</si>
  <si>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</si>
  <si>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</si>
  <si>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</si>
  <si>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</si>
  <si>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</si>
  <si>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</si>
  <si>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</si>
  <si>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</si>
  <si>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</si>
  <si>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</si>
  <si>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</si>
  <si>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</si>
  <si>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</si>
  <si>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</si>
  <si>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</si>
  <si>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</si>
  <si>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</si>
  <si>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</si>
  <si>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</si>
  <si>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</si>
  <si>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</si>
  <si>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</si>
  <si>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</si>
  <si>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</si>
  <si>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</si>
  <si>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</si>
  <si>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</si>
  <si>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Clay, Jasper, Richland, North Wayne</t>
  </si>
  <si>
    <t>600 South Locust Street</t>
  </si>
  <si>
    <t>Flora</t>
  </si>
  <si>
    <t>Dr. Joel Hackney, Administrative Agent</t>
  </si>
  <si>
    <t>jhackney@floraschools.com</t>
  </si>
  <si>
    <t>618-662-2412</t>
  </si>
  <si>
    <t>618-662-4587</t>
  </si>
  <si>
    <t>Leymone Hardcastle &amp; Co., Ltd</t>
  </si>
  <si>
    <t>Sara E. Hanks</t>
  </si>
  <si>
    <t>200 West Main Street</t>
  </si>
  <si>
    <t>Salem</t>
  </si>
  <si>
    <t>IL</t>
  </si>
  <si>
    <t>618-548-1002</t>
  </si>
  <si>
    <t>618-548-1018</t>
  </si>
  <si>
    <t>060-001832</t>
  </si>
  <si>
    <t>sara@hardcastlecpa.com</t>
  </si>
  <si>
    <t>10-1999 Local match ($6,418)</t>
  </si>
  <si>
    <t xml:space="preserve">There are no "on-behalf" payments as the System employees are paid through the fiscal agent, Flora Community Unit </t>
  </si>
  <si>
    <t xml:space="preserve">   School District #35, who reports these payments.</t>
  </si>
  <si>
    <t>ERROR - Contracts paid in current year - no such contracts paid in current year.</t>
  </si>
  <si>
    <t>Flora Community Unit School District #35</t>
  </si>
  <si>
    <t>x</t>
  </si>
  <si>
    <t>The System relies on the audit firm to prepare these financial statements and disclosures.</t>
  </si>
  <si>
    <t>The audit firm prepares the financial statements and disclosures, then goes over them with the System's management and Board.  The System does not maintain an accountant on staff to prepare the financial statements and disclosures internally.</t>
  </si>
  <si>
    <t>The System is responsible for the preparation of the annual financial statements including disclosures.</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</si>
  <si>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</si>
  <si>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System does not maintain staff with the technical training to prepare their own financial statements and disclosures.</t>
  </si>
  <si>
    <t>Due to the cost/benefit, we do not recommend any changes at this time.  We will continue to work with the System to ensure both management and the board have a thorough understanding of these financial statements and disclosures.</t>
  </si>
  <si>
    <t>Due to the cost/benefit of addressing this issue, no action is planned at this time.</t>
  </si>
  <si>
    <t>N/A - no such contracts</t>
  </si>
  <si>
    <t xml:space="preserve"> Clay Jasper Richland N Wayne 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</si>
</sst>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303068</xdr:colOff>
          <xdr:row>2</xdr:row>
          <xdr:rowOff>112569</xdr:rowOff>
        </xdr:from>
        <xdr:to>
          <xdr:col>1</xdr:col>
          <xdr:colOff>1217468</xdr:colOff>
          <xdr:row>6</xdr:row>
          <xdr:rowOff>150669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1376795</xdr:colOff>
          <xdr:row>2</xdr:row>
          <xdr:rowOff>129887</xdr:rowOff>
        </xdr:from>
        <xdr:to>
          <xdr:col>1</xdr:col>
          <xdr:colOff>2287731</xdr:colOff>
          <xdr:row>7</xdr:row>
          <xdr:rowOff>3464</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Layout"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0" t="s">
        <v>405</v>
      </c>
      <c r="J1" s="1981"/>
      <c r="K1" s="1981"/>
      <c r="L1" s="1981"/>
      <c r="M1" s="1981"/>
      <c r="N1" s="1981"/>
      <c r="O1" s="1981"/>
      <c r="P1" s="1981"/>
      <c r="Q1" s="1981"/>
      <c r="R1" s="1981"/>
      <c r="S1" s="1981"/>
    </row>
    <row r="2" spans="1:28" ht="12" customHeight="1" x14ac:dyDescent="0.2">
      <c r="A2" s="47" t="s">
        <v>1992</v>
      </c>
      <c r="D2" s="48"/>
      <c r="I2" s="1982" t="s">
        <v>979</v>
      </c>
      <c r="J2" s="1981"/>
      <c r="K2" s="1981"/>
      <c r="L2" s="1981"/>
      <c r="M2" s="1981"/>
      <c r="N2" s="1981"/>
      <c r="O2" s="1981"/>
      <c r="P2" s="1981"/>
      <c r="Q2" s="1981"/>
      <c r="R2" s="1981"/>
      <c r="S2" s="1981"/>
    </row>
    <row r="3" spans="1:28" ht="12" customHeight="1" x14ac:dyDescent="0.2">
      <c r="A3" s="155" t="s">
        <v>1944</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c r="C5" s="26" t="s">
        <v>910</v>
      </c>
      <c r="D5" s="84"/>
      <c r="E5" s="84"/>
      <c r="H5" s="38"/>
      <c r="I5" s="1990" t="s">
        <v>680</v>
      </c>
      <c r="J5" s="1989"/>
      <c r="K5" s="1989"/>
      <c r="L5" s="1989"/>
      <c r="M5" s="1989"/>
      <c r="N5" s="1989"/>
      <c r="O5" s="1989"/>
      <c r="P5" s="1989"/>
      <c r="Q5" s="1989"/>
      <c r="R5" s="1989"/>
      <c r="S5" s="1989"/>
    </row>
    <row r="6" spans="1:28" ht="14.1" customHeight="1" x14ac:dyDescent="0.2">
      <c r="B6" s="104" t="s">
        <v>2064</v>
      </c>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t="s">
        <v>2064</v>
      </c>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5">
        <v>12013035046</v>
      </c>
      <c r="B13" s="2016"/>
      <c r="C13" s="2016"/>
      <c r="D13" s="2016"/>
      <c r="E13" s="2016"/>
      <c r="F13" s="2016"/>
      <c r="G13" s="2016"/>
      <c r="H13" s="2017"/>
      <c r="I13" s="31"/>
      <c r="J13" s="30"/>
      <c r="K13" s="28"/>
      <c r="L13" s="30"/>
      <c r="M13" s="30"/>
      <c r="N13" s="30"/>
      <c r="O13" s="30"/>
      <c r="P13" s="30"/>
      <c r="Q13" s="30"/>
      <c r="R13" s="30"/>
      <c r="S13" s="30"/>
      <c r="T13" s="2020" t="s">
        <v>2072</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2065</v>
      </c>
      <c r="B15" s="2018"/>
      <c r="C15" s="2018"/>
      <c r="D15" s="2018"/>
      <c r="E15" s="2018"/>
      <c r="F15" s="2018"/>
      <c r="G15" s="2018"/>
      <c r="H15" s="2019"/>
      <c r="T15" s="2024" t="s">
        <v>2073</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2095</v>
      </c>
      <c r="B17" s="1975"/>
      <c r="C17" s="1975"/>
      <c r="D17" s="1975"/>
      <c r="E17" s="1975"/>
      <c r="F17" s="1975"/>
      <c r="G17" s="1975"/>
      <c r="H17" s="2000"/>
      <c r="T17" s="2031" t="s">
        <v>2074</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2066</v>
      </c>
      <c r="B19" s="1960"/>
      <c r="C19" s="1960"/>
      <c r="D19" s="1960"/>
      <c r="E19" s="1960"/>
      <c r="F19" s="1960"/>
      <c r="G19" s="1960"/>
      <c r="H19" s="1940"/>
      <c r="I19" s="30"/>
      <c r="J19" s="99"/>
      <c r="K19" s="40"/>
      <c r="L19" s="38"/>
      <c r="M19" s="112" t="s">
        <v>315</v>
      </c>
      <c r="P19" s="27"/>
      <c r="Q19" s="27"/>
      <c r="R19" s="27"/>
      <c r="S19" s="31"/>
      <c r="T19" s="2014" t="s">
        <v>2075</v>
      </c>
      <c r="U19" s="1939"/>
      <c r="V19" s="1939"/>
      <c r="W19" s="1940"/>
      <c r="X19" s="2029" t="s">
        <v>2076</v>
      </c>
      <c r="Y19" s="2030"/>
      <c r="Z19" s="2027">
        <v>62881</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2067</v>
      </c>
      <c r="B21" s="1939"/>
      <c r="C21" s="1939"/>
      <c r="D21" s="1939"/>
      <c r="E21" s="1939"/>
      <c r="F21" s="1939"/>
      <c r="G21" s="1939"/>
      <c r="H21" s="1940"/>
      <c r="I21" s="1994" t="s">
        <v>678</v>
      </c>
      <c r="J21" s="1989"/>
      <c r="K21" s="1989"/>
      <c r="L21" s="1989"/>
      <c r="M21" s="1989"/>
      <c r="N21" s="1989"/>
      <c r="O21" s="1989"/>
      <c r="P21" s="1989"/>
      <c r="Q21" s="1989"/>
      <c r="R21" s="1989"/>
      <c r="S21" s="1995"/>
      <c r="T21" s="2038" t="s">
        <v>2077</v>
      </c>
      <c r="U21" s="2039"/>
      <c r="V21" s="2039"/>
      <c r="W21" s="2039"/>
      <c r="X21" s="2044" t="s">
        <v>2078</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c r="B23" s="1992"/>
      <c r="C23" s="1992"/>
      <c r="D23" s="1992"/>
      <c r="E23" s="1992"/>
      <c r="F23" s="1992"/>
      <c r="G23" s="1992"/>
      <c r="H23" s="1993"/>
      <c r="T23" s="1974" t="s">
        <v>2079</v>
      </c>
      <c r="U23" s="2037"/>
      <c r="V23" s="2037"/>
      <c r="W23" s="2037"/>
      <c r="X23" s="2041"/>
      <c r="Y23" s="2042"/>
      <c r="Z23" s="2042"/>
      <c r="AA23" s="2043"/>
    </row>
    <row r="24" spans="1:27" ht="14.1" customHeight="1" x14ac:dyDescent="0.2">
      <c r="A24" s="88" t="s">
        <v>677</v>
      </c>
      <c r="B24" s="49"/>
      <c r="C24" s="49"/>
      <c r="D24" s="49"/>
      <c r="E24" s="49"/>
      <c r="F24" s="49"/>
      <c r="G24" s="49"/>
      <c r="H24" s="61"/>
      <c r="J24" s="1961" t="str">
        <f>IF(B5="x",IF(AUDITCHECK!D29="AFR form Incomplete.","",IF(AUDITCHECK!D29="Deficit reduction plan is required.","School District must complete a deficit reduction plan in the 2019-2020 Budget",)),"")</f>
        <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62839</v>
      </c>
      <c r="B25" s="1939"/>
      <c r="C25" s="1939"/>
      <c r="D25" s="1939"/>
      <c r="E25" s="1939"/>
      <c r="F25" s="1939"/>
      <c r="G25" s="1939"/>
      <c r="H25" s="1940"/>
      <c r="I25" s="113"/>
      <c r="J25" s="1963"/>
      <c r="K25" s="1963"/>
      <c r="L25" s="1963"/>
      <c r="M25" s="1963"/>
      <c r="N25" s="1963"/>
      <c r="O25" s="1963"/>
      <c r="P25" s="1963"/>
      <c r="Q25" s="1963"/>
      <c r="R25" s="1963"/>
      <c r="S25" s="1964"/>
      <c r="T25" s="2034" t="s">
        <v>2080</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2068</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2069</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t="s">
        <v>2070</v>
      </c>
      <c r="B42" s="1958"/>
      <c r="C42" s="1959"/>
      <c r="D42" s="1957" t="s">
        <v>2071</v>
      </c>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1943</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9" right="0.2" top="0.75" bottom="0.65" header="0.19" footer="0.28999999999999998"/>
  <pageSetup scale="73" orientation="landscape" r:id="rId3"/>
  <headerFooter alignWithMargins="0">
    <oddFooter>&amp;C- 6 -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colorId="8" zoomScaleNormal="110" workbookViewId="0">
      <selection activeCell="C1" sqref="C1"/>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1950</v>
      </c>
      <c r="C2" s="714" t="s">
        <v>1951</v>
      </c>
      <c r="D2" s="714" t="s">
        <v>1952</v>
      </c>
      <c r="E2" s="714" t="s">
        <v>1953</v>
      </c>
      <c r="F2" s="714" t="s">
        <v>1954</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25" right="0.15" top="1.65" bottom="0.52" header="0.81" footer="0.2"/>
  <pageSetup firstPageNumber="23" orientation="landscape" useFirstPageNumber="1" r:id="rId1"/>
  <headerFooter alignWithMargins="0">
    <oddHeader>&amp;C Clay, Jasper, Richland, North Wayne Regional Delivery System</oddHeader>
    <oddFooter>&amp;L&amp;8See accompanying notes to the financial statements.&amp;C- 29 -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topLeftCell="A13" colorId="8" zoomScaleNormal="110" workbookViewId="0">
      <selection activeCell="G4" sqref="G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1955</v>
      </c>
      <c r="D2" s="723" t="s">
        <v>1956</v>
      </c>
      <c r="E2" s="723" t="s">
        <v>1957</v>
      </c>
      <c r="F2" s="1884" t="s">
        <v>1958</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1959</v>
      </c>
      <c r="F30" s="1885" t="s">
        <v>1960</v>
      </c>
      <c r="G30" s="1885" t="s">
        <v>1910</v>
      </c>
      <c r="H30" s="1885" t="s">
        <v>1961</v>
      </c>
      <c r="I30" s="1885" t="s">
        <v>1962</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41" right="0.15" top="0.46" bottom="0.45" header="0.26" footer="0.22"/>
  <pageSetup scale="73" firstPageNumber="24" fitToHeight="0" orientation="landscape" useFirstPageNumber="1" r:id="rId1"/>
  <headerFooter alignWithMargins="0">
    <oddHeader>&amp;C Clay, Jasper, Richland, North Wayne Regional Delivery System</oddHeader>
    <oddFooter>&amp;L&amp;8See accompanying notes to the financial statements.&amp;C- 30 -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colorId="8"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1963</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0</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1964</v>
      </c>
      <c r="B24" s="2244"/>
      <c r="C24" s="2244"/>
      <c r="D24" s="2244"/>
      <c r="E24" s="224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35" right="0.17" top="0.7" bottom="0.4" header="0.21" footer="0.2"/>
  <pageSetup scale="83" firstPageNumber="25" orientation="landscape" useFirstPageNumber="1" r:id="rId1"/>
  <headerFooter>
    <oddHeader xml:space="preserve">&amp;C&amp;"Arial,Bold" Clay, Jasper, Richland, North Wayne Regional Delivery System
Schedule of Restricted Local Tax Levies and Selected Revenues Sources 
Schedule of Tort Immunity Expenditures </oddHeader>
    <oddFooter>&amp;L&amp;8See accompanying notes to the financial statements.&amp;C- 31 -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topLeftCell="A4" colorId="8" zoomScaleNormal="110" workbookViewId="0">
      <selection activeCell="K13" sqref="K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1908</v>
      </c>
      <c r="B1" s="2251"/>
      <c r="C1" s="2252"/>
      <c r="D1" s="826"/>
      <c r="E1" s="827"/>
      <c r="F1" s="827"/>
      <c r="G1" s="828"/>
      <c r="H1" s="829"/>
      <c r="I1" s="830"/>
      <c r="J1" s="2248"/>
      <c r="K1" s="2249"/>
      <c r="L1" s="2249"/>
    </row>
    <row r="2" spans="1:14" ht="69.75" customHeight="1" x14ac:dyDescent="0.2">
      <c r="A2" s="831" t="s">
        <v>1678</v>
      </c>
      <c r="B2" s="832" t="s">
        <v>378</v>
      </c>
      <c r="C2" s="833" t="s">
        <v>1965</v>
      </c>
      <c r="D2" s="833" t="s">
        <v>1966</v>
      </c>
      <c r="E2" s="833" t="s">
        <v>1967</v>
      </c>
      <c r="F2" s="833" t="s">
        <v>1968</v>
      </c>
      <c r="G2" s="833" t="s">
        <v>605</v>
      </c>
      <c r="H2" s="833" t="s">
        <v>1969</v>
      </c>
      <c r="I2" s="833" t="s">
        <v>1970</v>
      </c>
      <c r="J2" s="833" t="s">
        <v>1971</v>
      </c>
      <c r="K2" s="833" t="s">
        <v>1972</v>
      </c>
      <c r="L2" s="833" t="s">
        <v>1973</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2418</v>
      </c>
      <c r="D12" s="844"/>
      <c r="E12" s="844"/>
      <c r="F12" s="1760">
        <f>(C12+D12)-E12</f>
        <v>2418</v>
      </c>
      <c r="G12" s="843">
        <v>10</v>
      </c>
      <c r="H12" s="765">
        <v>2418</v>
      </c>
      <c r="I12" s="765"/>
      <c r="J12" s="765"/>
      <c r="K12" s="1769">
        <f>(H12+I12)-J12</f>
        <v>2418</v>
      </c>
      <c r="L12" s="1769">
        <f>F12-K12</f>
        <v>0</v>
      </c>
    </row>
    <row r="13" spans="1:14" ht="14.25" thickTop="1" thickBot="1" x14ac:dyDescent="0.25">
      <c r="A13" s="848" t="s">
        <v>1122</v>
      </c>
      <c r="B13" s="840">
        <v>252</v>
      </c>
      <c r="C13" s="844">
        <v>699419</v>
      </c>
      <c r="D13" s="844">
        <v>118483</v>
      </c>
      <c r="E13" s="844"/>
      <c r="F13" s="1760">
        <f>(C13+D13)-E13</f>
        <v>817902</v>
      </c>
      <c r="G13" s="843">
        <v>5</v>
      </c>
      <c r="H13" s="765">
        <v>311036</v>
      </c>
      <c r="I13" s="765">
        <v>120751</v>
      </c>
      <c r="J13" s="765"/>
      <c r="K13" s="1769">
        <f>(H13+I13)-J13</f>
        <v>431787</v>
      </c>
      <c r="L13" s="1769">
        <f>F13-K13</f>
        <v>386115</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701837</v>
      </c>
      <c r="D16" s="1760">
        <f>SUM(D3,D5:D6,D8:D10,D12:D15)</f>
        <v>118483</v>
      </c>
      <c r="E16" s="1760">
        <f>SUM(E3,E5:E6,E8:E10,E12:E15)</f>
        <v>0</v>
      </c>
      <c r="F16" s="1760">
        <f>SUM(F3,F5:F6,F8:F10,F12:F15)</f>
        <v>820320</v>
      </c>
      <c r="G16" s="843"/>
      <c r="H16" s="1760">
        <f>SUM(H3,H6,H8:H10,H12:H14,)</f>
        <v>313454</v>
      </c>
      <c r="I16" s="1760">
        <f>SUM(I3,I6,I8:I10,I12:I14,)</f>
        <v>120751</v>
      </c>
      <c r="J16" s="1760">
        <f>SUM(J3,J6,J8:J10,J12:J14,)</f>
        <v>0</v>
      </c>
      <c r="K16" s="1760">
        <f>(H16+I16)-J16</f>
        <v>434205</v>
      </c>
      <c r="L16" s="1760">
        <f>F16-K16</f>
        <v>386115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120751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49" right="0.17" top="1.1000000000000001" bottom="0.69" header="0.66" footer="0.37"/>
  <pageSetup scale="79" firstPageNumber="26" orientation="landscape" useFirstPageNumber="1" r:id="rId1"/>
  <headerFooter alignWithMargins="0">
    <oddHeader>&amp;C Clay, Jasper, Richland, North Wayne Regional Delivery System</oddHeader>
    <oddFooter>&amp;L&amp;9See accompanying notes to the financial statements.&amp;C- 27 -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8" sqref="A8"/>
      <selection pane="bottomLeft" activeCell="A2" sqref="A2:F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1974</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394679</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394679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1998</v>
      </c>
      <c r="C30" s="880">
        <f>'Revenues 9-14'!B150</f>
        <v>3499</v>
      </c>
      <c r="D30" s="881" t="str">
        <f>'Revenues 9-14'!A150</f>
        <v>Adult Ed - Other (Describe &amp; Itemize)</v>
      </c>
      <c r="E30" s="868"/>
      <c r="F30" s="1914">
        <f>('Revenues 9-14'!D150+'Revenues 9-14'!F150)</f>
        <v>0</v>
      </c>
      <c r="G30" s="865"/>
    </row>
    <row r="31" spans="1:7" x14ac:dyDescent="0.2">
      <c r="A31" s="869" t="s">
        <v>1097</v>
      </c>
      <c r="B31" s="870" t="s">
        <v>1999</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2000</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2001</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0</v>
      </c>
      <c r="G53" s="865"/>
    </row>
    <row r="54" spans="1:7" x14ac:dyDescent="0.2">
      <c r="A54" s="869" t="s">
        <v>459</v>
      </c>
      <c r="B54" s="869" t="s">
        <v>1476</v>
      </c>
      <c r="C54" s="889" t="s">
        <v>982</v>
      </c>
      <c r="D54" s="885" t="s">
        <v>1095</v>
      </c>
      <c r="E54" s="868"/>
      <c r="F54" s="1913">
        <f>'Expenditures 15-22'!G114</f>
        <v>118483</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118483</v>
      </c>
      <c r="G76" s="865"/>
    </row>
    <row r="77" spans="1:8" s="893" customFormat="1" ht="12" customHeight="1" thickTop="1" thickBot="1" x14ac:dyDescent="0.25">
      <c r="A77" s="1779"/>
      <c r="B77" s="1776"/>
      <c r="C77" s="1772"/>
      <c r="D77" s="1777" t="s">
        <v>1899</v>
      </c>
      <c r="E77" s="1774"/>
      <c r="F77" s="1780">
        <f>(F14-F76)</f>
        <v>276196</v>
      </c>
      <c r="G77" s="869"/>
    </row>
    <row r="78" spans="1:8" s="893" customFormat="1" ht="12" customHeight="1" thickTop="1" x14ac:dyDescent="0.2">
      <c r="A78" s="1781"/>
      <c r="B78" s="1776"/>
      <c r="C78" s="1772"/>
      <c r="D78" s="1777" t="s">
        <v>2061</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2002</v>
      </c>
      <c r="C105" s="913">
        <v>3100</v>
      </c>
      <c r="D105" s="919" t="str">
        <f>'Revenues 9-14'!A132</f>
        <v>Total Special Education</v>
      </c>
      <c r="E105" s="906"/>
      <c r="F105" s="1789">
        <f>SUM('Revenues 9-14'!C132:D132,'Revenues 9-14'!F132)</f>
        <v>0</v>
      </c>
      <c r="G105" s="912"/>
    </row>
    <row r="106" spans="1:7" x14ac:dyDescent="0.2">
      <c r="A106" s="908" t="s">
        <v>673</v>
      </c>
      <c r="B106" s="908" t="s">
        <v>2003</v>
      </c>
      <c r="C106" s="920">
        <v>3200</v>
      </c>
      <c r="D106" s="911" t="str">
        <f>'Revenues 9-14'!A141</f>
        <v>Total Career and Technical Education</v>
      </c>
      <c r="E106" s="906"/>
      <c r="F106" s="1789">
        <f>SUM('Revenues 9-14'!C141,'Revenues 9-14'!D141,'Revenues 9-14'!G141)</f>
        <v>325543</v>
      </c>
      <c r="G106" s="912"/>
    </row>
    <row r="107" spans="1:7" x14ac:dyDescent="0.2">
      <c r="A107" s="921" t="s">
        <v>664</v>
      </c>
      <c r="B107" s="908" t="s">
        <v>2004</v>
      </c>
      <c r="C107" s="920">
        <v>3300</v>
      </c>
      <c r="D107" s="911" t="str">
        <f>'Revenues 9-14'!A145</f>
        <v>Total Bilingual Ed</v>
      </c>
      <c r="E107" s="906"/>
      <c r="F107" s="1789">
        <f>SUM('Revenues 9-14'!C145,'Revenues 9-14'!G145)</f>
        <v>0</v>
      </c>
      <c r="G107" s="912"/>
    </row>
    <row r="108" spans="1:7" x14ac:dyDescent="0.2">
      <c r="A108" s="908" t="s">
        <v>459</v>
      </c>
      <c r="B108" s="908" t="s">
        <v>2005</v>
      </c>
      <c r="C108" s="920">
        <f>'Revenues 9-14'!B146</f>
        <v>3360</v>
      </c>
      <c r="D108" s="911" t="str">
        <f>'Revenues 9-14'!A146</f>
        <v>State Free Lunch &amp; Breakfast</v>
      </c>
      <c r="E108" s="906"/>
      <c r="F108" s="1789">
        <f>'Revenues 9-14'!C146</f>
        <v>0</v>
      </c>
      <c r="G108" s="912"/>
    </row>
    <row r="109" spans="1:7" x14ac:dyDescent="0.2">
      <c r="A109" s="908" t="s">
        <v>673</v>
      </c>
      <c r="B109" s="908" t="s">
        <v>2006</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9">
        <f>SUM('Revenues 9-14'!C148,'Revenues 9-14'!D148)</f>
        <v>0</v>
      </c>
      <c r="G110" s="912"/>
    </row>
    <row r="111" spans="1:7" x14ac:dyDescent="0.2">
      <c r="A111" s="908" t="s">
        <v>668</v>
      </c>
      <c r="B111" s="908" t="s">
        <v>2008</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2009</v>
      </c>
      <c r="C112" s="920">
        <f>'Revenues 9-14'!B156</f>
        <v>3610</v>
      </c>
      <c r="D112" s="911" t="str">
        <f>'Revenues 9-14'!A156</f>
        <v>Learning Improvement - Change Grants</v>
      </c>
      <c r="E112" s="906"/>
      <c r="F112" s="1789">
        <f>'Revenues 9-14'!C156</f>
        <v>0</v>
      </c>
      <c r="G112" s="912"/>
    </row>
    <row r="113" spans="1:7" x14ac:dyDescent="0.2">
      <c r="A113" s="908" t="s">
        <v>668</v>
      </c>
      <c r="B113" s="908" t="s">
        <v>2010</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2012</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2013</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2014</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2015</v>
      </c>
      <c r="C118" s="924">
        <f>'Revenues 9-14'!B163</f>
        <v>3780</v>
      </c>
      <c r="D118" s="925" t="str">
        <f>'Revenues 9-14'!A163</f>
        <v>Technology - Technology for Success</v>
      </c>
      <c r="E118" s="906"/>
      <c r="F118" s="1907">
        <f>SUM('Revenues 9-14'!C163:G163)</f>
        <v>0</v>
      </c>
      <c r="G118" s="912"/>
    </row>
    <row r="119" spans="1:7" x14ac:dyDescent="0.2">
      <c r="A119" s="923" t="s">
        <v>504</v>
      </c>
      <c r="B119" s="923" t="s">
        <v>2016</v>
      </c>
      <c r="C119" s="924">
        <f>'Revenues 9-14'!B164</f>
        <v>3815</v>
      </c>
      <c r="D119" s="925" t="str">
        <f>'Revenues 9-14'!A164</f>
        <v>State Charter Schools</v>
      </c>
      <c r="E119" s="906"/>
      <c r="F119" s="1907">
        <f>SUM('Revenues 9-14'!C164,'Revenues 9-14'!F164)</f>
        <v>0</v>
      </c>
      <c r="G119" s="912"/>
    </row>
    <row r="120" spans="1:7" x14ac:dyDescent="0.2">
      <c r="A120" s="927" t="s">
        <v>460</v>
      </c>
      <c r="B120" s="927" t="s">
        <v>2017</v>
      </c>
      <c r="C120" s="928">
        <f>'Revenues 9-14'!B167</f>
        <v>3925</v>
      </c>
      <c r="D120" s="929" t="str">
        <f>'Revenues 9-14'!A167</f>
        <v>School Infrastructure - Maintenance Projects</v>
      </c>
      <c r="E120" s="906"/>
      <c r="F120" s="1789">
        <f>'Revenues 9-14'!D167</f>
        <v>0</v>
      </c>
      <c r="G120" s="930"/>
    </row>
    <row r="121" spans="1:7" x14ac:dyDescent="0.2">
      <c r="A121" s="927" t="s">
        <v>500</v>
      </c>
      <c r="B121" s="927" t="s">
        <v>2018</v>
      </c>
      <c r="C121" s="928">
        <f>'Revenues 9-14'!B168</f>
        <v>3999</v>
      </c>
      <c r="D121" s="929" t="s">
        <v>543</v>
      </c>
      <c r="E121" s="931"/>
      <c r="F121" s="1789">
        <f>SUM('Revenues 9-14'!C168:G168,'Revenues 9-14'!J168)</f>
        <v>0</v>
      </c>
      <c r="G121" s="930"/>
    </row>
    <row r="122" spans="1:7" x14ac:dyDescent="0.2">
      <c r="A122" s="927" t="s">
        <v>459</v>
      </c>
      <c r="B122" s="927" t="s">
        <v>2019</v>
      </c>
      <c r="C122" s="932">
        <f>'Revenues 9-14'!B177</f>
        <v>4045</v>
      </c>
      <c r="D122" s="929" t="str">
        <f>'Revenues 9-14'!A177 &amp; " (Subtract)"</f>
        <v>Head Start (Subtract)</v>
      </c>
      <c r="E122" s="906"/>
      <c r="F122" s="1789">
        <f>SUM(-'Revenues 9-14'!C177)</f>
        <v>0</v>
      </c>
      <c r="G122" s="930"/>
    </row>
    <row r="123" spans="1:7" x14ac:dyDescent="0.2">
      <c r="A123" s="927" t="s">
        <v>668</v>
      </c>
      <c r="B123" s="927" t="s">
        <v>2020</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2021</v>
      </c>
      <c r="C124" s="932">
        <v>4100</v>
      </c>
      <c r="D124" s="933" t="str">
        <f>'Revenues 9-14'!A188</f>
        <v>Total Title V</v>
      </c>
      <c r="E124" s="906"/>
      <c r="F124" s="1789">
        <f>SUM('Revenues 9-14'!C188,'Revenues 9-14'!D188,'Revenues 9-14'!F188,'Revenues 9-14'!G188)</f>
        <v>0</v>
      </c>
      <c r="G124" s="930"/>
    </row>
    <row r="125" spans="1:7" x14ac:dyDescent="0.2">
      <c r="A125" s="927" t="s">
        <v>664</v>
      </c>
      <c r="B125" s="927" t="s">
        <v>2022</v>
      </c>
      <c r="C125" s="932">
        <v>4200</v>
      </c>
      <c r="D125" s="929" t="str">
        <f>'Revenues 9-14'!A198</f>
        <v>Total Food Service</v>
      </c>
      <c r="E125" s="906"/>
      <c r="F125" s="1789">
        <f>SUM('Revenues 9-14'!C198,'Revenues 9-14'!G198)</f>
        <v>0</v>
      </c>
      <c r="G125" s="930"/>
    </row>
    <row r="126" spans="1:7" x14ac:dyDescent="0.2">
      <c r="A126" s="927" t="s">
        <v>668</v>
      </c>
      <c r="B126" s="927" t="s">
        <v>2023</v>
      </c>
      <c r="C126" s="932">
        <v>4300</v>
      </c>
      <c r="D126" s="933" t="str">
        <f>'Revenues 9-14'!A204</f>
        <v>Total Title I</v>
      </c>
      <c r="E126" s="906"/>
      <c r="F126" s="1789">
        <f>SUM('Revenues 9-14'!C204,'Revenues 9-14'!D204,'Revenues 9-14'!F204,'Revenues 9-14'!G204)</f>
        <v>0</v>
      </c>
      <c r="G126" s="930"/>
    </row>
    <row r="127" spans="1:7" x14ac:dyDescent="0.2">
      <c r="A127" s="927" t="s">
        <v>668</v>
      </c>
      <c r="B127" s="927" t="s">
        <v>2024</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2025</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2026</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2027</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2028</v>
      </c>
      <c r="C132" s="932">
        <v>4700</v>
      </c>
      <c r="D132" s="929" t="str">
        <f>'Revenues 9-14'!A221</f>
        <v>Total CTE - Perkins</v>
      </c>
      <c r="E132" s="906"/>
      <c r="F132" s="1789">
        <f>SUM('Revenues 9-14'!C221,'Revenues 9-14'!D221,'Revenues 9-14'!G221)</f>
        <v>76250</v>
      </c>
      <c r="G132" s="930">
        <v>6303</v>
      </c>
    </row>
    <row r="133" spans="1:7" s="867" customFormat="1" hidden="1" x14ac:dyDescent="0.2">
      <c r="A133" s="934" t="s">
        <v>206</v>
      </c>
      <c r="B133" s="934" t="s">
        <v>2029</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9">
        <v>0</v>
      </c>
      <c r="G138" s="905"/>
    </row>
    <row r="139" spans="1:7" s="867" customFormat="1" hidden="1" x14ac:dyDescent="0.2">
      <c r="A139" s="934" t="s">
        <v>206</v>
      </c>
      <c r="B139" s="934" t="s">
        <v>2035</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2038</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2043</v>
      </c>
      <c r="C157" s="940" t="s">
        <v>841</v>
      </c>
      <c r="D157" s="941" t="s">
        <v>777</v>
      </c>
      <c r="E157" s="942"/>
      <c r="F157" s="1789">
        <f>SUM(F133:F156)</f>
        <v>0</v>
      </c>
      <c r="G157" s="905"/>
    </row>
    <row r="158" spans="1:7" s="867" customFormat="1" x14ac:dyDescent="0.2">
      <c r="A158" s="938" t="s">
        <v>459</v>
      </c>
      <c r="B158" s="939" t="s">
        <v>2044</v>
      </c>
      <c r="C158" s="940" t="s">
        <v>1427</v>
      </c>
      <c r="D158" s="941" t="s">
        <v>1428</v>
      </c>
      <c r="E158" s="942"/>
      <c r="F158" s="1789">
        <f>SUM('Revenues 9-14'!C253)</f>
        <v>0</v>
      </c>
      <c r="G158" s="905"/>
    </row>
    <row r="159" spans="1:7" s="867" customFormat="1" x14ac:dyDescent="0.2">
      <c r="A159" s="938" t="s">
        <v>500</v>
      </c>
      <c r="B159" s="939" t="s">
        <v>2045</v>
      </c>
      <c r="C159" s="940" t="s">
        <v>1466</v>
      </c>
      <c r="D159" s="941" t="s">
        <v>1467</v>
      </c>
      <c r="E159" s="942"/>
      <c r="F159" s="1789">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2048</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2049</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2050</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2051</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1996</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1997</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2052</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2053</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2054</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2055</v>
      </c>
      <c r="E174" s="1787" t="s">
        <v>958</v>
      </c>
      <c r="F174" s="1788">
        <f>SUM(F84:F132,F157:F172)</f>
        <v>401793</v>
      </c>
    </row>
    <row r="175" spans="1:7" ht="12" customHeight="1" x14ac:dyDescent="0.2">
      <c r="A175" s="1770"/>
      <c r="B175" s="1784"/>
      <c r="C175" s="1785"/>
      <c r="D175" s="1786" t="s">
        <v>2056</v>
      </c>
      <c r="E175" s="1787"/>
      <c r="F175" s="1789">
        <f>'PCTC-OEPP 27-28'!F77-F174</f>
        <v>-125597</v>
      </c>
    </row>
    <row r="176" spans="1:7" ht="12" customHeight="1" x14ac:dyDescent="0.2">
      <c r="A176" s="1770"/>
      <c r="B176" s="1784"/>
      <c r="C176" s="1785"/>
      <c r="D176" s="1786" t="s">
        <v>1817</v>
      </c>
      <c r="E176" s="1787"/>
      <c r="F176" s="1789">
        <f>'Cap Outlay Deprec 26'!I18</f>
        <v>120751</v>
      </c>
    </row>
    <row r="177" spans="1:7" ht="12" customHeight="1" x14ac:dyDescent="0.2">
      <c r="A177" s="1770"/>
      <c r="B177" s="1784"/>
      <c r="C177" s="1785"/>
      <c r="D177" s="1786" t="s">
        <v>2057</v>
      </c>
      <c r="E177" s="1787"/>
      <c r="F177" s="1789">
        <f>F175+F176</f>
        <v>-4846</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2058</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1993</v>
      </c>
      <c r="B182" s="1923"/>
      <c r="C182" s="1924"/>
      <c r="D182" s="1923"/>
      <c r="E182" s="1924"/>
      <c r="F182" s="1923"/>
      <c r="G182" s="1923"/>
    </row>
    <row r="183" spans="1:7" s="1922" customFormat="1" ht="12.2" customHeight="1" x14ac:dyDescent="0.2">
      <c r="A183" s="1925" t="s">
        <v>1995</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1" bottom="0.61" header="0.69" footer="0.32"/>
  <pageSetup scale="70" firstPageNumber="33" orientation="portrait" useFirstPageNumber="1" r:id="rId2"/>
  <headerFooter alignWithMargins="0">
    <oddHeader>&amp;C  Clay, Jasper, Richland, North Wayne Regional Delivery System</oddHeader>
    <oddFooter>&amp;L&amp;8See accompanying notes to the financial statements.&amp;C- &amp;P -</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view="pageLayout" zoomScaleNormal="100" workbookViewId="0">
      <selection activeCell="C18" sqref="C18"/>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1931</v>
      </c>
      <c r="B7" s="2274"/>
      <c r="C7" s="2274"/>
      <c r="D7" s="2274"/>
      <c r="E7" s="2274"/>
      <c r="F7" s="2274"/>
      <c r="G7" s="2275"/>
    </row>
    <row r="8" spans="1:7" ht="15.75" customHeight="1" x14ac:dyDescent="0.25">
      <c r="A8" s="2276" t="s">
        <v>1906</v>
      </c>
      <c r="B8" s="2277"/>
      <c r="C8" s="2277"/>
      <c r="D8" s="2277"/>
      <c r="E8" s="2277"/>
      <c r="F8" s="2277"/>
      <c r="G8" s="2278"/>
    </row>
    <row r="9" spans="1:7" ht="35.25" customHeight="1" x14ac:dyDescent="0.25">
      <c r="A9" s="2273" t="s">
        <v>1934</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1933</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1975</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7" t="s">
        <v>2094</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sheet="1" selectLockedCells="1"/>
  <mergeCells count="6">
    <mergeCell ref="A13:G13"/>
    <mergeCell ref="A4:G5"/>
    <mergeCell ref="A11:G11"/>
    <mergeCell ref="A7:G7"/>
    <mergeCell ref="A8:G8"/>
    <mergeCell ref="A9:G9"/>
  </mergeCells>
  <pageMargins left="0.38" right="0.2" top="0.5" bottom="0" header="0.3" footer="0.22"/>
  <pageSetup scale="82" firstPageNumber="35" fitToHeight="0" orientation="landscape" useFirstPageNumber="1" r:id="rId1"/>
  <headerFooter>
    <oddHeader>&amp;C Clay, Jasper, Richland, North Wayne Regional Delivery System</oddHeader>
    <oddFooter>&amp;LSee accompanying notes to the financial statements.&amp;C-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Layout" topLeftCell="A13" colorId="8" zoomScaleNormal="110" workbookViewId="0">
      <selection activeCell="B18" sqref="B1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84" t="s">
        <v>1976</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180916</v>
      </c>
      <c r="F19" s="1799"/>
      <c r="G19" s="1801">
        <f>'Expenditures 15-22'!K33-SUM('Expenditures 15-22'!G33,'Expenditures 15-22'!I33)+'Expenditures 15-22'!D229</f>
        <v>180916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1066</v>
      </c>
      <c r="F21" s="1802"/>
      <c r="G21" s="1805">
        <f>'Expenditures 15-22'!K42-SUM('Expenditures 15-22'!G42,'Expenditures 15-22'!I42)+'Expenditures 15-22'!K120-SUM('Expenditures 15-22'!G120,'Expenditures 15-22'!I120)+'Expenditures 15-22'!K180-SUM('Expenditures 15-22'!G180,'Expenditures 15-22'!I180)+'Expenditures 15-22'!D238</f>
        <v>1066</v>
      </c>
      <c r="H21" s="987"/>
      <c r="I21" s="162"/>
    </row>
    <row r="22" spans="1:9" s="668" customFormat="1" ht="12" customHeight="1" x14ac:dyDescent="0.2">
      <c r="A22" s="994" t="s">
        <v>564</v>
      </c>
      <c r="B22" s="995"/>
      <c r="C22" s="993">
        <v>2200</v>
      </c>
      <c r="D22" s="1802"/>
      <c r="E22" s="1804">
        <f>'Expenditures 15-22'!K47-SUM('Expenditures 15-22'!G47,'Expenditures 15-22'!I47)+'Expenditures 15-22'!D243</f>
        <v>15843</v>
      </c>
      <c r="F22" s="1802"/>
      <c r="G22" s="1805">
        <f>'Expenditures 15-22'!K47-SUM('Expenditures 15-22'!G47,'Expenditures 15-22'!I47)+'Expenditures 15-22'!D243</f>
        <v>15843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73371</v>
      </c>
      <c r="F23" s="1802"/>
      <c r="G23" s="1804">
        <f>'Expenditures 15-22'!K53-SUM('Expenditures 15-22'!G53,'Expenditures 15-22'!I53)+'Expenditures 15-22'!D257+'Expenditures 15-22'!K330-SUM('Expenditures 15-22'!G330,'Expenditures 15-22'!I330)</f>
        <v>73371</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5000</v>
      </c>
      <c r="E27" s="1804">
        <f>E8</f>
        <v>0</v>
      </c>
      <c r="F27" s="1804">
        <f>'Expenditures 15-22'!K60-SUM('Expenditures 15-22'!G60,'Expenditures 15-22'!I60)+'Expenditures 15-22'!D264-E8</f>
        <v>5000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5000</v>
      </c>
      <c r="E41" s="1806">
        <f>SUM(E19:E40)</f>
        <v>271196</v>
      </c>
      <c r="F41" s="1806">
        <f>SUM(F19:F39)</f>
        <v>5000</v>
      </c>
      <c r="G41" s="1806">
        <f>SUM(G19:G40)</f>
        <v>271196</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5000</v>
      </c>
      <c r="F43" s="1807" t="s">
        <v>473</v>
      </c>
      <c r="G43" s="1808">
        <f>F41</f>
        <v>5000</v>
      </c>
    </row>
    <row r="44" spans="1:7" ht="12" customHeight="1" x14ac:dyDescent="0.2">
      <c r="A44" s="987"/>
      <c r="B44" s="162"/>
      <c r="C44" s="1001"/>
      <c r="D44" s="1807" t="s">
        <v>474</v>
      </c>
      <c r="E44" s="1808">
        <f>E41</f>
        <v>271196</v>
      </c>
      <c r="F44" s="1807" t="s">
        <v>474</v>
      </c>
      <c r="G44" s="1808">
        <f>G41</f>
        <v>271196</v>
      </c>
    </row>
    <row r="45" spans="1:7" ht="12" customHeight="1" x14ac:dyDescent="0.2">
      <c r="A45" s="987"/>
      <c r="B45" s="162"/>
      <c r="C45" s="162"/>
      <c r="D45" s="1809" t="s">
        <v>1006</v>
      </c>
      <c r="E45" s="1810">
        <f>(E43/E44)</f>
        <v>1.8436850101033939E-2</v>
      </c>
      <c r="F45" s="1809" t="s">
        <v>1006</v>
      </c>
      <c r="G45" s="1810">
        <f>(G43/G44)</f>
        <v>1.8436850101033939E-2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 right="0" top="0.77" bottom="0.49" header="0.39" footer="0.22"/>
  <pageSetup scale="85" firstPageNumber="39" orientation="landscape" useFirstPageNumber="1" r:id="rId1"/>
  <headerFooter alignWithMargins="0">
    <oddHeader>&amp;C&amp;"Arial,Bold" Clay, Jasper, Richland, North Wayne Regional Delivery System
ESTIMATED INDIRECT COST DATA</oddHeader>
    <oddFooter>&amp;L&amp;8See accompanying notes to the financial statements.&amp;C -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8" sqref="A8"/>
      <selection pane="bottomLeft" activeCell="F25" sqref="F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1911</v>
      </c>
      <c r="B2" s="1848"/>
      <c r="C2" s="1887"/>
      <c r="D2" s="1848"/>
      <c r="E2" s="1848"/>
      <c r="F2" s="1849"/>
    </row>
    <row r="3" spans="1:10" x14ac:dyDescent="0.2">
      <c r="A3" s="1887" t="s">
        <v>1977</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 xml:space="preserve"> Clay Jasper Richland N Wayne RDS</v>
      </c>
      <c r="D6" s="2305"/>
      <c r="E6" s="2305"/>
      <c r="F6" s="1852"/>
    </row>
    <row r="7" spans="1:10" ht="11.25" customHeight="1" thickBot="1" x14ac:dyDescent="0.3">
      <c r="A7" s="1850"/>
      <c r="B7" s="1851"/>
      <c r="C7" s="2306">
        <f>COVER!A13</f>
        <v>12013035046</v>
      </c>
      <c r="D7" s="2306"/>
      <c r="E7" s="2306"/>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t="s">
        <v>2064</v>
      </c>
      <c r="D14" s="1865" t="s">
        <v>2064</v>
      </c>
      <c r="E14" s="1868" t="s">
        <v>2064</v>
      </c>
      <c r="F14" s="1867" t="s">
        <v>2085</v>
      </c>
      <c r="H14" s="1878">
        <f t="shared" si="0"/>
        <v>5</v>
      </c>
      <c r="I14" s="1878">
        <f t="shared" si="1"/>
        <v>5</v>
      </c>
      <c r="J14" s="1878">
        <f t="shared" si="2"/>
        <v>5</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2086</v>
      </c>
      <c r="D19" s="1865" t="s">
        <v>2086</v>
      </c>
      <c r="E19" s="1868" t="s">
        <v>2086</v>
      </c>
      <c r="F19" s="1867" t="s">
        <v>2085</v>
      </c>
      <c r="H19" s="1878">
        <f t="shared" si="0"/>
        <v>5</v>
      </c>
      <c r="I19" s="1878">
        <f t="shared" si="1"/>
        <v>5</v>
      </c>
      <c r="J19" s="1878">
        <f t="shared" si="2"/>
        <v>5</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2086</v>
      </c>
      <c r="D25" s="1865" t="s">
        <v>2086</v>
      </c>
      <c r="E25" s="1868" t="s">
        <v>2086</v>
      </c>
      <c r="F25" s="1867" t="s">
        <v>2085</v>
      </c>
      <c r="H25" s="1878">
        <f t="shared" si="0"/>
        <v>5</v>
      </c>
      <c r="I25" s="1878">
        <f t="shared" si="1"/>
        <v>5</v>
      </c>
      <c r="J25" s="1878">
        <f t="shared" si="2"/>
        <v>5</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63" right="0.2" top="0.7" bottom="0.57999999999999996" header="0.43" footer="0.32"/>
  <pageSetup scale="80" orientation="landscape" r:id="rId1"/>
  <headerFooter>
    <oddHeader>&amp;C Clay, Jasper, Richland, North Wayne Regional Delivery System</oddHeader>
    <oddFooter>&amp;L&amp;9See accompanying notes to the financial statements.&amp;C&amp;9- 29 -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colorId="8" zoomScaleNormal="110" workbookViewId="0">
      <selection activeCell="M22" sqref="M2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 xml:space="preserve"> Clay Jasper Richland N Wayne RDS</v>
      </c>
      <c r="J6" s="2315"/>
      <c r="Q6" s="1664"/>
    </row>
    <row r="7" spans="1:17" x14ac:dyDescent="0.2">
      <c r="A7" s="2316" t="s">
        <v>869</v>
      </c>
      <c r="B7" s="2317"/>
      <c r="C7" s="2317"/>
      <c r="D7" s="2317"/>
      <c r="E7" s="2318"/>
      <c r="F7" s="1017"/>
      <c r="G7" s="1009"/>
      <c r="H7" s="1016" t="s">
        <v>372</v>
      </c>
      <c r="I7" s="2319">
        <f>COVER!A13</f>
        <v>12013035046</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1978</v>
      </c>
      <c r="F9" s="1023"/>
      <c r="G9" s="1023"/>
      <c r="H9" s="1896" t="s">
        <v>1979</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73371</v>
      </c>
      <c r="F12" s="1039"/>
      <c r="G12" s="1811">
        <f t="shared" ref="G12:G18" si="0">SUM(E12:F12)</f>
        <v>73371</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73371</v>
      </c>
      <c r="F19" s="1813">
        <f t="shared" si="2"/>
        <v>0</v>
      </c>
      <c r="G19" s="1813">
        <f t="shared" si="2"/>
        <v>73371</v>
      </c>
      <c r="H19" s="1813">
        <f t="shared" si="2"/>
        <v>0</v>
      </c>
      <c r="I19" s="1813">
        <f t="shared" si="2"/>
        <v>0</v>
      </c>
      <c r="J19" s="1813">
        <f t="shared" si="2"/>
        <v>0</v>
      </c>
    </row>
    <row r="20" spans="1:10" ht="13.5" thickTop="1" x14ac:dyDescent="0.2">
      <c r="A20" s="1035">
        <v>9</v>
      </c>
      <c r="B20" s="2326" t="s">
        <v>1980</v>
      </c>
      <c r="C20" s="2326"/>
      <c r="D20" s="2327"/>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1982</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67" header="0.44" footer="0.33"/>
  <pageSetup scale="90" firstPageNumber="31" orientation="landscape" useFirstPageNumber="1" r:id="rId1"/>
  <headerFooter alignWithMargins="0">
    <oddHeader>&amp;C Clay, Jasper, Richland, North Wayne Regional Delivery System</oddHeader>
    <oddFooter>&amp;LSee accompanying notes to the financial statements.&amp;C- 38 -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Layout" topLeftCell="A46" zoomScaleNormal="110" workbookViewId="0">
      <selection activeCell="B60" sqref="B6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2081</v>
      </c>
    </row>
    <row r="6" spans="1:2" x14ac:dyDescent="0.2">
      <c r="A6" s="1068">
        <v>2</v>
      </c>
      <c r="B6" s="329" t="s">
        <v>2082</v>
      </c>
    </row>
    <row r="7" spans="1:2" x14ac:dyDescent="0.2">
      <c r="A7" s="1068"/>
      <c r="B7" s="329" t="s">
        <v>2083</v>
      </c>
    </row>
    <row r="8" spans="1:2" x14ac:dyDescent="0.2">
      <c r="A8" s="1068">
        <v>3</v>
      </c>
      <c r="B8" s="329" t="s">
        <v>2084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row>
    <row r="65" spans="2:2" x14ac:dyDescent="0.2">
      <c r="B65" s="1070"/>
    </row>
  </sheetData>
  <phoneticPr fontId="14" type="noConversion"/>
  <pageMargins left="0.74" right="0.2" top="1.31" bottom="0.75" header="0.8" footer="0.44"/>
  <pageSetup scale="80" firstPageNumber="28" orientation="portrait" useFirstPageNumber="1" r:id="rId1"/>
  <headerFooter alignWithMargins="0">
    <oddHeader>&amp;C Clay, Jasper, Richland, North Wayne Regional Delivery System</oddHeader>
    <oddFooter>&amp;L&amp;9See accompanying notes to the financial statements.&amp;C- 28 -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Layout" zoomScaleNormal="110" workbookViewId="0">
      <selection activeCell="B2" sqref="B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Header>&amp;C Clay, Jasper, Richland, North Wayne Regional Delivery System</oddHeader>
    <oddFooter>&amp;LSee accompanying notes to the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A8" sqref="A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&amp;C Clay, Jasper, Richland, North Wayne Regional Delivery System</oddHeader>
    <oddFooter>&amp;LSee accompanying notes to the financial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H13" sqref="H13"/>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oddFooter>&amp;LSee accompanying notes to the financial statements.</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304800</xdr:colOff>
                <xdr:row>2</xdr:row>
                <xdr:rowOff>114300</xdr:rowOff>
              </from>
              <to>
                <xdr:col>1</xdr:col>
                <xdr:colOff>1219200</xdr:colOff>
                <xdr:row>6</xdr:row>
                <xdr:rowOff>152400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1381125</xdr:colOff>
                <xdr:row>2</xdr:row>
                <xdr:rowOff>133350</xdr:rowOff>
              </from>
              <to>
                <xdr:col>1</xdr:col>
                <xdr:colOff>2286000</xdr:colOff>
                <xdr:row>7</xdr:row>
                <xdr:rowOff>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8" sqref="A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1986</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1987</v>
      </c>
      <c r="B4" s="2354"/>
      <c r="C4" s="2354"/>
      <c r="D4" s="2354"/>
      <c r="E4" s="2354"/>
      <c r="F4" s="2355"/>
      <c r="G4" s="1074"/>
      <c r="H4" s="1074"/>
    </row>
    <row r="5" spans="1:8" ht="14.25" customHeight="1" x14ac:dyDescent="0.2">
      <c r="A5" s="2356" t="s">
        <v>1983</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408357</v>
      </c>
      <c r="C8" s="1815">
        <f>'Acct Summary 7-8'!D8</f>
        <v>0</v>
      </c>
      <c r="D8" s="1815">
        <f>'Acct Summary 7-8'!F8</f>
        <v>0</v>
      </c>
      <c r="E8" s="1815">
        <f>'Acct Summary 7-8'!I8</f>
        <v>0</v>
      </c>
      <c r="F8" s="1815">
        <f>SUM(B8:E8)</f>
        <v>408357</v>
      </c>
    </row>
    <row r="9" spans="1:8" s="1079" customFormat="1" ht="14.25" customHeight="1" thickBot="1" x14ac:dyDescent="0.25">
      <c r="A9" s="1078" t="s">
        <v>1369</v>
      </c>
      <c r="B9" s="1816">
        <f>'Acct Summary 7-8'!C17</f>
        <v>394679</v>
      </c>
      <c r="C9" s="1816">
        <f>'Acct Summary 7-8'!D17</f>
        <v>0</v>
      </c>
      <c r="D9" s="1816">
        <f>'Acct Summary 7-8'!F17</f>
        <v>0</v>
      </c>
      <c r="E9" s="1815"/>
      <c r="F9" s="1815">
        <f>SUM(B9:E9)</f>
        <v>394679</v>
      </c>
    </row>
    <row r="10" spans="1:8" s="1079" customFormat="1" ht="14.25" thickTop="1" thickBot="1" x14ac:dyDescent="0.25">
      <c r="A10" s="1080" t="s">
        <v>1370</v>
      </c>
      <c r="B10" s="1817">
        <f>(B8-B9)</f>
        <v>13678</v>
      </c>
      <c r="C10" s="1817">
        <f>(C8-C9)</f>
        <v>0</v>
      </c>
      <c r="D10" s="1817">
        <f>(D8-D9)</f>
        <v>0</v>
      </c>
      <c r="E10" s="1816">
        <f>(E8-E9)</f>
        <v>0</v>
      </c>
      <c r="F10" s="1818">
        <f>SUM(F8-F9)</f>
        <v>13678</v>
      </c>
    </row>
    <row r="11" spans="1:8" s="1079" customFormat="1" ht="14.25" thickTop="1" thickBot="1" x14ac:dyDescent="0.25">
      <c r="A11" s="1081" t="s">
        <v>1984</v>
      </c>
      <c r="B11" s="1819">
        <f>'Acct Summary 7-8'!C81</f>
        <v>16074</v>
      </c>
      <c r="C11" s="1819">
        <f>'Acct Summary 7-8'!D81</f>
        <v>0</v>
      </c>
      <c r="D11" s="1819">
        <f>'Acct Summary 7-8'!F81</f>
        <v>0</v>
      </c>
      <c r="E11" s="1819">
        <f>'Acct Summary 7-8'!I81</f>
        <v>0</v>
      </c>
      <c r="F11" s="1820">
        <f>SUM(B11:E11)</f>
        <v>16074</v>
      </c>
    </row>
    <row r="12" spans="1:8" ht="16.5" customHeight="1" thickTop="1" x14ac:dyDescent="0.2">
      <c r="A12" s="1082"/>
      <c r="B12" s="1083"/>
      <c r="C12" s="2338" t="str">
        <f>IF(AND(F10&lt;0,F11&gt;=0,ABS(F10*3)&gt;ABS(F11)),A16,IF(AND(F10&lt;0,F11&gt;0,ABS(F10*3)&lt;=ABS(F11)),A17,IF(AND(F10&lt;0,F11&lt;0),A16,IF(F11=0,A19,A18))))</f>
        <v>Balanced - no deficit reduction plan is required.</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&amp;C Clay, Jasper, Richland, North Wayne Regional Delivery System&amp;R&amp;8
</oddHeader>
    <oddFooter>&amp;LSee accompanying notes to the financial statements.&amp;C- 40 -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Layout" colorId="8" zoomScaleNormal="110" workbookViewId="0">
      <selection activeCell="A8" sqref="A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Header>&amp;C Clay, Jasper, Richland, North Wayne Regional Delivery System</oddHeader>
    <oddFooter>&amp;L&amp;8See accompanying notes to the financial statements.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12013035046</v>
      </c>
    </row>
    <row r="3" spans="1:2" x14ac:dyDescent="0.2">
      <c r="A3" t="s">
        <v>956</v>
      </c>
      <c r="B3" s="138" t="str">
        <f>COVER!A15</f>
        <v>Clay, Jasper, Richland, North Wayne</v>
      </c>
    </row>
    <row r="4" spans="1:2" x14ac:dyDescent="0.2">
      <c r="A4" t="s">
        <v>1007</v>
      </c>
      <c r="B4" s="138" t="str">
        <f>COVER!A17</f>
        <v xml:space="preserve"> Clay Jasper Richland N Wayne RDS</v>
      </c>
    </row>
    <row r="5" spans="1:2" x14ac:dyDescent="0.2">
      <c r="A5" t="s">
        <v>704</v>
      </c>
      <c r="B5" s="138" t="str">
        <f>COVER!A38</f>
        <v>Dr. Joel Hackney, Administrative Agent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060-001832</v>
      </c>
    </row>
    <row r="16" spans="1:2" x14ac:dyDescent="0.2">
      <c r="A16" t="s">
        <v>422</v>
      </c>
      <c r="B16" s="138" t="str">
        <f>COVER!T13</f>
        <v>Leymone Hardcastle &amp; Co., Ltd</v>
      </c>
    </row>
    <row r="17" spans="1:2" x14ac:dyDescent="0.2">
      <c r="A17" t="s">
        <v>884</v>
      </c>
      <c r="B17" s="138" t="str">
        <f>COVER!T15</f>
        <v>Sara E. Hanks</v>
      </c>
    </row>
    <row r="18" spans="1:2" x14ac:dyDescent="0.2">
      <c r="A18" t="s">
        <v>1150</v>
      </c>
      <c r="B18" s="138" t="str">
        <f>COVER!T17</f>
        <v>200 West Main Street</v>
      </c>
    </row>
    <row r="19" spans="1:2" x14ac:dyDescent="0.2">
      <c r="A19" t="s">
        <v>886</v>
      </c>
      <c r="B19" s="138" t="str">
        <f>COVER!T25</f>
        <v>sara@hardcastlecpa.com</v>
      </c>
    </row>
    <row r="20" spans="1:2" x14ac:dyDescent="0.2">
      <c r="A20" t="s">
        <v>887</v>
      </c>
      <c r="B20" s="138" t="str">
        <f>COVER!T19</f>
        <v>Salem</v>
      </c>
    </row>
    <row r="21" spans="1:2" x14ac:dyDescent="0.2">
      <c r="A21" t="s">
        <v>479</v>
      </c>
      <c r="B21" s="138" t="str">
        <f>COVER!X19</f>
        <v>IL</v>
      </c>
    </row>
    <row r="22" spans="1:2" x14ac:dyDescent="0.2">
      <c r="A22" t="s">
        <v>888</v>
      </c>
      <c r="B22" s="138">
        <f>COVER!Z19</f>
        <v>62881</v>
      </c>
    </row>
    <row r="23" spans="1:2" x14ac:dyDescent="0.2">
      <c r="A23" t="s">
        <v>1152</v>
      </c>
      <c r="B23" s="138" t="str">
        <f>COVER!T21</f>
        <v>618-548-1002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16074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16074</v>
      </c>
      <c r="D92" s="2" t="str">
        <f t="shared" si="0"/>
        <v>Error?</v>
      </c>
    </row>
    <row r="93" spans="1:4" x14ac:dyDescent="0.2">
      <c r="A93" s="5">
        <v>32</v>
      </c>
      <c r="B93" s="138">
        <f>'Assets-Liab 5-6'!C41</f>
        <v>16074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820320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820320</v>
      </c>
      <c r="C279" s="2" t="s">
        <v>573</v>
      </c>
      <c r="D279" s="2" t="str">
        <f t="shared" si="3"/>
        <v>Error?</v>
      </c>
    </row>
    <row r="280" spans="1:4" x14ac:dyDescent="0.2">
      <c r="A280" s="5">
        <v>219</v>
      </c>
      <c r="B280" s="138">
        <f>'Assets-Liab 5-6'!M40</f>
        <v>820320</v>
      </c>
      <c r="D280" s="2" t="str">
        <f t="shared" si="3"/>
        <v>Error?</v>
      </c>
    </row>
    <row r="281" spans="1:4" x14ac:dyDescent="0.2">
      <c r="A281" s="5">
        <v>220</v>
      </c>
      <c r="B281" s="138">
        <f>'Assets-Liab 5-6'!M41</f>
        <v>820320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28806</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28806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50834</v>
      </c>
      <c r="D733" s="2" t="str">
        <f t="shared" si="10"/>
        <v>Error?</v>
      </c>
    </row>
    <row r="734" spans="1:4" x14ac:dyDescent="0.2">
      <c r="A734" s="5">
        <v>673</v>
      </c>
      <c r="B734" s="138">
        <f>'Expenditures 15-22'!C53</f>
        <v>50834</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50834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79640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9134</v>
      </c>
      <c r="D791" s="2" t="str">
        <f t="shared" si="11"/>
        <v>Error?</v>
      </c>
    </row>
    <row r="792" spans="1:4" x14ac:dyDescent="0.2">
      <c r="A792" s="5">
        <v>731</v>
      </c>
      <c r="B792" s="138">
        <f>'Expenditures 15-22'!D53</f>
        <v>9134</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9134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9134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37898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37898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500</v>
      </c>
      <c r="C843" s="2" t="s">
        <v>573</v>
      </c>
      <c r="D843" s="2" t="str">
        <f t="shared" si="12"/>
        <v>Error?</v>
      </c>
    </row>
    <row r="844" spans="1:4" x14ac:dyDescent="0.2">
      <c r="A844" s="5">
        <v>783</v>
      </c>
      <c r="B844" s="138">
        <f>'Expenditures 15-22'!E44</f>
        <v>15843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15843</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12403</v>
      </c>
      <c r="D849" s="2" t="str">
        <f t="shared" si="12"/>
        <v>Error?</v>
      </c>
    </row>
    <row r="850" spans="1:4" x14ac:dyDescent="0.2">
      <c r="A850" s="5">
        <v>789</v>
      </c>
      <c r="B850" s="138">
        <f>'Expenditures 15-22'!E53</f>
        <v>12403</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5000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33746</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71644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114212</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114212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566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566</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1000</v>
      </c>
      <c r="D907" s="2" t="str">
        <f t="shared" si="13"/>
        <v>Error?</v>
      </c>
    </row>
    <row r="908" spans="1:4" x14ac:dyDescent="0.2">
      <c r="A908" s="5">
        <v>847</v>
      </c>
      <c r="B908" s="138">
        <f>'Expenditures 15-22'!F53</f>
        <v>1000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1566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115778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118483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118483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118483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299399</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299399</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1066</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1066</v>
      </c>
      <c r="C1115" s="2" t="s">
        <v>573</v>
      </c>
      <c r="D1115" s="2" t="str">
        <f t="shared" si="16"/>
        <v>Error?</v>
      </c>
    </row>
    <row r="1116" spans="1:4" x14ac:dyDescent="0.2">
      <c r="A1116" s="5">
        <v>1055</v>
      </c>
      <c r="B1116" s="138">
        <f>'Expenditures 15-22'!K44</f>
        <v>15843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15843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73371</v>
      </c>
      <c r="C1121" s="2" t="s">
        <v>573</v>
      </c>
      <c r="D1121" s="2" t="str">
        <f t="shared" si="16"/>
        <v>Error?</v>
      </c>
    </row>
    <row r="1122" spans="1:4" x14ac:dyDescent="0.2">
      <c r="A1122" s="5">
        <v>1061</v>
      </c>
      <c r="B1122" s="138">
        <f>'Expenditures 15-22'!K53</f>
        <v>73371</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5000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5000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95280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394679</v>
      </c>
      <c r="C1152" s="2" t="s">
        <v>573</v>
      </c>
      <c r="D1152" s="2" t="str">
        <f t="shared" si="17"/>
        <v>Error?</v>
      </c>
    </row>
    <row r="1153" spans="1:4" x14ac:dyDescent="0.2">
      <c r="A1153" s="5">
        <v>1092</v>
      </c>
      <c r="B1153" s="138">
        <f>'Expenditures 15-22'!K115</f>
        <v>13678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2396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16074</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2418</v>
      </c>
      <c r="D2011" s="2" t="str">
        <f t="shared" si="30"/>
        <v>Error?</v>
      </c>
    </row>
    <row r="2012" spans="1:4" x14ac:dyDescent="0.2">
      <c r="A2012" s="5">
        <v>1951</v>
      </c>
      <c r="B2012" s="138">
        <f>'Cap Outlay Deprec 26'!C13</f>
        <v>699419</v>
      </c>
      <c r="D2012" s="2" t="str">
        <f t="shared" si="30"/>
        <v>Error?</v>
      </c>
    </row>
    <row r="2013" spans="1:4" x14ac:dyDescent="0.2">
      <c r="A2013" s="5">
        <v>1952</v>
      </c>
      <c r="B2013" s="138">
        <f>'Cap Outlay Deprec 26'!C16</f>
        <v>701837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118483</v>
      </c>
      <c r="D2018" s="2" t="str">
        <f t="shared" si="30"/>
        <v>Error?</v>
      </c>
    </row>
    <row r="2019" spans="1:4" x14ac:dyDescent="0.2">
      <c r="A2019" s="5">
        <v>1958</v>
      </c>
      <c r="B2019" s="138">
        <f>'Cap Outlay Deprec 26'!D16</f>
        <v>118483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2418</v>
      </c>
      <c r="C2029" s="2" t="s">
        <v>573</v>
      </c>
      <c r="D2029" s="2" t="str">
        <f t="shared" si="30"/>
        <v>Error?</v>
      </c>
    </row>
    <row r="2030" spans="1:4" x14ac:dyDescent="0.2">
      <c r="A2030" s="5">
        <v>1969</v>
      </c>
      <c r="B2030" s="138">
        <f>'Cap Outlay Deprec 26'!F13</f>
        <v>817902</v>
      </c>
      <c r="C2030" s="2" t="s">
        <v>573</v>
      </c>
      <c r="D2030" s="2" t="str">
        <f t="shared" si="30"/>
        <v>Error?</v>
      </c>
    </row>
    <row r="2031" spans="1:4" x14ac:dyDescent="0.2">
      <c r="A2031" s="5">
        <v>1970</v>
      </c>
      <c r="B2031" s="138">
        <f>'Cap Outlay Deprec 26'!F16</f>
        <v>820320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2418</v>
      </c>
      <c r="D2035" s="2" t="str">
        <f t="shared" si="30"/>
        <v>Error?</v>
      </c>
    </row>
    <row r="2036" spans="1:4" x14ac:dyDescent="0.2">
      <c r="A2036" s="5">
        <v>1975</v>
      </c>
      <c r="B2036" s="138">
        <f>'Cap Outlay Deprec 26'!H13</f>
        <v>311036</v>
      </c>
      <c r="D2036" s="2" t="str">
        <f t="shared" si="30"/>
        <v>Error?</v>
      </c>
    </row>
    <row r="2037" spans="1:4" x14ac:dyDescent="0.2">
      <c r="A2037" s="5">
        <v>1976</v>
      </c>
      <c r="B2037" s="138">
        <f>'Cap Outlay Deprec 26'!H16</f>
        <v>313454</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120751</v>
      </c>
      <c r="D2042" s="2" t="str">
        <f t="shared" si="30"/>
        <v>Error?</v>
      </c>
    </row>
    <row r="2043" spans="1:4" x14ac:dyDescent="0.2">
      <c r="A2043" s="5">
        <v>1982</v>
      </c>
      <c r="B2043" s="138">
        <f>'Cap Outlay Deprec 26'!I16</f>
        <v>120751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2418</v>
      </c>
      <c r="C2053" s="2" t="s">
        <v>573</v>
      </c>
      <c r="D2053" s="2" t="str">
        <f t="shared" si="31"/>
        <v>Error?</v>
      </c>
    </row>
    <row r="2054" spans="1:4" x14ac:dyDescent="0.2">
      <c r="A2054" s="5">
        <v>1993</v>
      </c>
      <c r="B2054" s="138">
        <f>'Cap Outlay Deprec 26'!K13</f>
        <v>431787</v>
      </c>
      <c r="C2054" s="2" t="s">
        <v>573</v>
      </c>
      <c r="D2054" s="2" t="str">
        <f t="shared" si="31"/>
        <v>Error?</v>
      </c>
    </row>
    <row r="2055" spans="1:4" x14ac:dyDescent="0.2">
      <c r="A2055" s="5">
        <v>1994</v>
      </c>
      <c r="B2055" s="138">
        <f>'Cap Outlay Deprec 26'!K16</f>
        <v>434205</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386115</v>
      </c>
      <c r="C2060" s="2" t="s">
        <v>573</v>
      </c>
      <c r="D2060" s="2" t="str">
        <f t="shared" si="31"/>
        <v>Error?</v>
      </c>
    </row>
    <row r="2061" spans="1:4" x14ac:dyDescent="0.2">
      <c r="A2061" s="5">
        <v>2000</v>
      </c>
      <c r="B2061" s="138">
        <f>'Cap Outlay Deprec 26'!L16</f>
        <v>386115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6564</v>
      </c>
      <c r="C2551" s="2" t="s">
        <v>573</v>
      </c>
      <c r="D2551" s="2" t="str">
        <f t="shared" si="38"/>
        <v>Error?</v>
      </c>
    </row>
    <row r="2552" spans="1:4" x14ac:dyDescent="0.2">
      <c r="A2552" s="10">
        <v>2491</v>
      </c>
      <c r="D2552" s="2" t="str">
        <f t="shared" si="38"/>
        <v>OK</v>
      </c>
    </row>
    <row r="2553" spans="1:4" x14ac:dyDescent="0.2">
      <c r="A2553" s="5">
        <v>2492</v>
      </c>
      <c r="B2553" s="138">
        <f>'Acct Summary 7-8'!C6</f>
        <v>325543</v>
      </c>
      <c r="C2553" s="2" t="s">
        <v>573</v>
      </c>
      <c r="D2553" s="2" t="str">
        <f t="shared" si="38"/>
        <v>Error?</v>
      </c>
    </row>
    <row r="2554" spans="1:4" x14ac:dyDescent="0.2">
      <c r="A2554" s="5">
        <v>2493</v>
      </c>
      <c r="B2554" s="138">
        <f>'Acct Summary 7-8'!C7</f>
        <v>76250</v>
      </c>
      <c r="C2554" s="2" t="s">
        <v>573</v>
      </c>
      <c r="D2554" s="2" t="str">
        <f t="shared" si="38"/>
        <v>Error?</v>
      </c>
    </row>
    <row r="2555" spans="1:4" x14ac:dyDescent="0.2">
      <c r="A2555" s="5">
        <v>2494</v>
      </c>
      <c r="B2555" s="138">
        <f>'Acct Summary 7-8'!C8</f>
        <v>408357</v>
      </c>
      <c r="C2555" s="2" t="s">
        <v>573</v>
      </c>
      <c r="D2555" s="2" t="str">
        <f t="shared" si="38"/>
        <v>Error?</v>
      </c>
    </row>
    <row r="2556" spans="1:4" x14ac:dyDescent="0.2">
      <c r="A2556" s="5">
        <v>2495</v>
      </c>
      <c r="B2556" s="138">
        <f>'Acct Summary 7-8'!C12</f>
        <v>299399</v>
      </c>
      <c r="C2556" s="2" t="s">
        <v>573</v>
      </c>
      <c r="D2556" s="2" t="str">
        <f t="shared" si="38"/>
        <v>Error?</v>
      </c>
    </row>
    <row r="2557" spans="1:4" x14ac:dyDescent="0.2">
      <c r="A2557" s="5">
        <v>2496</v>
      </c>
      <c r="B2557" s="138">
        <f>'Acct Summary 7-8'!C13</f>
        <v>95280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394679</v>
      </c>
      <c r="C2561" s="2" t="s">
        <v>573</v>
      </c>
      <c r="D2561" s="2" t="str">
        <f t="shared" si="39"/>
        <v>Error?</v>
      </c>
    </row>
    <row r="2562" spans="1:4" x14ac:dyDescent="0.2">
      <c r="A2562" s="5">
        <v>2501</v>
      </c>
      <c r="B2562" s="138">
        <f>'Acct Summary 7-8'!C20</f>
        <v>13678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13678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16074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408357</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394679</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16074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146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6418</v>
      </c>
      <c r="D5119" s="2" t="str">
        <f t="shared" ref="D5119:D5182" si="79">IF(ISBLANK(B5119),"OK",IF(A5119-B5119=0,"OK","Error?"))</f>
        <v>Error?</v>
      </c>
    </row>
    <row r="5120" spans="1:4" x14ac:dyDescent="0.2">
      <c r="A5120" s="5">
        <v>5059</v>
      </c>
      <c r="B5120" s="138">
        <f>'Revenues 9-14'!C108</f>
        <v>6418</v>
      </c>
      <c r="C5120" s="2" t="s">
        <v>573</v>
      </c>
      <c r="D5120" s="2" t="str">
        <f t="shared" si="79"/>
        <v>Error?</v>
      </c>
    </row>
    <row r="5121" spans="1:4" x14ac:dyDescent="0.2">
      <c r="A5121" s="5">
        <v>5060</v>
      </c>
      <c r="B5121" s="138">
        <f>'Revenues 9-14'!C109</f>
        <v>6564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325543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325543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325543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325543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76250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76250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76250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76250</v>
      </c>
      <c r="C5326" s="2" t="s">
        <v>573</v>
      </c>
      <c r="D5326" s="2" t="str">
        <f t="shared" si="82"/>
        <v>Error?</v>
      </c>
    </row>
    <row r="5327" spans="1:5" x14ac:dyDescent="0.2">
      <c r="A5327" s="5">
        <v>5266</v>
      </c>
      <c r="B5327" s="138">
        <f>'Revenues 9-14'!C268</f>
        <v>408357</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13678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0.85093940525071543</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120751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0</v>
      </c>
      <c r="D7797" s="2" t="str">
        <f t="shared" si="127"/>
        <v>Error?</v>
      </c>
      <c r="E7797" s="4" t="s">
        <v>1903</v>
      </c>
    </row>
    <row r="7798" spans="1:5" x14ac:dyDescent="0.2">
      <c r="A7798">
        <v>7737</v>
      </c>
      <c r="B7798" s="138">
        <f>'Contracts Paid in CY 29'!F141</f>
        <v>0</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8" sqref="A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1988</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 xml:space="preserve"> Clay Jasper Richland N Wayne RDS</v>
      </c>
      <c r="B7" s="2382"/>
      <c r="C7" s="2382"/>
      <c r="D7" s="2419"/>
      <c r="E7" s="2420">
        <f>COVER!A13</f>
        <v>12013035046</v>
      </c>
      <c r="F7" s="2421"/>
      <c r="G7" s="2388" t="str">
        <f>COVER!T23</f>
        <v>060-001832</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Leymone Hardcastle &amp; Co., Ltd</v>
      </c>
      <c r="H9" s="2395"/>
      <c r="I9" s="2395"/>
      <c r="J9" s="2395"/>
      <c r="K9" s="2395"/>
      <c r="L9" s="2396"/>
    </row>
    <row r="10" spans="1:29" ht="13.5" customHeight="1" x14ac:dyDescent="0.2">
      <c r="A10" s="2378" t="str">
        <f>COVER!A38</f>
        <v>Dr. Joel Hackney, Administrative Agent</v>
      </c>
      <c r="B10" s="2379"/>
      <c r="C10" s="2379"/>
      <c r="D10" s="2379"/>
      <c r="E10" s="2379"/>
      <c r="F10" s="2380"/>
      <c r="G10" s="2394" t="str">
        <f>COVER!T17</f>
        <v>200 West Main Street</v>
      </c>
      <c r="H10" s="2407"/>
      <c r="I10" s="2407"/>
      <c r="J10" s="2407"/>
      <c r="K10" s="2407"/>
      <c r="L10" s="2408"/>
    </row>
    <row r="11" spans="1:29" ht="13.5" customHeight="1" x14ac:dyDescent="0.2">
      <c r="A11" s="1184" t="s">
        <v>1519</v>
      </c>
      <c r="B11" s="1185"/>
      <c r="C11" s="1186"/>
      <c r="D11" s="1191"/>
      <c r="E11" s="1186"/>
      <c r="F11" s="1190"/>
      <c r="G11" s="2394" t="str">
        <f>COVER!T19</f>
        <v>Salem</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sara@hardcastlecpa.com</v>
      </c>
      <c r="J13" s="2416"/>
      <c r="K13" s="2416"/>
      <c r="L13" s="2417"/>
    </row>
    <row r="14" spans="1:29" ht="13.5" customHeight="1" x14ac:dyDescent="0.2">
      <c r="A14" s="2394" t="str">
        <f>COVER!A19</f>
        <v>600 South Locust Street</v>
      </c>
      <c r="B14" s="2407"/>
      <c r="C14" s="2407"/>
      <c r="D14" s="2407"/>
      <c r="E14" s="2407"/>
      <c r="F14" s="2408"/>
      <c r="G14" s="1195" t="s">
        <v>1185</v>
      </c>
      <c r="H14" s="1193"/>
      <c r="I14" s="1193"/>
      <c r="J14" s="1193"/>
      <c r="K14" s="1193"/>
      <c r="L14" s="1194"/>
    </row>
    <row r="15" spans="1:29" ht="13.5" customHeight="1" x14ac:dyDescent="0.2">
      <c r="A15" s="2394" t="str">
        <f>COVER!A21</f>
        <v>Flora</v>
      </c>
      <c r="B15" s="2407"/>
      <c r="C15" s="2407"/>
      <c r="D15" s="2407"/>
      <c r="E15" s="2407"/>
      <c r="F15" s="2408"/>
      <c r="G15" s="2404" t="str">
        <f>COVER!T15</f>
        <v>Sara E. Hanks</v>
      </c>
      <c r="H15" s="2405"/>
      <c r="I15" s="2405"/>
      <c r="J15" s="2405"/>
      <c r="K15" s="2405"/>
      <c r="L15" s="2406"/>
    </row>
    <row r="16" spans="1:29" ht="12.2" customHeight="1" x14ac:dyDescent="0.2">
      <c r="A16" s="2384">
        <f>COVER!A25</f>
        <v>62839</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t="str">
        <f>COVER!T21</f>
        <v>618-548-1002</v>
      </c>
      <c r="H18" s="2382"/>
      <c r="I18" s="2382"/>
      <c r="J18" s="2382"/>
      <c r="K18" s="2381" t="str">
        <f>COVER!X21</f>
        <v>618-548-1018</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&amp;LSee accompanying notes to the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zoomScaleNormal="125" workbookViewId="0">
      <selection activeCell="D15" sqref="D1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 xml:space="preserve"> Clay Jasper Richland N Wayne RDS</v>
      </c>
      <c r="B1" s="2418"/>
      <c r="C1" s="2418"/>
      <c r="D1" s="2418"/>
    </row>
    <row r="2" spans="1:11" s="1212" customFormat="1" ht="12.75" x14ac:dyDescent="0.2">
      <c r="A2" s="2423">
        <f>'Single Audit Cover'!E7</f>
        <v>12013035046</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 xml:space="preserve">&amp;C
</oddHeader>
    <oddFooter>&amp;LSee accompanying notes to the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A6" sqref="A6:E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 xml:space="preserve"> Clay Jasper Richland N Wayne RDS</v>
      </c>
      <c r="B1" s="2426"/>
      <c r="C1" s="2426"/>
      <c r="D1" s="2426"/>
      <c r="E1" s="2426"/>
    </row>
    <row r="2" spans="1:5" x14ac:dyDescent="0.2">
      <c r="A2" s="2427">
        <f>'Single Audit Cover'!E7</f>
        <v>12013035046</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76250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2060</v>
      </c>
      <c r="B17" s="1259" t="s">
        <v>1236</v>
      </c>
      <c r="C17" s="1259"/>
      <c r="D17" s="1261">
        <f>-SUM('Revenues 9-14'!C264:D264,'Revenues 9-14'!F264:G264)</f>
        <v>0</v>
      </c>
    </row>
    <row r="19" spans="1:4" ht="13.5" thickBot="1" x14ac:dyDescent="0.25">
      <c r="A19" s="1262" t="s">
        <v>1235</v>
      </c>
      <c r="D19" s="1263">
        <f>SUM(D10:D17)</f>
        <v>76250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76250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76250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&amp;LSee accompanying notes to the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zoomScaleNormal="100" workbookViewId="0">
      <selection activeCell="B3" sqref="B3:M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 xml:space="preserve"> Clay Jasper Richland N Wayne RDS</v>
      </c>
      <c r="C1" s="2430"/>
      <c r="D1" s="2430"/>
      <c r="E1" s="2430"/>
      <c r="F1" s="2430"/>
      <c r="G1" s="2430"/>
      <c r="H1" s="2430"/>
      <c r="I1" s="2430"/>
      <c r="J1" s="2430"/>
      <c r="K1" s="2430"/>
      <c r="L1" s="2430"/>
      <c r="M1" s="2430"/>
    </row>
    <row r="2" spans="2:14" ht="15" x14ac:dyDescent="0.2">
      <c r="B2" s="2431">
        <f>'Single Audit Cover'!E7</f>
        <v>12013035046</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1989</v>
      </c>
      <c r="K8" s="1316" t="s">
        <v>1261</v>
      </c>
      <c r="L8" s="1317" t="s">
        <v>1257</v>
      </c>
      <c r="M8" s="1318" t="s">
        <v>30</v>
      </c>
    </row>
    <row r="9" spans="2:14" ht="14.25" x14ac:dyDescent="0.2">
      <c r="B9" s="1322" t="s">
        <v>1259</v>
      </c>
      <c r="C9" s="1310" t="s">
        <v>1735</v>
      </c>
      <c r="D9" s="1311" t="s">
        <v>1736</v>
      </c>
      <c r="E9" s="1319" t="s">
        <v>1839</v>
      </c>
      <c r="F9" s="1320" t="s">
        <v>1989</v>
      </c>
      <c r="G9" s="1321" t="s">
        <v>1839</v>
      </c>
      <c r="H9" s="1314" t="s">
        <v>1582</v>
      </c>
      <c r="I9" s="1316" t="s">
        <v>1989</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 xml:space="preserve">&amp;C
</oddHeader>
    <oddFooter>&amp;LSee accompanying notes to the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Layout" zoomScaleNormal="120" workbookViewId="0">
      <selection activeCell="G12" sqref="G12"/>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 xml:space="preserve"> Clay Jasper Richland N Wayne RDS</v>
      </c>
      <c r="B1" s="2435"/>
      <c r="C1" s="2435"/>
      <c r="D1" s="2435"/>
      <c r="E1" s="2435"/>
      <c r="F1" s="2435"/>
    </row>
    <row r="2" spans="1:7" ht="13.5" customHeight="1" x14ac:dyDescent="0.2">
      <c r="A2" s="2431">
        <f>'Single Audit Cover'!E7</f>
        <v>12013035046</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Footer>&amp;LSee accompanying notes to the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105" colorId="8" zoomScaleNormal="110" workbookViewId="0">
      <selection activeCell="K64" sqref="K6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1945</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2072</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39" right="0.16" top="0.43" bottom="0.55000000000000004" header="0.43" footer="0.33"/>
  <pageSetup scale="85" firstPageNumber="7" orientation="portrait" useFirstPageNumber="1" r:id="rId1"/>
  <headerFooter alignWithMargins="0">
    <oddHeader>&amp;C Clay, Jasper, Richland, North Wayne Regional Delivery System</oddHeader>
    <oddFooter>&amp;L&amp;9See accompanying notes to the financial statements.&amp;C- &amp;P -</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topLeftCell="A10" zoomScaleNormal="110" workbookViewId="0">
      <selection activeCell="D30" sqref="D30"/>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 xml:space="preserve"> Clay Jasper Richland N Wayne RDS</v>
      </c>
      <c r="C1" s="2451"/>
      <c r="D1" s="2451"/>
      <c r="E1" s="2451"/>
      <c r="F1" s="2451"/>
      <c r="G1" s="2451"/>
      <c r="H1" s="2451"/>
      <c r="I1" s="2451"/>
      <c r="J1" s="1406"/>
    </row>
    <row r="2" spans="2:10" s="317" customFormat="1" ht="12.75" customHeight="1" x14ac:dyDescent="0.2">
      <c r="B2" s="2452">
        <f>'Single Audit Cover'!E7</f>
        <v>12013035046</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2063</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Footer>&amp;LSee accompanying notes to the financial statements.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23"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 xml:space="preserve"> Clay Jasper Richland N Wayne RDS</v>
      </c>
      <c r="C1" s="2450"/>
      <c r="D1" s="2450"/>
      <c r="E1" s="2450"/>
      <c r="F1" s="2450"/>
      <c r="G1" s="2450"/>
      <c r="H1" s="2450"/>
      <c r="I1" s="2450"/>
      <c r="J1" s="2450"/>
      <c r="K1" s="2450"/>
      <c r="L1" s="1371"/>
      <c r="M1" s="1371"/>
    </row>
    <row r="2" spans="1:13" ht="12" customHeight="1" x14ac:dyDescent="0.2">
      <c r="B2" s="2452">
        <f>'Single Audit Cover'!E7</f>
        <v>12013035046</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1990</v>
      </c>
      <c r="D10" s="1383">
        <v>1</v>
      </c>
      <c r="E10" s="322"/>
      <c r="F10" s="1384" t="s">
        <v>1295</v>
      </c>
      <c r="G10" s="1385"/>
      <c r="H10" s="1386" t="s">
        <v>1294</v>
      </c>
      <c r="I10" s="1385" t="s">
        <v>2064</v>
      </c>
      <c r="J10" s="1387" t="s">
        <v>1293</v>
      </c>
      <c r="K10" s="322"/>
      <c r="L10" s="1378"/>
    </row>
    <row r="11" spans="1:13" ht="13.5" customHeight="1" x14ac:dyDescent="0.2">
      <c r="B11" s="322"/>
      <c r="C11" s="322"/>
      <c r="D11" s="322"/>
      <c r="E11" s="322"/>
      <c r="F11" s="322"/>
      <c r="G11" s="1380"/>
      <c r="H11" s="322"/>
      <c r="I11" s="1388" t="s">
        <v>1292</v>
      </c>
      <c r="J11" s="322"/>
      <c r="K11" s="1389">
        <v>2014</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t="s">
        <v>2089</v>
      </c>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t="s">
        <v>2087</v>
      </c>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t="s">
        <v>2088</v>
      </c>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t="s">
        <v>2090</v>
      </c>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t="s">
        <v>2091</v>
      </c>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t="s">
        <v>2092</v>
      </c>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t="s">
        <v>2093</v>
      </c>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7" right="0.27" top="0.68" bottom="0.82" header="0.26" footer="0.45"/>
  <pageSetup firstPageNumber="41" orientation="portrait" useFirstPageNumber="1" r:id="rId1"/>
  <headerFooter alignWithMargins="0">
    <oddFooter>&amp;L&amp;9See accompanying notes to the financial statements.&amp;C- 30 -</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Layout" zoomScaleNormal="110" workbookViewId="0">
      <selection activeCell="A8" sqref="A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 xml:space="preserve"> Clay Jasper Richland N Wayne RDS</v>
      </c>
      <c r="C1" s="2477"/>
      <c r="D1" s="2477"/>
      <c r="E1" s="2477"/>
      <c r="F1" s="2477"/>
      <c r="G1" s="2477"/>
      <c r="H1" s="2477"/>
      <c r="I1" s="2477"/>
      <c r="J1" s="2477"/>
      <c r="K1" s="2477"/>
      <c r="L1" s="1449"/>
    </row>
    <row r="2" spans="1:12" ht="12.75" customHeight="1" x14ac:dyDescent="0.2">
      <c r="B2" s="2478">
        <f>'Single Audit Cover'!E7</f>
        <v>12013035046</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1990</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&amp;LSee accompanying notes to the financial statements.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A8" sqref="A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 xml:space="preserve"> Clay Jasper Richland N Wayne RDS</v>
      </c>
      <c r="C1" s="2450"/>
      <c r="D1" s="2450"/>
      <c r="E1" s="1469"/>
    </row>
    <row r="2" spans="2:5" s="1279" customFormat="1" ht="12.75" customHeight="1" x14ac:dyDescent="0.2">
      <c r="B2" s="2452">
        <f>'Single Audit Cover'!E7</f>
        <v>12013035046</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&amp;LSee accompanying notes to the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32" colorId="8"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408357</v>
      </c>
      <c r="E16" s="356"/>
      <c r="F16" s="1733">
        <f>SUM('Acct Summary 7-8'!C17,'Acct Summary 7-8'!D17,'Acct Summary 7-8'!F17)</f>
        <v>394679</v>
      </c>
      <c r="G16" s="356"/>
      <c r="H16" s="1733">
        <f>SUM(D16-F16)</f>
        <v>13678</v>
      </c>
      <c r="I16" s="222"/>
      <c r="J16" s="1733">
        <f>SUM('Acct Summary 7-8'!C81,'Acct Summary 7-8'!D81,'Acct Summary 7-8'!F81,'Acct Summary 7-8'!I81)</f>
        <v>16074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85" bottom="0.64" header="0.47" footer="0.31"/>
  <pageSetup scale="90" firstPageNumber="3" orientation="portrait" useFirstPageNumber="1" r:id="rId1"/>
  <headerFooter alignWithMargins="0">
    <oddHeader>&amp;C Clay, Jasper, Richland, North Wayne Regional Delivery System</oddHeader>
    <oddFooter>&amp;LSee accompanying notes to the financial statements.&amp;C- 9 -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4" zoomScaleNormal="110" workbookViewId="0">
      <selection activeCell="A8" sqref="A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 Clay Jasper Richland N Wayne RDS</v>
      </c>
      <c r="E7" s="391"/>
      <c r="G7" s="252"/>
      <c r="H7" s="387"/>
      <c r="I7" s="387"/>
      <c r="J7" s="387"/>
      <c r="K7" s="387"/>
      <c r="L7" s="329"/>
      <c r="M7" s="329"/>
      <c r="N7" s="329"/>
      <c r="O7" s="329"/>
      <c r="P7" s="329"/>
    </row>
    <row r="8" spans="1:18" ht="12.75" x14ac:dyDescent="0.2">
      <c r="A8" s="329"/>
      <c r="B8" s="329"/>
      <c r="C8" s="389" t="s">
        <v>1125</v>
      </c>
      <c r="D8" s="392">
        <f>COVER!A13</f>
        <v>12013035046</v>
      </c>
      <c r="E8" s="393"/>
      <c r="G8" s="329"/>
      <c r="H8" s="329"/>
      <c r="I8" s="329"/>
      <c r="J8" s="329"/>
      <c r="K8" s="329"/>
      <c r="L8" s="329"/>
      <c r="M8" s="329"/>
      <c r="N8" s="329"/>
      <c r="O8" s="329"/>
      <c r="P8" s="329"/>
    </row>
    <row r="9" spans="1:18" ht="12.75" x14ac:dyDescent="0.2">
      <c r="A9" s="329"/>
      <c r="B9" s="329"/>
      <c r="C9" s="389" t="s">
        <v>713</v>
      </c>
      <c r="D9" s="394" t="str">
        <f>COVER!A15</f>
        <v>Clay, Jasper, Richland, North Wayne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16074</v>
      </c>
      <c r="I12" s="404"/>
      <c r="J12" s="404"/>
      <c r="K12" s="405">
        <f>TRUNC((H12/H13*100000),5)/100000</f>
        <v>3.9362616499999996E-2</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408357</v>
      </c>
      <c r="I13" s="404"/>
      <c r="J13" s="404"/>
      <c r="K13" s="410"/>
      <c r="L13" s="218"/>
      <c r="M13" s="360" t="s">
        <v>1145</v>
      </c>
      <c r="N13" s="360"/>
      <c r="O13" s="411">
        <f>(O11*O12)</f>
        <v>0.7</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394679</v>
      </c>
      <c r="I17" s="404"/>
      <c r="J17" s="416"/>
      <c r="K17" s="405">
        <f>TRUNC((H17/H18*100000),5)/100000</f>
        <v>0.96650479840000003</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408357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16074</v>
      </c>
      <c r="I24" s="422"/>
      <c r="J24" s="422"/>
      <c r="K24" s="423">
        <f>TRUNC(((H24/H25*100000)/100000),2)</f>
        <v>14.66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1096.3305600000001</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8000000000000003" top="0.8" bottom="0.68" header="0.39" footer="0.28000000000000003"/>
  <pageSetup scale="85" firstPageNumber="4" orientation="landscape" useFirstPageNumber="1" r:id="rId3"/>
  <headerFooter alignWithMargins="0">
    <oddHeader>&amp;C Clay, Jasper, Richland, North Wayne Regional Delivery 
System</oddHeader>
    <oddFooter>&amp;L&amp;8See accompanying notes to the financial statements.&amp;C- 10 -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5" activePane="bottomLeft" state="frozen"/>
      <selection activeCell="A8" sqref="A8"/>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16074</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16074</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820320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820320</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16074</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820320</v>
      </c>
      <c r="N40" s="497"/>
    </row>
    <row r="41" spans="1:14" ht="13.5" customHeight="1" thickBot="1" x14ac:dyDescent="0.25">
      <c r="A41" s="1736" t="s">
        <v>655</v>
      </c>
      <c r="B41" s="1706"/>
      <c r="C41" s="1688">
        <f>(SUM(C34,C37,C38,C39))</f>
        <v>16074</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820320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44" right="0.15" top="0.86" bottom="0.56999999999999995" header="0.4" footer="0.28999999999999998"/>
  <pageSetup scale="75" firstPageNumber="9" orientation="landscape" useFirstPageNumber="1" r:id="rId1"/>
  <headerFooter alignWithMargins="0">
    <oddHeader xml:space="preserve">&amp;C&amp;"Arial,Bold"&amp;8 Clay, Jasper, Richland, North Wayne Regional Delivery System&amp;9
STATEMENT OF ASSETS AND LIABILITIES ARISING FROM CASH TRANSACTIONS
STATEMENT OF POSITION AS OF JUNE 30, 2019
</oddHeader>
    <oddFooter>&amp;L&amp;9See accompanying notes to the financial statements.&amp;C- &amp;P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8" sqref="A8"/>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6564</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325543</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76250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408357</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408357</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299399</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95280</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394679</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394679</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3" t="s">
        <v>1655</v>
      </c>
      <c r="B20" s="2124"/>
      <c r="C20" s="1746">
        <f>C8-C17</f>
        <v>13678</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13678</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1948</v>
      </c>
      <c r="B79" s="534"/>
      <c r="C79" s="478">
        <v>2396</v>
      </c>
      <c r="D79" s="535"/>
      <c r="E79" s="535"/>
      <c r="F79" s="535"/>
      <c r="G79" s="535"/>
      <c r="H79" s="535"/>
      <c r="I79" s="535"/>
      <c r="J79" s="535"/>
      <c r="K79" s="535"/>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1949</v>
      </c>
      <c r="B81" s="2118"/>
      <c r="C81" s="1688">
        <f>(SUM(C78:C80))</f>
        <v>16074</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13678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0.85093940525071543</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37" right="0" top="0.8" bottom="0.53" header="0.26" footer="0.27"/>
  <pageSetup scale="73" firstPageNumber="11" orientation="landscape" useFirstPageNumber="1" r:id="rId1"/>
  <headerFooter alignWithMargins="0">
    <oddHeader xml:space="preserve">&amp;C&amp;"Arial,Bold"&amp;9 Clay, Jasper, Richland, North Wayne Regional Delivery System
STATEMENT OF REVENUES RECEIVED/REVENUES, EXPENDITURES/DISBURSED/EXPENDITURES, 
OTHER SOURCES (USES) AND CHANGES IN FUND BALANCE
ALL FUNDS - FOR THE YEAR ENDING JUNE 30, 2019 </oddHeader>
    <oddFooter>&amp;L&amp;9See accompanying notes to the financial statements.&amp;C - &amp;P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10" activePane="bottomLeft" state="frozen"/>
      <selection activeCell="A8" sqref="A8"/>
      <selection pane="bottomLeft" activeCell="C219" sqref="C21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146</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146</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6418</v>
      </c>
      <c r="D107" s="466"/>
      <c r="E107" s="466"/>
      <c r="F107" s="466"/>
      <c r="G107" s="466"/>
      <c r="H107" s="466"/>
      <c r="I107" s="466"/>
      <c r="J107" s="467"/>
      <c r="K107" s="466"/>
    </row>
    <row r="108" spans="1:12" ht="12.75" customHeight="1" thickBot="1" x14ac:dyDescent="0.25">
      <c r="A108" s="1708" t="s">
        <v>487</v>
      </c>
      <c r="B108" s="1712"/>
      <c r="C108" s="1707">
        <f>SUM(C95:C107)</f>
        <v>6418</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6564</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1935</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325543</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325543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325543</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325543</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76250</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76250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1936</v>
      </c>
      <c r="B261" s="470">
        <v>4981</v>
      </c>
      <c r="C261" s="575"/>
      <c r="D261" s="576"/>
      <c r="E261" s="468"/>
      <c r="F261" s="576"/>
      <c r="G261" s="576"/>
      <c r="H261" s="468"/>
      <c r="I261" s="468"/>
      <c r="J261" s="468"/>
      <c r="K261" s="468"/>
    </row>
    <row r="262" spans="1:11" ht="12.75" customHeight="1" thickTop="1" thickBot="1" x14ac:dyDescent="0.25">
      <c r="A262" s="1931" t="s">
        <v>1937</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76250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76250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408357</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36" right="0.15" top="0.66" bottom="0.46" header="0.31" footer="0.2"/>
  <pageSetup scale="73" firstPageNumber="13" orientation="landscape" useFirstPageNumber="1" r:id="rId1"/>
  <headerFooter alignWithMargins="0">
    <oddHeader>&amp;C&amp;"Arial,Bold"&amp;9 Clay, Jasper, Richland, North Wayne Regional Delivery System
STATEMENT OF REVENUES RECEIVED/REVENUES FOR THE YEAR ENDING JUNE 30, 2019</oddHeader>
    <oddFooter>&amp;L&amp;9See accompanying notes to the financial statements.&amp;C- &amp;P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44" activePane="bottomLeft" state="frozen"/>
      <selection activeCell="A8" sqref="A8"/>
      <selection pane="bottomLeft" activeCell="L367" sqref="L36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v>0</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c r="D8" s="466"/>
      <c r="E8" s="466"/>
      <c r="F8" s="466"/>
      <c r="G8" s="466"/>
      <c r="H8" s="466"/>
      <c r="I8" s="467"/>
      <c r="J8" s="467"/>
      <c r="K8" s="1671">
        <f t="shared" si="0"/>
        <v>0</v>
      </c>
      <c r="L8" s="466">
        <v>0</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c r="D10" s="466"/>
      <c r="E10" s="466"/>
      <c r="F10" s="466"/>
      <c r="G10" s="466"/>
      <c r="H10" s="466"/>
      <c r="I10" s="467"/>
      <c r="J10" s="467"/>
      <c r="K10" s="1671">
        <f t="shared" si="0"/>
        <v>0</v>
      </c>
      <c r="L10" s="466">
        <v>0</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c r="F12" s="466"/>
      <c r="G12" s="466"/>
      <c r="H12" s="466"/>
      <c r="I12" s="467"/>
      <c r="J12" s="467"/>
      <c r="K12" s="1671">
        <f t="shared" si="0"/>
        <v>0</v>
      </c>
      <c r="L12" s="466">
        <v>0</v>
      </c>
    </row>
    <row r="13" spans="1:14" x14ac:dyDescent="0.2">
      <c r="A13" s="1504" t="s">
        <v>723</v>
      </c>
      <c r="B13" s="614">
        <v>1400</v>
      </c>
      <c r="C13" s="466">
        <v>28806</v>
      </c>
      <c r="D13" s="466"/>
      <c r="E13" s="466">
        <v>37898</v>
      </c>
      <c r="F13" s="466">
        <v>114212</v>
      </c>
      <c r="G13" s="466">
        <v>118483</v>
      </c>
      <c r="H13" s="466"/>
      <c r="I13" s="467"/>
      <c r="J13" s="467"/>
      <c r="K13" s="1671">
        <f t="shared" si="0"/>
        <v>299399</v>
      </c>
      <c r="L13" s="466">
        <v>4666</v>
      </c>
    </row>
    <row r="14" spans="1:14" x14ac:dyDescent="0.2">
      <c r="A14" s="1504" t="s">
        <v>963</v>
      </c>
      <c r="B14" s="614">
        <v>1500</v>
      </c>
      <c r="C14" s="466"/>
      <c r="D14" s="466"/>
      <c r="E14" s="466"/>
      <c r="F14" s="466"/>
      <c r="G14" s="466"/>
      <c r="H14" s="466"/>
      <c r="I14" s="467"/>
      <c r="J14" s="467"/>
      <c r="K14" s="1671">
        <f t="shared" si="0"/>
        <v>0</v>
      </c>
      <c r="L14" s="466">
        <v>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28806</v>
      </c>
      <c r="D33" s="1670">
        <f t="shared" ref="D33:L33" si="1">SUM(D5:D32)</f>
        <v>0</v>
      </c>
      <c r="E33" s="1670">
        <f t="shared" si="1"/>
        <v>37898</v>
      </c>
      <c r="F33" s="1670">
        <f t="shared" si="1"/>
        <v>114212</v>
      </c>
      <c r="G33" s="1670">
        <f t="shared" si="1"/>
        <v>118483</v>
      </c>
      <c r="H33" s="1670">
        <f t="shared" si="1"/>
        <v>0</v>
      </c>
      <c r="I33" s="1670">
        <f t="shared" si="1"/>
        <v>0</v>
      </c>
      <c r="J33" s="1670">
        <f t="shared" si="1"/>
        <v>0</v>
      </c>
      <c r="K33" s="1670">
        <f t="shared" si="1"/>
        <v>299399</v>
      </c>
      <c r="L33" s="1670">
        <f t="shared" si="1"/>
        <v>4666</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c r="D37" s="466"/>
      <c r="E37" s="466">
        <v>500</v>
      </c>
      <c r="F37" s="466">
        <v>566</v>
      </c>
      <c r="G37" s="466"/>
      <c r="H37" s="466"/>
      <c r="I37" s="467"/>
      <c r="J37" s="467"/>
      <c r="K37" s="1671">
        <f t="shared" si="2"/>
        <v>1066</v>
      </c>
      <c r="L37" s="466">
        <v>0</v>
      </c>
    </row>
    <row r="38" spans="1:14" x14ac:dyDescent="0.2">
      <c r="A38" s="1504" t="s">
        <v>198</v>
      </c>
      <c r="B38" s="614">
        <v>2130</v>
      </c>
      <c r="C38" s="466"/>
      <c r="D38" s="466"/>
      <c r="E38" s="466"/>
      <c r="F38" s="466"/>
      <c r="G38" s="466"/>
      <c r="H38" s="466"/>
      <c r="I38" s="467"/>
      <c r="J38" s="467"/>
      <c r="K38" s="1671">
        <f t="shared" si="2"/>
        <v>0</v>
      </c>
      <c r="L38" s="466">
        <v>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c r="D41" s="466"/>
      <c r="E41" s="466"/>
      <c r="F41" s="466"/>
      <c r="G41" s="466"/>
      <c r="H41" s="466"/>
      <c r="I41" s="467"/>
      <c r="J41" s="467"/>
      <c r="K41" s="1671">
        <f t="shared" si="2"/>
        <v>0</v>
      </c>
      <c r="L41" s="466">
        <v>0</v>
      </c>
    </row>
    <row r="42" spans="1:14" ht="12.75" customHeight="1" thickBot="1" x14ac:dyDescent="0.25">
      <c r="A42" s="1668" t="s">
        <v>560</v>
      </c>
      <c r="B42" s="1669" t="s">
        <v>716</v>
      </c>
      <c r="C42" s="1670">
        <f>SUM(C36:C41)</f>
        <v>0</v>
      </c>
      <c r="D42" s="1670">
        <f t="shared" ref="D42:L42" si="3">SUM(D36:D41)</f>
        <v>0</v>
      </c>
      <c r="E42" s="1670">
        <f t="shared" si="3"/>
        <v>500</v>
      </c>
      <c r="F42" s="1670">
        <f t="shared" si="3"/>
        <v>566</v>
      </c>
      <c r="G42" s="1670">
        <f t="shared" si="3"/>
        <v>0</v>
      </c>
      <c r="H42" s="1670">
        <f t="shared" si="3"/>
        <v>0</v>
      </c>
      <c r="I42" s="1670">
        <f t="shared" si="3"/>
        <v>0</v>
      </c>
      <c r="J42" s="1670">
        <f t="shared" si="3"/>
        <v>0</v>
      </c>
      <c r="K42" s="1670">
        <f t="shared" si="3"/>
        <v>1066</v>
      </c>
      <c r="L42" s="1670">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15843</v>
      </c>
      <c r="F44" s="481"/>
      <c r="G44" s="481"/>
      <c r="H44" s="481"/>
      <c r="I44" s="467"/>
      <c r="J44" s="467"/>
      <c r="K44" s="1672">
        <f>SUM(C44:J44)</f>
        <v>15843</v>
      </c>
      <c r="L44" s="481">
        <v>0</v>
      </c>
    </row>
    <row r="45" spans="1:14" x14ac:dyDescent="0.2">
      <c r="A45" s="1504" t="s">
        <v>815</v>
      </c>
      <c r="B45" s="614">
        <v>2220</v>
      </c>
      <c r="C45" s="466"/>
      <c r="D45" s="466"/>
      <c r="E45" s="466"/>
      <c r="F45" s="466"/>
      <c r="G45" s="466"/>
      <c r="H45" s="466"/>
      <c r="I45" s="467"/>
      <c r="J45" s="467"/>
      <c r="K45" s="1672">
        <f>SUM(C45:J45)</f>
        <v>0</v>
      </c>
      <c r="L45" s="466">
        <v>0</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0</v>
      </c>
      <c r="D47" s="1670">
        <f t="shared" ref="D47:K47" si="4">SUM(D44:D46)</f>
        <v>0</v>
      </c>
      <c r="E47" s="1670">
        <f t="shared" si="4"/>
        <v>15843</v>
      </c>
      <c r="F47" s="1670">
        <f t="shared" si="4"/>
        <v>0</v>
      </c>
      <c r="G47" s="1670">
        <f t="shared" si="4"/>
        <v>0</v>
      </c>
      <c r="H47" s="1670">
        <f t="shared" si="4"/>
        <v>0</v>
      </c>
      <c r="I47" s="1670">
        <f t="shared" si="4"/>
        <v>0</v>
      </c>
      <c r="J47" s="1670">
        <f t="shared" si="4"/>
        <v>0</v>
      </c>
      <c r="K47" s="1670">
        <f t="shared" si="4"/>
        <v>15843</v>
      </c>
      <c r="L47" s="1670">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v>0</v>
      </c>
    </row>
    <row r="50" spans="1:14" x14ac:dyDescent="0.2">
      <c r="A50" s="1504" t="s">
        <v>818</v>
      </c>
      <c r="B50" s="614">
        <v>2320</v>
      </c>
      <c r="C50" s="466">
        <v>50834</v>
      </c>
      <c r="D50" s="466">
        <v>9134</v>
      </c>
      <c r="E50" s="466">
        <v>12403</v>
      </c>
      <c r="F50" s="466">
        <v>1000</v>
      </c>
      <c r="G50" s="466"/>
      <c r="H50" s="466"/>
      <c r="I50" s="467"/>
      <c r="J50" s="467"/>
      <c r="K50" s="1672">
        <f>SUM(C50:J50)</f>
        <v>73371</v>
      </c>
      <c r="L50" s="466">
        <v>26615</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50834</v>
      </c>
      <c r="D53" s="1670">
        <f t="shared" ref="D53:L53" si="5">SUM(D49:D52)</f>
        <v>9134</v>
      </c>
      <c r="E53" s="1670">
        <f t="shared" si="5"/>
        <v>12403</v>
      </c>
      <c r="F53" s="1670">
        <f t="shared" si="5"/>
        <v>1000</v>
      </c>
      <c r="G53" s="1670">
        <f t="shared" si="5"/>
        <v>0</v>
      </c>
      <c r="H53" s="1670">
        <f t="shared" si="5"/>
        <v>0</v>
      </c>
      <c r="I53" s="1670">
        <f t="shared" si="5"/>
        <v>0</v>
      </c>
      <c r="J53" s="1670">
        <f t="shared" si="5"/>
        <v>0</v>
      </c>
      <c r="K53" s="1670">
        <f t="shared" si="5"/>
        <v>73371</v>
      </c>
      <c r="L53" s="1670">
        <f t="shared" si="5"/>
        <v>26615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v>0</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c r="D60" s="466"/>
      <c r="E60" s="466">
        <v>5000</v>
      </c>
      <c r="F60" s="466"/>
      <c r="G60" s="466"/>
      <c r="H60" s="466"/>
      <c r="I60" s="467"/>
      <c r="J60" s="467"/>
      <c r="K60" s="1672">
        <f t="shared" si="7"/>
        <v>5000</v>
      </c>
      <c r="L60" s="466">
        <v>5000</v>
      </c>
      <c r="M60" s="609"/>
      <c r="N60" s="609"/>
    </row>
    <row r="61" spans="1:14" s="343" customFormat="1" x14ac:dyDescent="0.2">
      <c r="A61" s="1504" t="s">
        <v>197</v>
      </c>
      <c r="B61" s="614">
        <v>2540</v>
      </c>
      <c r="C61" s="466"/>
      <c r="D61" s="466"/>
      <c r="E61" s="466"/>
      <c r="F61" s="466"/>
      <c r="G61" s="466"/>
      <c r="H61" s="466"/>
      <c r="I61" s="467"/>
      <c r="J61" s="467"/>
      <c r="K61" s="1672">
        <f t="shared" si="7"/>
        <v>0</v>
      </c>
      <c r="L61" s="466">
        <v>0</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c r="D63" s="466"/>
      <c r="E63" s="466"/>
      <c r="F63" s="466"/>
      <c r="G63" s="466"/>
      <c r="H63" s="466"/>
      <c r="I63" s="467"/>
      <c r="J63" s="467"/>
      <c r="K63" s="1672">
        <f t="shared" si="7"/>
        <v>0</v>
      </c>
      <c r="L63" s="466">
        <v>0</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0</v>
      </c>
      <c r="D65" s="1670">
        <f t="shared" ref="D65:L65" si="8">SUM(D59:D64)</f>
        <v>0</v>
      </c>
      <c r="E65" s="1670">
        <f t="shared" si="8"/>
        <v>5000</v>
      </c>
      <c r="F65" s="1670">
        <f t="shared" si="8"/>
        <v>0</v>
      </c>
      <c r="G65" s="1670">
        <f t="shared" si="8"/>
        <v>0</v>
      </c>
      <c r="H65" s="1670">
        <f t="shared" si="8"/>
        <v>0</v>
      </c>
      <c r="I65" s="1670">
        <f t="shared" si="8"/>
        <v>0</v>
      </c>
      <c r="J65" s="1670">
        <f t="shared" si="8"/>
        <v>0</v>
      </c>
      <c r="K65" s="1670">
        <f t="shared" si="8"/>
        <v>5000</v>
      </c>
      <c r="L65" s="1670">
        <f t="shared" si="8"/>
        <v>5000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c r="F69" s="466"/>
      <c r="G69" s="466"/>
      <c r="H69" s="466"/>
      <c r="I69" s="467"/>
      <c r="J69" s="467"/>
      <c r="K69" s="1672">
        <f>SUM(C69:J69)</f>
        <v>0</v>
      </c>
      <c r="L69" s="466">
        <v>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50834</v>
      </c>
      <c r="D74" s="1677">
        <f t="shared" ref="D74:K74" si="10">SUM(D42,D47,D53,D57,D65,D72,D73)</f>
        <v>9134</v>
      </c>
      <c r="E74" s="1677">
        <f t="shared" si="10"/>
        <v>33746</v>
      </c>
      <c r="F74" s="1677">
        <f t="shared" si="10"/>
        <v>1566</v>
      </c>
      <c r="G74" s="1677">
        <f t="shared" si="10"/>
        <v>0</v>
      </c>
      <c r="H74" s="1677">
        <f t="shared" si="10"/>
        <v>0</v>
      </c>
      <c r="I74" s="1677">
        <f t="shared" si="10"/>
        <v>0</v>
      </c>
      <c r="J74" s="1677">
        <f t="shared" si="10"/>
        <v>0</v>
      </c>
      <c r="K74" s="1677">
        <f t="shared" si="10"/>
        <v>95280</v>
      </c>
      <c r="L74" s="1677">
        <f>SUM(L42,L47,L53,L57,L65,L72,L73)</f>
        <v>31615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c r="I79" s="477"/>
      <c r="J79" s="477"/>
      <c r="K79" s="1671">
        <f t="shared" si="11"/>
        <v>0</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c r="I81" s="477"/>
      <c r="J81" s="477"/>
      <c r="K81" s="1671">
        <f t="shared" si="11"/>
        <v>0</v>
      </c>
      <c r="L81" s="466">
        <v>377130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377130</v>
      </c>
    </row>
    <row r="85" spans="1:12" ht="12.75" customHeight="1" thickTop="1" thickBot="1" x14ac:dyDescent="0.25">
      <c r="A85" s="1511" t="s">
        <v>255</v>
      </c>
      <c r="B85" s="635">
        <v>4210</v>
      </c>
      <c r="C85" s="616"/>
      <c r="D85" s="616"/>
      <c r="E85" s="636"/>
      <c r="F85" s="616"/>
      <c r="G85" s="616"/>
      <c r="H85" s="535"/>
      <c r="I85" s="477"/>
      <c r="J85" s="477"/>
      <c r="K85" s="1677">
        <f>H85</f>
        <v>0</v>
      </c>
      <c r="L85" s="530">
        <v>0</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0</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0</v>
      </c>
      <c r="I102" s="477"/>
      <c r="J102" s="477"/>
      <c r="K102" s="1677">
        <f>SUM(K84,K92,K100,K101)</f>
        <v>0</v>
      </c>
      <c r="L102" s="1677">
        <f>SUM(L84,L92,L100,L101)</f>
        <v>377130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79640</v>
      </c>
      <c r="D114" s="1670">
        <f t="shared" ref="D114:K114" si="13">SUM(D33,D74,D75,D102,D112,D113)</f>
        <v>9134</v>
      </c>
      <c r="E114" s="1670">
        <f t="shared" si="13"/>
        <v>71644</v>
      </c>
      <c r="F114" s="1670">
        <f t="shared" si="13"/>
        <v>115778</v>
      </c>
      <c r="G114" s="1670">
        <f t="shared" si="13"/>
        <v>118483</v>
      </c>
      <c r="H114" s="1670">
        <f>SUM(H33,H74,H75,H102,H112,H113)</f>
        <v>0</v>
      </c>
      <c r="I114" s="1670">
        <f t="shared" si="13"/>
        <v>0</v>
      </c>
      <c r="J114" s="1670">
        <f t="shared" si="13"/>
        <v>0</v>
      </c>
      <c r="K114" s="1670">
        <f t="shared" si="13"/>
        <v>394679</v>
      </c>
      <c r="L114" s="1670">
        <f>SUM(L33,L74,L75,L102,L112,L113)</f>
        <v>413411</v>
      </c>
    </row>
    <row r="115" spans="1:14" ht="13.5" thickTop="1" x14ac:dyDescent="0.2">
      <c r="A115" s="2153" t="s">
        <v>996</v>
      </c>
      <c r="B115" s="2154"/>
      <c r="C115" s="618"/>
      <c r="D115" s="618"/>
      <c r="E115" s="618"/>
      <c r="F115" s="618"/>
      <c r="G115" s="618"/>
      <c r="H115" s="618"/>
      <c r="I115" s="618"/>
      <c r="J115" s="618"/>
      <c r="K115" s="1684">
        <f>'Revenues 9-14'!C268-'Expenditures 15-22'!K114</f>
        <v>13678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2059</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v>0</v>
      </c>
    </row>
    <row r="123" spans="1:14" ht="14.25" thickTop="1" thickBot="1" x14ac:dyDescent="0.25">
      <c r="A123" s="1504" t="s">
        <v>4</v>
      </c>
      <c r="B123" s="614">
        <v>2530</v>
      </c>
      <c r="C123" s="466"/>
      <c r="D123" s="466"/>
      <c r="E123" s="466"/>
      <c r="F123" s="466"/>
      <c r="G123" s="466"/>
      <c r="H123" s="466"/>
      <c r="I123" s="467"/>
      <c r="J123" s="467"/>
      <c r="K123" s="1670">
        <f>SUM(C123:J123)</f>
        <v>0</v>
      </c>
      <c r="L123" s="466">
        <v>0</v>
      </c>
    </row>
    <row r="124" spans="1:14" ht="14.25" thickTop="1" thickBot="1" x14ac:dyDescent="0.25">
      <c r="A124" s="1504" t="s">
        <v>197</v>
      </c>
      <c r="B124" s="614">
        <v>2540</v>
      </c>
      <c r="C124" s="466"/>
      <c r="D124" s="466"/>
      <c r="E124" s="466"/>
      <c r="F124" s="466"/>
      <c r="G124" s="466"/>
      <c r="H124" s="466"/>
      <c r="I124" s="467"/>
      <c r="J124" s="467"/>
      <c r="K124" s="1670">
        <f>SUM(C124:J124)</f>
        <v>0</v>
      </c>
      <c r="L124" s="466">
        <v>0</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c r="I134" s="477"/>
      <c r="J134" s="616"/>
      <c r="K134" s="1672">
        <f>SUM(E134,H134)</f>
        <v>0</v>
      </c>
      <c r="L134" s="481">
        <v>0</v>
      </c>
    </row>
    <row r="135" spans="1:14" x14ac:dyDescent="0.2">
      <c r="A135" s="1504" t="s">
        <v>697</v>
      </c>
      <c r="B135" s="614">
        <v>4140</v>
      </c>
      <c r="C135" s="616"/>
      <c r="D135" s="616"/>
      <c r="E135" s="467"/>
      <c r="F135" s="616"/>
      <c r="G135" s="616"/>
      <c r="H135" s="466"/>
      <c r="I135" s="477"/>
      <c r="J135" s="616"/>
      <c r="K135" s="1672">
        <f>SUM(E135,H135)</f>
        <v>0</v>
      </c>
      <c r="L135" s="466">
        <v>0</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0"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3" t="s">
        <v>1178</v>
      </c>
      <c r="B152" s="2174"/>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v>0</v>
      </c>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v>0</v>
      </c>
    </row>
    <row r="170" spans="1:14" ht="33.75" customHeight="1" x14ac:dyDescent="0.2">
      <c r="A170" s="669" t="s">
        <v>1670</v>
      </c>
      <c r="B170" s="671" t="s">
        <v>31</v>
      </c>
      <c r="C170" s="616"/>
      <c r="D170" s="616"/>
      <c r="E170" s="616"/>
      <c r="F170" s="616"/>
      <c r="G170" s="616"/>
      <c r="H170" s="569"/>
      <c r="I170" s="616"/>
      <c r="J170" s="616"/>
      <c r="K170" s="1671">
        <f>SUM(C170:J170)</f>
        <v>0</v>
      </c>
      <c r="L170" s="569">
        <v>0</v>
      </c>
    </row>
    <row r="171" spans="1:14" ht="15.75" customHeight="1" x14ac:dyDescent="0.2">
      <c r="A171" s="621" t="s">
        <v>766</v>
      </c>
      <c r="B171" s="672" t="s">
        <v>84</v>
      </c>
      <c r="C171" s="616"/>
      <c r="D171" s="616"/>
      <c r="E171" s="466"/>
      <c r="F171" s="616"/>
      <c r="G171" s="616"/>
      <c r="H171" s="569"/>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3" t="s">
        <v>996</v>
      </c>
      <c r="B175" s="215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2059</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v>0</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3" t="s">
        <v>996</v>
      </c>
      <c r="B211" s="215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v>0</v>
      </c>
    </row>
    <row r="216" spans="1:14" x14ac:dyDescent="0.2">
      <c r="A216" s="1504" t="s">
        <v>163</v>
      </c>
      <c r="B216" s="614" t="s">
        <v>967</v>
      </c>
      <c r="C216" s="616"/>
      <c r="D216" s="467"/>
      <c r="E216" s="616"/>
      <c r="F216" s="616"/>
      <c r="G216" s="616"/>
      <c r="H216" s="616"/>
      <c r="I216" s="616"/>
      <c r="J216" s="616"/>
      <c r="K216" s="1671">
        <f t="shared" ref="K216:K228" si="19">D216</f>
        <v>0</v>
      </c>
      <c r="L216" s="466">
        <v>0</v>
      </c>
    </row>
    <row r="217" spans="1:14" x14ac:dyDescent="0.2">
      <c r="A217" s="1504" t="s">
        <v>164</v>
      </c>
      <c r="B217" s="614">
        <v>1200</v>
      </c>
      <c r="C217" s="616"/>
      <c r="D217" s="466"/>
      <c r="E217" s="616"/>
      <c r="F217" s="616"/>
      <c r="G217" s="616"/>
      <c r="H217" s="616"/>
      <c r="I217" s="616"/>
      <c r="J217" s="616"/>
      <c r="K217" s="1671">
        <f t="shared" si="19"/>
        <v>0</v>
      </c>
      <c r="L217" s="466">
        <v>0</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c r="E219" s="616"/>
      <c r="F219" s="616"/>
      <c r="G219" s="616"/>
      <c r="H219" s="616"/>
      <c r="I219" s="616"/>
      <c r="J219" s="616"/>
      <c r="K219" s="1671">
        <f t="shared" si="19"/>
        <v>0</v>
      </c>
      <c r="L219" s="466">
        <v>0</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c r="E222" s="616"/>
      <c r="F222" s="616"/>
      <c r="G222" s="616"/>
      <c r="H222" s="616"/>
      <c r="I222" s="616"/>
      <c r="J222" s="616"/>
      <c r="K222" s="1671">
        <f t="shared" si="19"/>
        <v>0</v>
      </c>
      <c r="L222" s="466">
        <v>0</v>
      </c>
    </row>
    <row r="223" spans="1:14" x14ac:dyDescent="0.2">
      <c r="A223" s="1504" t="s">
        <v>963</v>
      </c>
      <c r="B223" s="614">
        <v>1500</v>
      </c>
      <c r="C223" s="616"/>
      <c r="D223" s="466"/>
      <c r="E223" s="616"/>
      <c r="F223" s="616"/>
      <c r="G223" s="616"/>
      <c r="H223" s="616"/>
      <c r="I223" s="616"/>
      <c r="J223" s="616"/>
      <c r="K223" s="1671">
        <f t="shared" si="19"/>
        <v>0</v>
      </c>
      <c r="L223" s="466">
        <v>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c r="E234" s="616"/>
      <c r="F234" s="616"/>
      <c r="G234" s="616"/>
      <c r="H234" s="616"/>
      <c r="I234" s="616"/>
      <c r="J234" s="616"/>
      <c r="K234" s="1671">
        <f t="shared" si="20"/>
        <v>0</v>
      </c>
      <c r="L234" s="466">
        <v>0</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v>0</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v>0</v>
      </c>
    </row>
    <row r="246" spans="1:12" x14ac:dyDescent="0.2">
      <c r="A246" s="1504" t="s">
        <v>818</v>
      </c>
      <c r="B246" s="614">
        <v>2320</v>
      </c>
      <c r="C246" s="616"/>
      <c r="D246" s="466"/>
      <c r="E246" s="616"/>
      <c r="F246" s="616"/>
      <c r="G246" s="616"/>
      <c r="H246" s="616"/>
      <c r="I246" s="616"/>
      <c r="J246" s="616"/>
      <c r="K246" s="1672">
        <f t="shared" ref="K246:K256" si="21">D246</f>
        <v>0</v>
      </c>
      <c r="L246" s="466">
        <v>0</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c r="E254" s="616"/>
      <c r="F254" s="616"/>
      <c r="G254" s="616"/>
      <c r="H254" s="616"/>
      <c r="I254" s="616"/>
      <c r="J254" s="616"/>
      <c r="K254" s="1672">
        <f t="shared" si="21"/>
        <v>0</v>
      </c>
      <c r="L254" s="466">
        <v>0</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v>0</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0</v>
      </c>
    </row>
    <row r="264" spans="1:14" x14ac:dyDescent="0.2">
      <c r="A264" s="1504" t="s">
        <v>463</v>
      </c>
      <c r="B264" s="685">
        <v>2520</v>
      </c>
      <c r="C264" s="616"/>
      <c r="D264" s="466"/>
      <c r="E264" s="616"/>
      <c r="F264" s="616"/>
      <c r="G264" s="616"/>
      <c r="H264" s="616"/>
      <c r="I264" s="616"/>
      <c r="J264" s="616"/>
      <c r="K264" s="1672">
        <f t="shared" ref="K264:K269" si="22">D264</f>
        <v>0</v>
      </c>
      <c r="L264" s="466">
        <v>0</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c r="E266" s="616"/>
      <c r="F266" s="616"/>
      <c r="G266" s="616"/>
      <c r="H266" s="616"/>
      <c r="I266" s="616"/>
      <c r="J266" s="616"/>
      <c r="K266" s="1672">
        <f t="shared" si="22"/>
        <v>0</v>
      </c>
      <c r="L266" s="466">
        <v>0</v>
      </c>
    </row>
    <row r="267" spans="1:14" x14ac:dyDescent="0.2">
      <c r="A267" s="1504" t="s">
        <v>953</v>
      </c>
      <c r="B267" s="614">
        <v>2550</v>
      </c>
      <c r="C267" s="616"/>
      <c r="D267" s="466"/>
      <c r="E267" s="616"/>
      <c r="F267" s="616"/>
      <c r="G267" s="616"/>
      <c r="H267" s="616"/>
      <c r="I267" s="616"/>
      <c r="J267" s="616"/>
      <c r="K267" s="1672">
        <f t="shared" si="22"/>
        <v>0</v>
      </c>
      <c r="L267" s="466">
        <v>0</v>
      </c>
    </row>
    <row r="268" spans="1:14" x14ac:dyDescent="0.2">
      <c r="A268" s="1504" t="s">
        <v>100</v>
      </c>
      <c r="B268" s="614">
        <v>2560</v>
      </c>
      <c r="C268" s="616"/>
      <c r="D268" s="466"/>
      <c r="E268" s="616"/>
      <c r="F268" s="616"/>
      <c r="G268" s="616"/>
      <c r="H268" s="616"/>
      <c r="I268" s="616"/>
      <c r="J268" s="616"/>
      <c r="K268" s="1672">
        <f t="shared" si="22"/>
        <v>0</v>
      </c>
      <c r="L268" s="466">
        <v>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1" t="s">
        <v>505</v>
      </c>
      <c r="B295" s="2172"/>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3" t="s">
        <v>996</v>
      </c>
      <c r="B296" s="2154"/>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v>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6" t="s">
        <v>996</v>
      </c>
      <c r="B343" s="216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v>0</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v>0</v>
      </c>
    </row>
    <row r="355" spans="1:14" ht="12.75" customHeight="1" x14ac:dyDescent="0.2">
      <c r="A355" s="1513" t="s">
        <v>1853</v>
      </c>
      <c r="B355" s="690" t="s">
        <v>1846</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3" t="s">
        <v>996</v>
      </c>
      <c r="B368" s="215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gridLinesSet="0"/>
  <pageMargins left="0.33" right="0.2" top="0.61" bottom="0.39" header="0.25" footer="0.17"/>
  <pageSetup scale="73" firstPageNumber="19" fitToHeight="0" orientation="landscape" useFirstPageNumber="1" r:id="rId1"/>
  <headerFooter alignWithMargins="0">
    <oddHeader>&amp;C&amp;"Arial,Bold"&amp;8 &amp;9Clay, Jasper, Richland, North Wayne Regional Delivery System
STATEMENT OF EXPENDITURES DISBURSED/EXPENDITURES, BUDGET TO ACTUAL
FOR THE YEAR ENDING JUNE 30, 2019</oddHeader>
    <oddFooter>&amp;L&amp;9See accompanying notes to the financial statements.&amp;C- &amp;P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d21dc803-237d-4c68-8692-8d731fd29118"/>
    <ds:schemaRef ds:uri="http://schemas.openxmlformats.org/package/2006/metadata/core-properties"/>
    <ds:schemaRef ds:uri="http://purl.org/dc/elements/1.1/"/>
    <ds:schemaRef ds:uri="http://schemas.microsoft.com/sharepoint/v3"/>
    <ds:schemaRef ds:uri="http://purl.org/dc/dcmitype/"/>
    <ds:schemaRef ds:uri="http://schemas.microsoft.com/office/2006/documentManagement/types"/>
    <ds:schemaRef ds:uri="6ce3111e-7420-4802-b50a-75d4e9a0b980"/>
    <ds:schemaRef ds:uri="http://schemas.microsoft.com/office/infopath/2007/PartnerControls"/>
    <ds:schemaRef ds:uri="4d435f69-8686-490b-bd6d-b153bf22ab50"/>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2019-09-27T20:59:38Z</cp:lastPrinted>
  <dcterms:created xsi:type="dcterms:W3CDTF">2003-10-29T19:06:34Z</dcterms:created>
  <dcterms:modified xsi:type="dcterms:W3CDTF">2019-12-12T15:49:32Z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