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0" i="127"/>
  <c r="B61"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J77" i="4" l="1"/>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6" i="11" l="1"/>
  <c r="B2061" i="106" s="1"/>
  <c r="D2061"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<sst xmlns="http://schemas.openxmlformats.org/spreadsheetml/2006/main" count="5095" uniqueCount="2112">
  <si>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</si>
  <si>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</si>
  <si>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</si>
  <si>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</si>
  <si>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</si>
  <si>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</si>
  <si>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</si>
  <si>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</si>
  <si>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</si>
  <si>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</si>
  <si>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</si>
  <si>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</si>
  <si>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</si>
  <si>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</si>
  <si>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</si>
  <si>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</si>
  <si>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</si>
  <si>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</si>
  <si>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</si>
  <si>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</si>
  <si>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</si>
  <si>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</si>
  <si>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</si>
  <si>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</si>
  <si>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</si>
  <si>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</si>
  <si>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</si>
  <si>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</si>
  <si>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</si>
  <si>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</si>
  <si>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</si>
  <si>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</si>
  <si>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</si>
  <si>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</si>
  <si>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</si>
  <si>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</si>
  <si>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</si>
  <si>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</si>
  <si>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</si>
  <si>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</si>
  <si>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</si>
  <si>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</si>
  <si>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</si>
  <si>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</si>
  <si>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</si>
  <si>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</si>
  <si>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</si>
  <si>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</si>
  <si>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</si>
  <si>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</si>
  <si>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</si>
  <si>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</si>
  <si>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</si>
  <si>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</si>
  <si>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</si>
  <si>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</si>
  <si>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</si>
  <si>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</si>
  <si>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</si>
  <si>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</si>
  <si>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</si>
  <si>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</si>
  <si>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</si>
  <si>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</si>
  <si>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</si>
  <si>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</si>
  <si>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</si>
  <si>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</si>
  <si>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</si>
  <si>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</si>
  <si>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</si>
  <si>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</si>
  <si>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</si>
  <si>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</si>
  <si>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</si>
  <si>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</si>
  <si>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</si>
  <si>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</si>
  <si>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</si>
  <si>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</si>
  <si>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</si>
  <si>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</si>
  <si>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</si>
  <si>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</si>
  <si>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</si>
  <si>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</si>
  <si>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</si>
  <si>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</si>
  <si>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</si>
  <si>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</si>
  <si>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</si>
  <si>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</si>
  <si>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</si>
  <si>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</si>
  <si>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</si>
  <si>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</si>
  <si>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</si>
  <si>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</si>
  <si>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</si>
  <si>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</si>
  <si>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</si>
  <si>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</si>
  <si>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</si>
  <si>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</si>
  <si>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</si>
  <si>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</si>
  <si>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</si>
  <si>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</si>
  <si>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</si>
  <si>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</si>
  <si>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</si>
  <si>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</si>
  <si>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</si>
  <si>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</si>
  <si>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</si>
  <si>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</si>
  <si>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</si>
  <si>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</si>
  <si>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</si>
  <si>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</si>
  <si>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</si>
  <si>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</si>
  <si>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</si>
  <si>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</si>
  <si>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</si>
  <si>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</si>
  <si>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</si>
  <si>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</si>
  <si>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</si>
  <si>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</si>
  <si>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</si>
  <si>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</si>
  <si>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</si>
  <si>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</si>
  <si>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</si>
  <si>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</si>
  <si>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</si>
  <si>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</si>
  <si>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</si>
  <si>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</si>
  <si>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</si>
  <si>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</si>
  <si>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</si>
  <si>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</si>
  <si>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</si>
  <si>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</si>
  <si>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</si>
  <si>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</si>
  <si>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</si>
  <si>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</si>
  <si>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</si>
  <si>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</si>
  <si>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</si>
  <si>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</si>
  <si>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</si>
  <si>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</si>
  <si>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</si>
  <si>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</si>
  <si>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</si>
  <si>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</si>
  <si>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</si>
  <si>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</si>
  <si>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</si>
  <si>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</si>
  <si>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</si>
  <si>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</si>
  <si>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</si>
  <si>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</si>
  <si>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</si>
  <si>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</si>
  <si>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</si>
  <si>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</si>
  <si>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</si>
  <si>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</si>
  <si>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</si>
  <si>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</si>
  <si>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</si>
  <si>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</si>
  <si>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</si>
  <si>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</si>
  <si>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</si>
  <si>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</si>
  <si>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</si>
  <si>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</si>
  <si>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</si>
  <si>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</si>
  <si>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</si>
  <si>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</si>
  <si>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</si>
  <si>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</si>
  <si>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</si>
  <si>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</si>
  <si>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</si>
  <si>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</si>
  <si>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</si>
  <si>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</si>
  <si>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</si>
  <si>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</si>
  <si>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</si>
  <si>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</si>
  <si>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</si>
  <si>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</si>
  <si>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</si>
  <si>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</si>
  <si>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</si>
  <si>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</si>
  <si>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</si>
  <si>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</si>
  <si>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</si>
  <si>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</si>
  <si>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</si>
  <si>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</si>
  <si>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</si>
  <si>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</si>
  <si>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</si>
  <si>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</si>
  <si>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</si>
  <si>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</si>
  <si>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</si>
  <si>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</si>
  <si>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</si>
  <si>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</si>
  <si>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</si>
  <si>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</si>
  <si>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</si>
  <si>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</si>
  <si>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</si>
  <si>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</si>
  <si>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</si>
  <si>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</si>
  <si>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</si>
  <si>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</si>
  <si>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</si>
  <si>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</si>
  <si>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</si>
  <si>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</si>
  <si>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</si>
  <si>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</si>
  <si>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</si>
  <si>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</si>
  <si>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</si>
  <si>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</si>
  <si>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</si>
  <si>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</si>
  <si>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</si>
  <si>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</si>
  <si>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</si>
  <si>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</si>
  <si>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</si>
  <si>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</si>
  <si>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</si>
  <si>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</si>
  <si>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</si>
  <si>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</si>
  <si>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</si>
  <si>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</si>
  <si>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</si>
  <si>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</si>
  <si>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</si>
  <si>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</si>
  <si>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</si>
  <si>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</si>
  <si>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</si>
  <si>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</si>
  <si>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</si>
  <si>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</si>
  <si>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</si>
  <si>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</si>
  <si>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</si>
  <si>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</si>
  <si>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</si>
  <si>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</si>
  <si>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</si>
  <si>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</si>
  <si>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</si>
  <si>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</si>
  <si>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</si>
  <si>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</si>
  <si>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</si>
  <si>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</si>
  <si>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</si>
  <si>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</si>
  <si>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</si>
  <si>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</si>
  <si>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</si>
  <si>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</si>
  <si>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</si>
  <si>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</si>
  <si>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</si>
  <si>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</si>
  <si>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</si>
  <si>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</si>
  <si>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</si>
  <si>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</si>
  <si>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</si>
  <si>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</si>
  <si>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</si>
  <si>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</si>
  <si>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</si>
  <si>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</si>
  <si>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</si>
  <si>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</si>
  <si>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</si>
  <si>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</si>
  <si>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</si>
  <si>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</si>
  <si>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</si>
  <si>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</si>
  <si>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</si>
  <si>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</si>
  <si>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</si>
  <si>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</si>
  <si>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</si>
  <si>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</si>
  <si>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</si>
  <si>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</si>
  <si>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</si>
  <si>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</si>
  <si>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</si>
  <si>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</si>
  <si>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</si>
  <si>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</si>
  <si>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</si>
  <si>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</si>
  <si>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</si>
  <si>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</si>
  <si>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</si>
  <si>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</si>
  <si>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</si>
  <si>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</si>
  <si>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</si>
  <si>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</si>
  <si>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</si>
  <si>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</si>
  <si>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</si>
  <si>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</si>
  <si>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</si>
  <si>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</si>
  <si>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</si>
  <si>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</si>
  <si>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</si>
  <si>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</si>
  <si>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</si>
  <si>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</si>
  <si>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</si>
  <si>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</si>
  <si>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</si>
  <si>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</si>
  <si>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</si>
  <si>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</si>
  <si>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</si>
  <si>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</si>
  <si>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</si>
  <si>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</si>
  <si>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</si>
  <si>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</si>
  <si>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</si>
  <si>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</si>
  <si>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</si>
  <si>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</si>
  <si>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</si>
  <si>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</si>
  <si>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</si>
  <si>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</si>
  <si>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</si>
  <si>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</si>
  <si>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</si>
  <si>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</si>
  <si>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</si>
  <si>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</si>
  <si>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</si>
  <si>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</si>
  <si>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</si>
  <si>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</si>
  <si>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</si>
  <si>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</si>
  <si>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</si>
  <si>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</si>
  <si>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</si>
  <si>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</si>
  <si>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</si>
  <si>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</si>
  <si>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</si>
  <si>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</si>
  <si>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</si>
  <si>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</si>
  <si>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</si>
  <si>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</si>
  <si>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</si>
  <si>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</si>
  <si>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</si>
  <si>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</si>
  <si>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</si>
  <si>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</si>
  <si>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</si>
  <si>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</si>
  <si>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</si>
  <si>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</si>
  <si>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</si>
  <si>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</si>
  <si>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</si>
  <si>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</si>
  <si>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</si>
  <si>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</si>
  <si>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</si>
  <si>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</si>
  <si>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</si>
  <si>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</si>
  <si>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</si>
  <si>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</si>
  <si>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</si>
  <si>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</si>
  <si>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</si>
  <si>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</si>
  <si>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</si>
  <si>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</si>
  <si>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</si>
  <si>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</si>
  <si>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</si>
  <si>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</si>
  <si>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</si>
  <si>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</si>
  <si>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</si>
  <si>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</si>
  <si>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</si>
  <si>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</si>
  <si>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</si>
  <si>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</si>
  <si>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</si>
  <si>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</si>
  <si>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</si>
  <si>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</si>
  <si>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</si>
  <si>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</si>
  <si>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</si>
  <si>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</si>
  <si>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</si>
  <si>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</si>
  <si>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</si>
  <si>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</si>
  <si>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</si>
  <si>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</si>
  <si>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</si>
  <si>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</si>
  <si>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</si>
  <si>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</si>
  <si>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</si>
  <si>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</si>
  <si>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</si>
  <si>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</si>
  <si>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</si>
  <si>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</si>
  <si>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</si>
  <si>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</si>
  <si>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</si>
  <si>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</si>
  <si>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</si>
  <si>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</si>
  <si>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</si>
  <si>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</si>
  <si>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</si>
  <si>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</si>
  <si>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</si>
  <si>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</si>
  <si>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</si>
  <si>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</si>
  <si>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</si>
  <si>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</si>
  <si>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</si>
  <si>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</si>
  <si>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</si>
  <si>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</si>
  <si>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</si>
  <si>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</si>
  <si>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</si>
  <si>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</si>
  <si>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</si>
  <si>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</si>
  <si>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</si>
  <si>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</si>
  <si>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</si>
  <si>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</si>
  <si>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</si>
  <si>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</si>
  <si>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</si>
  <si>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</si>
  <si>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</si>
  <si>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</si>
  <si>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</si>
  <si>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</si>
  <si>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</si>
  <si>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</si>
  <si>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</si>
  <si>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</si>
  <si>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</si>
  <si>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</si>
  <si>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</si>
  <si>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</si>
  <si>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</si>
  <si>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</si>
  <si>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</si>
  <si>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</si>
  <si>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</si>
  <si>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</si>
  <si>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</si>
  <si>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</si>
  <si>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</si>
  <si>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</si>
  <si>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</si>
  <si>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</si>
  <si>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</si>
  <si>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</si>
  <si>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</si>
  <si>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</si>
  <si>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</si>
  <si>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</si>
  <si>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</si>
  <si>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</si>
  <si>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</si>
  <si>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</si>
  <si>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</si>
  <si>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</si>
  <si>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</si>
  <si>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</si>
  <si>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</si>
  <si>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</si>
  <si>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</si>
  <si>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</si>
  <si>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</si>
  <si>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</si>
  <si>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</si>
  <si>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</si>
  <si>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</si>
  <si>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</si>
  <si>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</si>
  <si>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</si>
  <si>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</si>
  <si>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</si>
  <si>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</si>
  <si>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</si>
  <si>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</si>
  <si>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</si>
  <si>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</si>
  <si>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</si>
  <si>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</si>
  <si>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</si>
  <si>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</si>
  <si>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</si>
  <si>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</si>
  <si>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</si>
  <si>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</si>
  <si>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</si>
  <si>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</si>
  <si>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</si>
  <si>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</si>
  <si>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</si>
  <si>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</si>
  <si>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</si>
  <si>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</si>
  <si>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</si>
  <si>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</si>
  <si>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</si>
  <si>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</si>
  <si>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</si>
  <si>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</si>
  <si>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</si>
  <si>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</si>
  <si>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</si>
  <si>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</si>
  <si>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</si>
  <si>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</si>
  <si>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</si>
  <si>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</si>
  <si>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</si>
  <si>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</si>
  <si>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</si>
  <si>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</si>
  <si>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</si>
  <si>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</si>
  <si>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</si>
  <si>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</si>
  <si>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</si>
  <si>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</si>
  <si>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</si>
  <si>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</si>
  <si>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</si>
  <si>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</si>
  <si>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</si>
  <si>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</si>
  <si>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</si>
  <si>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</si>
  <si>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</si>
  <si>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</si>
  <si>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</si>
  <si>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</si>
  <si>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</si>
  <si>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</si>
  <si>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</si>
  <si>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</si>
  <si>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</si>
  <si>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</si>
  <si>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</si>
  <si>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</si>
  <si>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</si>
  <si>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</si>
  <si>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</si>
  <si>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</si>
  <si>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</si>
  <si>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</si>
  <si>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</si>
  <si>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</si>
  <si>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</si>
  <si>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</si>
  <si>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</si>
  <si>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</si>
  <si>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</si>
  <si>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</si>
  <si>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</si>
  <si>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</si>
  <si>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</si>
  <si>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</si>
  <si>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</si>
  <si>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</si>
  <si>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</si>
  <si>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</si>
  <si>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</si>
  <si>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</si>
  <si>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</si>
  <si>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</si>
  <si>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</si>
  <si>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</si>
  <si>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</si>
  <si>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</si>
  <si>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</si>
  <si>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</si>
  <si>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</si>
  <si>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</si>
  <si>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</si>
  <si>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</si>
  <si>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</si>
  <si>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</si>
  <si>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</si>
  <si>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</si>
  <si>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</si>
  <si>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</si>
  <si>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</si>
  <si>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</si>
  <si>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</si>
  <si>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</si>
  <si>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</si>
  <si>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</si>
  <si>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</si>
  <si>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</si>
  <si>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</si>
  <si>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</si>
  <si>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</si>
  <si>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</si>
  <si>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</si>
  <si>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</si>
  <si>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</si>
  <si>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</si>
  <si>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</si>
  <si>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</si>
  <si>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</si>
  <si>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</si>
  <si>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</si>
  <si>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</si>
  <si>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</si>
  <si>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</si>
  <si>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</si>
  <si>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</si>
  <si>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</si>
  <si>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</si>
  <si>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</si>
  <si>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</si>
  <si>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</si>
  <si>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</si>
  <si>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</si>
  <si>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</si>
  <si>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</si>
  <si>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</si>
  <si>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</si>
  <si>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</si>
  <si>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</si>
  <si>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</si>
  <si>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</si>
  <si>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</si>
  <si>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</si>
  <si>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</si>
  <si>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</si>
  <si>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</si>
  <si>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</si>
  <si>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</si>
  <si>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</si>
  <si>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</si>
  <si>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</si>
  <si>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</si>
  <si>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</si>
  <si>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</si>
  <si>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</si>
  <si>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</si>
  <si>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</si>
  <si>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</si>
  <si>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</si>
  <si>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</si>
  <si>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</si>
  <si>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</si>
  <si>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</si>
  <si>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</si>
  <si>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</si>
  <si>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</si>
  <si>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</si>
  <si>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</si>
  <si>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</si>
  <si>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</si>
  <si>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</si>
  <si>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</si>
  <si>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</si>
  <si>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</si>
  <si>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</si>
  <si>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</si>
  <si>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</si>
  <si>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</si>
  <si>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</si>
  <si>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</si>
  <si>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</si>
  <si>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</si>
  <si>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</si>
  <si>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</si>
  <si>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</si>
  <si>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</si>
  <si>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</si>
  <si>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</si>
  <si>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</si>
  <si>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</si>
  <si>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</si>
  <si>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</si>
  <si>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</si>
  <si>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</si>
  <si>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</si>
  <si>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</si>
  <si>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</si>
  <si>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</si>
  <si>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</si>
  <si>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</si>
  <si>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</si>
  <si>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</si>
  <si>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</si>
  <si>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</si>
  <si>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</si>
  <si>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</si>
  <si>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</si>
  <si>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</si>
  <si>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</si>
  <si>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</si>
  <si>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</si>
  <si>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</si>
  <si>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</si>
  <si>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</si>
  <si>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</si>
  <si>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</si>
  <si>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</si>
  <si>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</si>
  <si>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</si>
  <si>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</si>
  <si>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</si>
  <si>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</si>
  <si>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</si>
  <si>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</si>
  <si>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</si>
  <si>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</si>
  <si>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</si>
  <si>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</si>
  <si>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</si>
  <si>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</si>
  <si>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</si>
  <si>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</si>
  <si>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</si>
  <si>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</si>
  <si>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</si>
  <si>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</si>
  <si>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</si>
  <si>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</si>
  <si>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</si>
  <si>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</si>
  <si>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</si>
  <si>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</si>
  <si>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</si>
  <si>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</si>
  <si>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</si>
  <si>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</si>
  <si>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</si>
  <si>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</si>
  <si>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</si>
  <si>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</si>
  <si>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</si>
  <si>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</si>
  <si>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</si>
  <si>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</si>
  <si>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</si>
  <si>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</si>
  <si>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</si>
  <si>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</si>
  <si>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</si>
  <si>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</si>
  <si>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</si>
  <si>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</si>
  <si>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</si>
  <si>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</si>
  <si>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</si>
  <si>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</si>
  <si>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</si>
  <si>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</si>
  <si>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</si>
  <si>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</si>
  <si>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</si>
  <si>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</si>
  <si>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</si>
  <si>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</si>
  <si>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</si>
  <si>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</si>
  <si>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</si>
  <si>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</si>
  <si>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</si>
  <si>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</si>
  <si>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</si>
  <si>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</si>
  <si>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</si>
  <si>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</si>
  <si>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</si>
  <si>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</si>
  <si>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</si>
  <si>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</si>
  <si>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</si>
  <si>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</si>
  <si>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</si>
  <si>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</si>
  <si>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</si>
  <si>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</si>
  <si>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</si>
  <si>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</si>
  <si>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</si>
  <si>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</si>
  <si>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</si>
  <si>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</si>
  <si>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</si>
  <si>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</si>
  <si>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</si>
  <si>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</si>
  <si>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</si>
  <si>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</si>
  <si>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</si>
  <si>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</si>
  <si>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</si>
  <si>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</si>
  <si>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</si>
  <si>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</si>
  <si>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</si>
  <si>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</si>
  <si>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</si>
  <si>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</si>
  <si>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</si>
  <si>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</si>
  <si>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</si>
  <si>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</si>
  <si>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</si>
  <si>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</si>
  <si>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</si>
  <si>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</si>
  <si>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</si>
  <si>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</si>
  <si>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</si>
  <si>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</si>
  <si>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</si>
  <si>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</si>
  <si>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</si>
  <si>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</si>
  <si>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</si>
  <si>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</si>
  <si>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</si>
  <si>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</si>
  <si>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</si>
  <si>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</si>
  <si>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</si>
  <si>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</si>
  <si>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</si>
  <si>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</si>
  <si>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</si>
  <si>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</si>
  <si>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</si>
  <si>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</si>
  <si>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</si>
  <si>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</si>
  <si>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</si>
  <si>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</si>
  <si>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</si>
  <si>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</si>
  <si>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</si>
  <si>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</si>
  <si>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</si>
  <si>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</si>
  <si>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</si>
  <si>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</si>
  <si>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</si>
  <si>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</si>
  <si>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</si>
  <si>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</si>
  <si>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</si>
  <si>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</si>
  <si>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</si>
  <si>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</si>
  <si>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</si>
  <si>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</si>
  <si>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</si>
  <si>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</si>
  <si>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</si>
  <si>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</si>
  <si>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</si>
  <si>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</si>
  <si>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</si>
  <si>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</si>
  <si>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</si>
  <si>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</si>
  <si>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</si>
  <si>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</si>
  <si>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</si>
  <si>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</si>
  <si>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</si>
  <si>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</si>
  <si>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</si>
  <si>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</si>
  <si>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</si>
  <si>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</si>
  <si>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</si>
  <si>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</si>
  <si>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</si>
  <si>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</si>
  <si>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</si>
  <si>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</si>
  <si>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</si>
  <si>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</si>
  <si>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</si>
  <si>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</si>
  <si>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</si>
  <si>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</si>
  <si>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</si>
  <si>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</si>
  <si>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</si>
  <si>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</si>
  <si>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</si>
  <si>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</si>
  <si>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</si>
  <si>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</si>
  <si>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</si>
  <si>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</si>
  <si>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</si>
  <si>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</si>
  <si>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</si>
  <si>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</si>
  <si>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</si>
  <si>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</si>
  <si>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</si>
  <si>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</si>
  <si>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</si>
  <si>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</si>
  <si>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</si>
  <si>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</si>
  <si>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</si>
  <si>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</si>
  <si>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</si>
  <si>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</si>
  <si>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</si>
  <si>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</si>
  <si>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</si>
  <si>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</si>
  <si>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</si>
  <si>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</si>
  <si>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</si>
  <si>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</si>
  <si>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</si>
  <si>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</si>
  <si>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</si>
  <si>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</si>
  <si>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</si>
  <si>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</si>
  <si>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</si>
  <si>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</si>
  <si>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</si>
  <si>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</si>
  <si>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</si>
  <si>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</si>
  <si>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</si>
  <si>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</si>
  <si>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</si>
  <si>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</si>
  <si>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</si>
  <si>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</si>
  <si>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</si>
  <si>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</si>
  <si>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</si>
  <si>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</si>
  <si>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</si>
  <si>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</si>
  <si>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</si>
  <si>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</si>
  <si>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</si>
  <si>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</si>
  <si>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</si>
  <si>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</si>
  <si>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</si>
  <si>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</si>
  <si>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</si>
  <si>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</si>
  <si>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</si>
  <si>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</si>
  <si>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</si>
  <si>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</si>
  <si>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</si>
  <si>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</si>
  <si>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</si>
  <si>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</si>
  <si>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</si>
  <si>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</si>
  <si>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</si>
  <si>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</si>
  <si>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</si>
  <si>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</si>
  <si>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</si>
  <si>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</si>
  <si>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</si>
  <si>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</si>
  <si>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</si>
  <si>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</si>
  <si>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</si>
  <si>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</si>
  <si>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</si>
  <si>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</si>
  <si>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</si>
  <si>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</si>
  <si>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</si>
  <si>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</si>
  <si>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</si>
  <si>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</si>
  <si>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</si>
  <si>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</si>
  <si>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</si>
  <si>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</si>
  <si>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</si>
  <si>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</si>
  <si>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</si>
  <si>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</si>
  <si>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</si>
  <si>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</si>
  <si>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</si>
  <si>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</si>
  <si>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</si>
  <si>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</si>
  <si>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</si>
  <si>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</si>
  <si>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</si>
  <si>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</si>
  <si>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</si>
  <si>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</si>
  <si>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</si>
  <si>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</si>
  <si>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</si>
  <si>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</si>
  <si>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</si>
  <si>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</si>
  <si>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</si>
  <si>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</si>
  <si>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</si>
  <si>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</si>
  <si>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</si>
  <si>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</si>
  <si>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</si>
  <si>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</si>
  <si>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</si>
  <si>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</si>
  <si>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</si>
  <si>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</si>
  <si>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</si>
  <si>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</si>
  <si>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</si>
  <si>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</si>
  <si>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</si>
  <si>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</si>
  <si>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</si>
  <si>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</si>
  <si>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</si>
  <si>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</si>
  <si>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</si>
  <si>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</si>
  <si>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</si>
  <si>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</si>
  <si>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</si>
  <si>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</si>
  <si>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</si>
  <si>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</si>
  <si>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</si>
  <si>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</si>
  <si>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</si>
  <si>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</si>
  <si>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</si>
  <si>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</si>
  <si>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</si>
  <si>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</si>
  <si>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</si>
  <si>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</si>
  <si>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</si>
  <si>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</si>
  <si>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</si>
  <si>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</si>
  <si>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</si>
  <si>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</si>
  <si>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</si>
  <si>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</si>
  <si>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</si>
  <si>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</si>
  <si>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</si>
  <si>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</si>
  <si>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</si>
  <si>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</si>
  <si>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</si>
  <si>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</si>
  <si>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</si>
  <si>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</si>
  <si>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</si>
  <si>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</si>
  <si>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</si>
  <si>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</si>
  <si>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</si>
  <si>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</si>
  <si>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</si>
  <si>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</si>
  <si>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</si>
  <si>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</si>
  <si>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</si>
  <si>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</si>
  <si>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</si>
  <si>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</si>
  <si>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</si>
  <si>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</si>
  <si>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</si>
  <si>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</si>
  <si>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</si>
  <si>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</si>
  <si>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</si>
  <si>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</si>
  <si>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</si>
  <si>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</si>
  <si>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</si>
  <si>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</si>
  <si>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</si>
  <si>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</si>
  <si>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</si>
  <si>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</si>
  <si>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</si>
  <si>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</si>
  <si>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</si>
  <si>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</si>
  <si>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</si>
  <si>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</si>
  <si>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</si>
  <si>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</si>
  <si>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</si>
  <si>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</si>
  <si>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</si>
  <si>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</si>
  <si>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</si>
  <si>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</si>
  <si>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</si>
  <si>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</si>
  <si>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</si>
  <si>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</si>
  <si>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</si>
  <si>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</si>
  <si>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</si>
  <si>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</si>
  <si>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</si>
  <si>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</si>
  <si>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</si>
  <si>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</si>
  <si>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</si>
  <si>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</si>
  <si>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</si>
  <si>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</si>
  <si>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</si>
  <si>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</si>
  <si>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</si>
  <si>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</si>
  <si>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</si>
  <si>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</si>
  <si>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</si>
  <si>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</si>
  <si>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</si>
  <si>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</si>
  <si>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</si>
  <si>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</si>
  <si>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</si>
  <si>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</si>
  <si>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</si>
  <si>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</si>
  <si>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</si>
  <si>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</si>
  <si>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</si>
  <si>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</si>
  <si>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</si>
  <si>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</si>
  <si>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</si>
  <si>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</si>
  <si>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</si>
  <si>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</si>
  <si>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</si>
  <si>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</si>
  <si>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</si>
  <si>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</si>
  <si>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</si>
  <si>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</si>
  <si>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</si>
  <si>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</si>
  <si>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</si>
  <si>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</si>
  <si>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</si>
  <si>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</si>
  <si>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</si>
  <si>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</si>
  <si>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</si>
  <si>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</si>
  <si>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</si>
  <si>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</si>
  <si>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</si>
  <si>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</si>
  <si>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</si>
  <si>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</si>
  <si>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</si>
  <si>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</si>
  <si>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</si>
  <si>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</si>
  <si>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</si>
  <si>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</si>
  <si>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</si>
  <si>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</si>
  <si>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</si>
  <si>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</si>
  <si>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</si>
  <si>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</si>
  <si>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</si>
  <si>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</si>
  <si>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</si>
  <si>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</si>
  <si>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</si>
  <si>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</si>
  <si>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</si>
  <si>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</si>
  <si>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</si>
  <si>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</si>
  <si>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</si>
  <si>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</si>
  <si>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</si>
  <si>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</si>
  <si>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</si>
  <si>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</si>
  <si>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</si>
  <si>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</si>
  <si>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</si>
  <si>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</si>
  <si>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</si>
  <si>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</si>
  <si>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</si>
  <si>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</si>
  <si>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</si>
  <si>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</si>
  <si>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</si>
  <si>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</si>
  <si>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</si>
  <si>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</si>
  <si>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</si>
  <si>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</si>
  <si>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</si>
  <si>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</si>
  <si>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</si>
  <si>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</si>
  <si>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</si>
  <si>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</si>
  <si>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</si>
  <si>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</si>
  <si>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</si>
  <si>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</si>
  <si>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</si>
  <si>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</si>
  <si>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</si>
  <si>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</si>
  <si>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</si>
  <si>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</si>
  <si>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</si>
  <si>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</si>
  <si>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</si>
  <si>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</si>
  <si>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</si>
  <si>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</si>
  <si>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</si>
  <si>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</si>
  <si>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</si>
  <si>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</si>
  <si>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</si>
  <si>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</si>
  <si>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</si>
  <si>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</si>
  <si>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</si>
  <si>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</si>
  <si>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</si>
  <si>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</si>
  <si>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</si>
  <si>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</si>
  <si>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</si>
  <si>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</si>
  <si>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</si>
  <si>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</si>
  <si>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</si>
  <si>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</si>
  <si>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</si>
  <si>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</si>
  <si>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</si>
  <si>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</si>
  <si>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</si>
  <si>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</si>
  <si>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</si>
  <si>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</si>
  <si>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</si>
  <si>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</si>
  <si>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</si>
  <si>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</si>
  <si>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</si>
  <si>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</si>
  <si>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</si>
  <si>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</si>
  <si>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</si>
  <si>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</si>
  <si>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</si>
  <si>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</si>
  <si>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</si>
  <si>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</si>
  <si>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</si>
  <si>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</si>
  <si>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</si>
  <si>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</si>
  <si>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</si>
  <si>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</si>
  <si>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</si>
  <si>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</si>
  <si>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</si>
  <si>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</si>
  <si>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</si>
  <si>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</si>
  <si>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</si>
  <si>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</si>
  <si>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</si>
  <si>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</si>
  <si>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</si>
  <si>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</si>
  <si>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</si>
  <si>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</si>
  <si>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</si>
  <si>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</si>
  <si>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</si>
  <si>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</si>
  <si>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</si>
  <si>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</si>
  <si>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</si>
  <si>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</si>
  <si>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</si>
  <si>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</si>
  <si>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</si>
  <si>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</si>
  <si>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</si>
  <si>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</si>
  <si>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</si>
  <si>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</si>
  <si>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</si>
  <si>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</si>
  <si>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</si>
  <si>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</si>
  <si>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</si>
  <si>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</si>
  <si>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</si>
  <si>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</si>
  <si>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</si>
  <si>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</si>
  <si>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</si>
  <si>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</si>
  <si>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</si>
  <si>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</si>
  <si>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</si>
  <si>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</si>
  <si>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</si>
  <si>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</si>
  <si>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</si>
  <si>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</si>
  <si>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</si>
  <si>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</si>
  <si>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</si>
  <si>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</si>
  <si>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</si>
  <si>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</si>
  <si>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</si>
  <si>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</si>
  <si>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</si>
  <si>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</si>
  <si>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</si>
  <si>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</si>
  <si>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</si>
  <si>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</si>
  <si>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</si>
  <si>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</si>
  <si>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</si>
  <si>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</si>
  <si>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</si>
  <si>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</si>
  <si>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</si>
  <si>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</si>
  <si>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</si>
  <si>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</si>
  <si>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</si>
  <si>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</si>
  <si>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</si>
  <si>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</si>
  <si>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</si>
  <si>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</si>
  <si>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</si>
  <si>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</si>
  <si>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</si>
  <si>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</si>
  <si>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</si>
  <si>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</si>
  <si>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</si>
  <si>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</si>
  <si>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</si>
  <si>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</si>
  <si>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</si>
  <si>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</si>
  <si>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</si>
  <si>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</si>
  <si>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</si>
  <si>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</si>
  <si>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</si>
  <si>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</si>
  <si>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</si>
  <si>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</si>
  <si>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</si>
  <si>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</si>
  <si>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</si>
  <si>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</si>
  <si>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</si>
  <si>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</si>
  <si>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</si>
  <si>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</si>
  <si>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</si>
  <si>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</si>
  <si>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</si>
  <si>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</si>
  <si>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</si>
  <si>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</si>
  <si>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</si>
  <si>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</si>
  <si>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</si>
  <si>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</si>
  <si>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</si>
  <si>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</si>
  <si>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</si>
  <si>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</si>
  <si>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</si>
  <si>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</si>
  <si>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</si>
  <si>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</si>
  <si>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</si>
  <si>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</si>
  <si>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</si>
  <si>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</si>
  <si>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</si>
  <si>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</si>
  <si>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</si>
  <si>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</si>
  <si>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</si>
  <si>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</si>
  <si>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</si>
  <si>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</si>
  <si>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</si>
  <si>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</si>
  <si>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</si>
  <si>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</si>
  <si>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</si>
  <si>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</si>
  <si>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</si>
  <si>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</si>
  <si>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</si>
  <si>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</si>
  <si>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</si>
  <si>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</si>
  <si>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</si>
  <si>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</si>
  <si>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</si>
  <si>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</si>
  <si>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</si>
  <si>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</si>
  <si>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</si>
  <si>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</si>
  <si>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</si>
  <si>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</si>
  <si>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</si>
  <si>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</si>
  <si>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</si>
  <si>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</si>
  <si>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</si>
  <si>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</si>
  <si>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</si>
  <si>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</si>
  <si>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</si>
  <si>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</si>
  <si>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</si>
  <si>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</si>
  <si>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</si>
  <si>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</si>
  <si>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</si>
  <si>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</si>
  <si>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</si>
  <si>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</si>
  <si>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</si>
  <si>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</si>
  <si>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</si>
  <si>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</si>
  <si>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</si>
  <si>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</si>
  <si>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</si>
  <si>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</si>
  <si>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</si>
  <si>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</si>
  <si>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</si>
  <si>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</si>
  <si>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</si>
  <si>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</si>
  <si>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</si>
  <si>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</si>
  <si>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</si>
  <si>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</si>
  <si>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</si>
  <si>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</si>
  <si>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</si>
  <si>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</si>
  <si>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</si>
  <si>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</si>
  <si>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</si>
  <si>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</si>
  <si>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</si>
  <si>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</si>
  <si>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</si>
  <si>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</si>
  <si>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</si>
  <si>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</si>
  <si>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</si>
  <si>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</si>
  <si>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</si>
  <si>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</si>
  <si>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</si>
  <si>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</si>
  <si>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</si>
  <si>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</si>
  <si>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</si>
  <si>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</si>
  <si>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</si>
  <si>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</si>
  <si>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</si>
  <si>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</si>
  <si>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</si>
  <si>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</si>
  <si>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</si>
  <si>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</si>
  <si>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</si>
  <si>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</si>
  <si>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</si>
  <si>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</si>
  <si>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</si>
  <si>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</si>
  <si>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</si>
  <si>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</si>
  <si>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</si>
  <si>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</si>
  <si>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</si>
  <si>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</si>
  <si>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</si>
  <si>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</si>
  <si>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</si>
  <si>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</si>
  <si>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</si>
  <si>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</si>
  <si>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</si>
  <si>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</si>
  <si>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</si>
  <si>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</si>
  <si>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</si>
  <si>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</si>
  <si>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</si>
  <si>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</si>
  <si>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</si>
  <si>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</si>
  <si>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</si>
  <si>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</si>
  <si>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</si>
  <si>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</si>
  <si>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</si>
  <si>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</si>
  <si>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</si>
  <si>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</si>
  <si>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</si>
  <si>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</si>
  <si>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</si>
  <si>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</si>
  <si>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</si>
  <si>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</si>
  <si>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</si>
  <si>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</si>
  <si>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</si>
  <si>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</si>
  <si>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</si>
  <si>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</si>
  <si>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</si>
  <si>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</si>
  <si>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</si>
  <si>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</si>
  <si>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</si>
  <si>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</si>
  <si>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</si>
  <si>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</si>
  <si>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</si>
  <si>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</si>
  <si>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</si>
  <si>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</si>
  <si>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</si>
  <si>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</si>
  <si>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</si>
  <si>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</si>
  <si>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</si>
  <si>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</si>
  <si>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</si>
  <si>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</si>
  <si>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</si>
  <si>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</si>
  <si>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</si>
  <si>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</si>
  <si>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</si>
  <si>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</si>
  <si>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</si>
  <si>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</si>
  <si>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</si>
  <si>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</si>
  <si>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</si>
  <si>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</si>
  <si>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</si>
  <si>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</si>
  <si>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</si>
  <si>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</si>
  <si>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</si>
  <si>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</si>
  <si>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</si>
  <si>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</si>
  <si>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</si>
  <si>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</si>
  <si>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</si>
  <si>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</si>
  <si>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</si>
  <si>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</si>
  <si>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</si>
  <si>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</si>
  <si>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</si>
  <si>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</si>
  <si>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</si>
  <si>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</si>
  <si>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</si>
  <si>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</si>
  <si>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</si>
  <si>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</si>
  <si>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</si>
  <si>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</si>
  <si>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</si>
  <si>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</si>
  <si>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</si>
  <si>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</si>
  <si>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</si>
  <si>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</si>
  <si>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</si>
  <si>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</si>
  <si>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</si>
  <si>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</si>
  <si>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</si>
  <si>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</si>
  <si>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</si>
  <si>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</si>
  <si>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</si>
  <si>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</si>
  <si>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</si>
  <si>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</si>
  <si>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</si>
  <si>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</si>
  <si>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</si>
  <si>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</si>
  <si>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</si>
  <si>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</si>
  <si>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</si>
  <si>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</si>
  <si>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</si>
  <si>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</si>
  <si>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</si>
  <si>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</si>
  <si>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</si>
  <si>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</si>
  <si>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</si>
  <si>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</si>
  <si>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</si>
  <si>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</si>
  <si>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</si>
  <si>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</si>
  <si>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</si>
  <si>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</si>
  <si>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</si>
  <si>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</si>
  <si>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</si>
  <si>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</si>
  <si>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</si>
  <si>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</si>
  <si>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</si>
  <si>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</si>
  <si>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</si>
  <si>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</si>
  <si>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</si>
  <si>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</si>
  <si>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</si>
  <si>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</si>
  <si>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</si>
  <si>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</si>
  <si>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</si>
  <si>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</si>
  <si>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</si>
  <si>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</si>
  <si>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</si>
  <si>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</si>
  <si>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</si>
  <si>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</si>
  <si>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</si>
  <si>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</si>
  <si>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</si>
  <si>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</si>
  <si>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</si>
  <si>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</si>
  <si>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</si>
  <si>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</si>
  <si>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</si>
  <si>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</si>
  <si>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</si>
  <si>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</si>
  <si>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</si>
  <si>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</si>
  <si>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</si>
  <si>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</si>
  <si>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</si>
  <si>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</si>
  <si>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</si>
  <si>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</si>
  <si>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</si>
  <si>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</si>
  <si>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</si>
  <si>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</si>
  <si>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</si>
  <si>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</si>
  <si>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</si>
  <si>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</si>
  <si>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</si>
  <si>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</si>
  <si>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</si>
  <si>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</si>
  <si>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</si>
  <si>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</si>
  <si>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</si>
  <si>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</si>
  <si>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</si>
  <si>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</si>
  <si>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</si>
  <si>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</si>
  <si>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</si>
  <si>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</si>
  <si>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</si>
  <si>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</si>
  <si>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</si>
  <si>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</si>
  <si>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</si>
  <si>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</si>
  <si>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</si>
  <si>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</si>
  <si>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</si>
  <si>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</si>
  <si>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</si>
  <si>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</si>
  <si>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</si>
  <si>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</si>
  <si>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</si>
  <si>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</si>
  <si>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</si>
  <si>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</si>
  <si>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</si>
  <si>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</si>
  <si>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</si>
  <si>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</si>
  <si>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</si>
  <si>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</si>
  <si>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</si>
  <si>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</si>
  <si>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</si>
  <si>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</si>
  <si>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</si>
  <si>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</si>
  <si>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</si>
  <si>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</si>
  <si>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</si>
  <si>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</si>
  <si>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</si>
  <si>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</si>
  <si>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</si>
  <si>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</si>
  <si>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</si>
  <si>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</si>
  <si>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</si>
  <si>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</si>
  <si>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</si>
  <si>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</si>
  <si>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</si>
  <si>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</si>
  <si>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</si>
  <si>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</si>
  <si>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</si>
  <si>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</si>
  <si>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</si>
  <si>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</si>
  <si>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</si>
  <si>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</si>
  <si>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</si>
  <si>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</si>
  <si>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</si>
  <si>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</si>
  <si>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</si>
  <si>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</si>
  <si>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</si>
  <si>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</si>
  <si>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</si>
  <si>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</si>
  <si>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</si>
  <si>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</si>
  <si>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</si>
  <si>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</si>
  <si>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</si>
  <si>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</si>
  <si>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</si>
  <si>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</si>
  <si>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</si>
  <si>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</si>
  <si>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</si>
  <si>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</si>
  <si>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</si>
  <si>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</si>
  <si>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</si>
  <si>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</si>
  <si>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</si>
  <si>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</si>
  <si>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</si>
  <si>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</si>
  <si>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</si>
  <si>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</si>
  <si>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</si>
  <si>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</si>
  <si>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</si>
  <si>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</si>
  <si>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</si>
  <si>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</si>
  <si>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</si>
  <si>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</si>
  <si>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</si>
  <si>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</si>
  <si>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</si>
  <si>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</si>
  <si>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</si>
  <si>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</si>
  <si>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</si>
  <si>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</si>
  <si>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</si>
  <si>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</si>
  <si>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</si>
  <si>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</si>
  <si>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</si>
  <si>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</si>
  <si>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</si>
  <si>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</si>
  <si>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</si>
  <si>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</si>
  <si>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</si>
  <si>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</si>
  <si>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</si>
  <si>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</si>
  <si>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</si>
  <si>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</si>
  <si>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</si>
  <si>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</si>
  <si>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</si>
  <si>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</si>
  <si>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</si>
  <si>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</si>
  <si>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</si>
  <si>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</si>
  <si>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</si>
  <si>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</si>
  <si>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</si>
  <si>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</si>
  <si>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</si>
  <si>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</si>
  <si>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</si>
  <si>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</si>
  <si>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</si>
  <si>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</si>
  <si>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</si>
  <si>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</si>
  <si>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</si>
  <si>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</si>
  <si>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</si>
  <si>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</si>
  <si>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</si>
  <si>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</si>
  <si>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</si>
  <si>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</si>
  <si>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</si>
  <si>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</si>
  <si>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</si>
  <si>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</si>
  <si>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</si>
  <si>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</si>
  <si>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</si>
  <si>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</si>
  <si>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</si>
  <si>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</si>
  <si>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</si>
  <si>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</si>
  <si>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</si>
  <si>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</si>
  <si>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</si>
  <si>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</si>
  <si>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</si>
  <si>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</si>
  <si>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</si>
  <si>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</si>
  <si>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</si>
  <si>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</si>
  <si>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</si>
  <si>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</si>
  <si>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</si>
  <si>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</si>
  <si>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</si>
  <si>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</si>
  <si>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</si>
  <si>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</si>
  <si>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</si>
  <si>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</si>
  <si>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</si>
  <si>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</si>
  <si>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</si>
  <si>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</si>
  <si>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</si>
  <si>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</si>
  <si>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</si>
  <si>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</si>
  <si>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</si>
  <si>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</si>
  <si>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</si>
  <si>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</si>
  <si>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</si>
  <si>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</si>
  <si>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</si>
  <si>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</si>
  <si>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</si>
  <si>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</si>
  <si>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</si>
  <si>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</si>
  <si>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</si>
  <si>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</si>
  <si>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</si>
  <si>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</si>
  <si>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</si>
  <si>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</si>
  <si>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</si>
  <si>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</si>
  <si>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</si>
  <si>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</si>
  <si>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</si>
  <si>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</si>
  <si>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</si>
  <si>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</si>
  <si>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</si>
  <si>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</si>
  <si>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</si>
  <si>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</si>
  <si>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</si>
  <si>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</si>
  <si>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</si>
  <si>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</si>
  <si>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</si>
  <si>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</si>
  <si>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</si>
  <si>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</si>
  <si>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</si>
  <si>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</si>
  <si>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</si>
  <si>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</si>
  <si>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</si>
  <si>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</si>
  <si>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</si>
  <si>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</si>
  <si>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</si>
  <si>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</si>
  <si>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</si>
  <si>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</si>
  <si>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</si>
  <si>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</si>
  <si>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</si>
  <si>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</si>
  <si>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</si>
  <si>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</si>
  <si>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</si>
  <si>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</si>
  <si>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</si>
  <si>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</si>
  <si>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</si>
  <si>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</si>
  <si>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</si>
  <si>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</si>
  <si>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</si>
  <si>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</si>
  <si>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</si>
  <si>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</si>
  <si>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</si>
  <si>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</si>
  <si>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</si>
  <si>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</si>
  <si>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</si>
  <si>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</si>
  <si>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</si>
  <si>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</si>
  <si>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</si>
  <si>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</si>
  <si>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</si>
  <si>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</si>
  <si>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</si>
  <si>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</si>
  <si>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</si>
  <si>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</si>
  <si>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</si>
  <si>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</si>
  <si>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</si>
  <si>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</si>
  <si>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</si>
  <si>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</si>
  <si>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</si>
  <si>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</si>
  <si>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</si>
  <si>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</si>
  <si>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</si>
  <si>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</si>
  <si>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</si>
  <si>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</si>
  <si>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</si>
  <si>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CHAMPAIGN</t>
  </si>
  <si>
    <t>807 N MATTIS AVE</t>
  </si>
  <si>
    <t>JENNIFER ARMSTRONG</t>
  </si>
  <si>
    <t>armstrongj@rccsec.org</t>
  </si>
  <si>
    <t>217-892-8877</t>
  </si>
  <si>
    <t>217-893-8627</t>
  </si>
  <si>
    <t>Russell Leigh &amp; Associates LLC</t>
  </si>
  <si>
    <t>No applicable contracts.</t>
  </si>
  <si>
    <t>Page 11 - Acct 1999 - Other Local Revenues</t>
  </si>
  <si>
    <t>Col 10 - Educational</t>
  </si>
  <si>
    <t>Refunds &amp; Reimbursements - $12,873</t>
  </si>
  <si>
    <t>Page 13 - Acct 4999 - Other Restricted Revenue from Federal Sources</t>
  </si>
  <si>
    <t>STEP Program - $145,117</t>
  </si>
  <si>
    <t>Auditcheck Tab - #13 - Contracts Paid Error</t>
  </si>
  <si>
    <t>No applicable contracts were paid in the current year.</t>
  </si>
  <si>
    <t>U.S. Department of Education</t>
  </si>
  <si>
    <t xml:space="preserve">     Passed Through the Illinois State Board of Education</t>
  </si>
  <si>
    <t xml:space="preserve">      PreSchool-Flow Through</t>
  </si>
  <si>
    <t>84.137a</t>
  </si>
  <si>
    <t xml:space="preserve">     PreSchool-Flow Through</t>
  </si>
  <si>
    <t xml:space="preserve">     Flow Through</t>
  </si>
  <si>
    <t>84.027a</t>
  </si>
  <si>
    <t>84.037a</t>
  </si>
  <si>
    <t xml:space="preserve">          Total US Dept of Education</t>
  </si>
  <si>
    <t>U.S. Department of Family &amp; Healthcare Services</t>
  </si>
  <si>
    <t xml:space="preserve">     Passed Through Illinois Dept of Healthcare and Family Services</t>
  </si>
  <si>
    <t xml:space="preserve">     Step Program</t>
  </si>
  <si>
    <t xml:space="preserve">     Medicaid-Admin Outreach</t>
  </si>
  <si>
    <t xml:space="preserve">          Total U.S. Department of Family &amp; Healthcare Services</t>
  </si>
  <si>
    <t xml:space="preserve">          Total Federal Finacial Assistance</t>
  </si>
  <si>
    <t>x</t>
  </si>
  <si>
    <t>Of the federal expenditures presented in the schedule, Rural Champaign County Special Education Coop provided federal awards to subrecipients as follows:</t>
  </si>
  <si>
    <t>none</t>
  </si>
  <si>
    <t>no</t>
  </si>
  <si>
    <t>Adverse-Gaap/Unqualified-Regulatory</t>
  </si>
  <si>
    <t>Unmodified</t>
  </si>
  <si>
    <t>IDEA-Flow Through</t>
  </si>
  <si>
    <t>Rural Champaign Co Spec 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</si>
</sst>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84" t="s">
        <v>405</v>
      </c>
      <c r="J1" s="1985"/>
      <c r="K1" s="1985"/>
      <c r="L1" s="1985"/>
      <c r="M1" s="1985"/>
      <c r="N1" s="1985"/>
      <c r="O1" s="1985"/>
      <c r="P1" s="1985"/>
      <c r="Q1" s="1985"/>
      <c r="R1" s="1985"/>
      <c r="S1" s="1985"/>
    </row>
    <row r="2" spans="1:28" ht="12" customHeight="1" x14ac:dyDescent="0.2">
      <c r="A2" s="47" t="s">
        <v>1990</v>
      </c>
      <c r="D2" s="48"/>
      <c r="I2" s="1986" t="s">
        <v>979</v>
      </c>
      <c r="J2" s="1985"/>
      <c r="K2" s="1985"/>
      <c r="L2" s="1985"/>
      <c r="M2" s="1985"/>
      <c r="N2" s="1985"/>
      <c r="O2" s="1985"/>
      <c r="P2" s="1985"/>
      <c r="Q2" s="1985"/>
      <c r="R2" s="1985"/>
      <c r="S2" s="1985"/>
    </row>
    <row r="3" spans="1:28" ht="12" customHeight="1" x14ac:dyDescent="0.2">
      <c r="A3" s="155" t="s">
        <v>1942</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c r="C5" s="26" t="s">
        <v>910</v>
      </c>
      <c r="D5" s="84"/>
      <c r="E5" s="84"/>
      <c r="H5" s="38"/>
      <c r="I5" s="1994" t="s">
        <v>680</v>
      </c>
      <c r="J5" s="1993"/>
      <c r="K5" s="1993"/>
      <c r="L5" s="1993"/>
      <c r="M5" s="1993"/>
      <c r="N5" s="1993"/>
      <c r="O5" s="1993"/>
      <c r="P5" s="1993"/>
      <c r="Q5" s="1993"/>
      <c r="R5" s="1993"/>
      <c r="S5" s="1993"/>
    </row>
    <row r="6" spans="1:28" ht="14.1" customHeight="1" x14ac:dyDescent="0.2">
      <c r="B6" s="104" t="s">
        <v>2072</v>
      </c>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2072</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9010801060</v>
      </c>
      <c r="B13" s="2020"/>
      <c r="C13" s="2020"/>
      <c r="D13" s="2020"/>
      <c r="E13" s="2020"/>
      <c r="F13" s="2020"/>
      <c r="G13" s="2020"/>
      <c r="H13" s="2021"/>
      <c r="I13" s="31"/>
      <c r="J13" s="30"/>
      <c r="K13" s="28"/>
      <c r="L13" s="30"/>
      <c r="M13" s="30"/>
      <c r="N13" s="30"/>
      <c r="O13" s="30"/>
      <c r="P13" s="30"/>
      <c r="Q13" s="30"/>
      <c r="R13" s="30"/>
      <c r="S13" s="30"/>
      <c r="T13" s="2024" t="s">
        <v>2064</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2074</v>
      </c>
      <c r="B15" s="2022"/>
      <c r="C15" s="2022"/>
      <c r="D15" s="2022"/>
      <c r="E15" s="2022"/>
      <c r="F15" s="2022"/>
      <c r="G15" s="2022"/>
      <c r="H15" s="2023"/>
      <c r="T15" s="2028" t="s">
        <v>2065</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2111</v>
      </c>
      <c r="B17" s="1979"/>
      <c r="C17" s="1979"/>
      <c r="D17" s="1979"/>
      <c r="E17" s="1979"/>
      <c r="F17" s="1979"/>
      <c r="G17" s="1979"/>
      <c r="H17" s="2004"/>
      <c r="T17" s="2035" t="s">
        <v>2066</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2075</v>
      </c>
      <c r="B19" s="1964"/>
      <c r="C19" s="1964"/>
      <c r="D19" s="1964"/>
      <c r="E19" s="1964"/>
      <c r="F19" s="1964"/>
      <c r="G19" s="1964"/>
      <c r="H19" s="1944"/>
      <c r="I19" s="30"/>
      <c r="J19" s="99"/>
      <c r="K19" s="40"/>
      <c r="L19" s="38"/>
      <c r="M19" s="112" t="s">
        <v>315</v>
      </c>
      <c r="P19" s="27"/>
      <c r="Q19" s="27"/>
      <c r="R19" s="27"/>
      <c r="S19" s="31"/>
      <c r="T19" s="2018" t="s">
        <v>2067</v>
      </c>
      <c r="U19" s="1943"/>
      <c r="V19" s="1943"/>
      <c r="W19" s="1944"/>
      <c r="X19" s="2033" t="s">
        <v>2068</v>
      </c>
      <c r="Y19" s="2034"/>
      <c r="Z19" s="2031">
        <v>60942</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2074</v>
      </c>
      <c r="B21" s="1943"/>
      <c r="C21" s="1943"/>
      <c r="D21" s="1943"/>
      <c r="E21" s="1943"/>
      <c r="F21" s="1943"/>
      <c r="G21" s="1943"/>
      <c r="H21" s="1944"/>
      <c r="I21" s="1998" t="s">
        <v>678</v>
      </c>
      <c r="J21" s="1993"/>
      <c r="K21" s="1993"/>
      <c r="L21" s="1993"/>
      <c r="M21" s="1993"/>
      <c r="N21" s="1993"/>
      <c r="O21" s="1993"/>
      <c r="P21" s="1993"/>
      <c r="Q21" s="1993"/>
      <c r="R21" s="1993"/>
      <c r="S21" s="1999"/>
      <c r="T21" s="2043" t="s">
        <v>2069</v>
      </c>
      <c r="U21" s="2044"/>
      <c r="V21" s="2044"/>
      <c r="W21" s="2044"/>
      <c r="X21" s="2049" t="s">
        <v>2070</v>
      </c>
      <c r="Y21" s="2050"/>
      <c r="Z21" s="2050"/>
      <c r="AA21" s="205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c r="B23" s="1996"/>
      <c r="C23" s="1996"/>
      <c r="D23" s="1996"/>
      <c r="E23" s="1996"/>
      <c r="F23" s="1996"/>
      <c r="G23" s="1996"/>
      <c r="H23" s="1997"/>
      <c r="T23" s="2041" t="s">
        <v>2073</v>
      </c>
      <c r="U23" s="2042"/>
      <c r="V23" s="2042"/>
      <c r="W23" s="2042"/>
      <c r="X23" s="2046">
        <v>44469</v>
      </c>
      <c r="Y23" s="2047"/>
      <c r="Z23" s="2047"/>
      <c r="AA23" s="2048"/>
    </row>
    <row r="24" spans="1:27" ht="14.1" customHeight="1" x14ac:dyDescent="0.2">
      <c r="A24" s="88" t="s">
        <v>677</v>
      </c>
      <c r="B24" s="49"/>
      <c r="C24" s="49"/>
      <c r="D24" s="49"/>
      <c r="E24" s="49"/>
      <c r="F24" s="49"/>
      <c r="G24" s="49"/>
      <c r="H24" s="61"/>
      <c r="J24" s="1965" t="str">
        <f>IF(B5="x",IF(AUDITCHECK!D29="AFR form Incomplete.","",IF(AUDITCHECK!D29="Deficit reduction plan is required.","School District must complete a deficit reduction plan in the 2019-2020 Budget",)),"")</f>
        <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61821</v>
      </c>
      <c r="B25" s="1943"/>
      <c r="C25" s="1943"/>
      <c r="D25" s="1943"/>
      <c r="E25" s="1943"/>
      <c r="F25" s="1943"/>
      <c r="G25" s="1943"/>
      <c r="H25" s="1944"/>
      <c r="I25" s="113"/>
      <c r="J25" s="1967"/>
      <c r="K25" s="1967"/>
      <c r="L25" s="1967"/>
      <c r="M25" s="1967"/>
      <c r="N25" s="1967"/>
      <c r="O25" s="1967"/>
      <c r="P25" s="1967"/>
      <c r="Q25" s="1967"/>
      <c r="R25" s="1967"/>
      <c r="S25" s="1968"/>
      <c r="T25" s="2038" t="s">
        <v>2071</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2072</v>
      </c>
      <c r="C30" s="124" t="s">
        <v>1164</v>
      </c>
      <c r="D30" s="28"/>
      <c r="E30" s="28"/>
      <c r="F30" s="140"/>
      <c r="G30" s="114"/>
      <c r="H30" s="114"/>
      <c r="I30" s="54"/>
      <c r="J30" s="148" t="s">
        <v>2072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2072</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2076</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t="s">
        <v>2077</v>
      </c>
      <c r="B40" s="1957"/>
      <c r="C40" s="1958"/>
      <c r="D40" s="1958"/>
      <c r="E40" s="1958"/>
      <c r="F40" s="1959"/>
      <c r="G40" s="1959"/>
      <c r="H40" s="1960"/>
      <c r="I40" s="1981"/>
      <c r="J40" s="1982"/>
      <c r="K40" s="1982"/>
      <c r="L40" s="1982"/>
      <c r="M40" s="1982"/>
      <c r="N40" s="1982"/>
      <c r="O40" s="1982"/>
      <c r="P40" s="1982"/>
      <c r="Q40" s="1982"/>
      <c r="R40" s="1982"/>
      <c r="S40" s="1983"/>
      <c r="T40" s="1981"/>
      <c r="U40" s="2045"/>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2078</v>
      </c>
      <c r="B42" s="1962"/>
      <c r="C42" s="1963"/>
      <c r="D42" s="1961" t="s">
        <v>2079</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6" t="s">
        <v>1611</v>
      </c>
    </row>
    <row r="23" spans="1:5" x14ac:dyDescent="0.2">
      <c r="A23" s="168"/>
      <c r="B23" s="162" t="s">
        <v>1855</v>
      </c>
      <c r="D23" s="167" t="s">
        <v>637</v>
      </c>
      <c r="E23" s="183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1616</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1619</v>
      </c>
    </row>
    <row r="72" spans="1:9" ht="9" customHeight="1" x14ac:dyDescent="0.2">
      <c r="A72" s="192"/>
      <c r="B72" s="199"/>
    </row>
    <row r="73" spans="1:9" x14ac:dyDescent="0.2">
      <c r="A73" s="189" t="s">
        <v>1620</v>
      </c>
      <c r="B73" s="169" t="s">
        <v>1783</v>
      </c>
    </row>
    <row r="74" spans="1:9" x14ac:dyDescent="0.2">
      <c r="A74" s="189"/>
      <c r="B74" s="169" t="s">
        <v>1782</v>
      </c>
    </row>
    <row r="75" spans="1:9" ht="8.25" customHeight="1" x14ac:dyDescent="0.2">
      <c r="A75" s="189"/>
      <c r="B75" s="189"/>
    </row>
    <row r="76" spans="1:9" ht="12.2" customHeight="1" x14ac:dyDescent="0.2">
      <c r="A76" s="189" t="s">
        <v>1621</v>
      </c>
      <c r="B76" s="198" t="s">
        <v>1784</v>
      </c>
    </row>
    <row r="77" spans="1:9" ht="12.2" customHeight="1" x14ac:dyDescent="0.2">
      <c r="A77" s="190"/>
      <c r="B77" s="169" t="s">
        <v>1622</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1792</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2080</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3029803</v>
      </c>
      <c r="E16" s="356"/>
      <c r="F16" s="1733">
        <f>SUM('Acct Summary 7-8'!C17,'Acct Summary 7-8'!D17,'Acct Summary 7-8'!F17)</f>
        <v>3444279</v>
      </c>
      <c r="G16" s="356"/>
      <c r="H16" s="1733">
        <f>SUM(D16-F16)</f>
        <v>-414476</v>
      </c>
      <c r="I16" s="222"/>
      <c r="J16" s="1733">
        <f>SUM('Acct Summary 7-8'!C81,'Acct Summary 7-8'!D81,'Acct Summary 7-8'!F81,'Acct Summary 7-8'!I81)</f>
        <v>929512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Rural Champaign Co Spec Ed Coop</v>
      </c>
      <c r="E7" s="391"/>
      <c r="G7" s="252"/>
      <c r="H7" s="387"/>
      <c r="I7" s="387"/>
      <c r="J7" s="387"/>
      <c r="K7" s="387"/>
      <c r="L7" s="329"/>
      <c r="M7" s="329"/>
      <c r="N7" s="329"/>
      <c r="O7" s="329"/>
      <c r="P7" s="329"/>
    </row>
    <row r="8" spans="1:18" ht="12.75" x14ac:dyDescent="0.2">
      <c r="A8" s="329"/>
      <c r="B8" s="329"/>
      <c r="C8" s="389" t="s">
        <v>1125</v>
      </c>
      <c r="D8" s="392">
        <f>COVER!A13</f>
        <v>9010801060</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929512</v>
      </c>
      <c r="I12" s="404"/>
      <c r="J12" s="404"/>
      <c r="K12" s="405">
        <f>TRUNC((H12/H13*100000),5)/100000</f>
        <v>0.3067895833</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3029803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3444279</v>
      </c>
      <c r="I17" s="404"/>
      <c r="J17" s="416"/>
      <c r="K17" s="405">
        <f>TRUNC((H17/H18*100000),5)/100000</f>
        <v>1.1367996533</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3029803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1.5116235</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929516</v>
      </c>
      <c r="I24" s="422"/>
      <c r="J24" s="422"/>
      <c r="K24" s="423">
        <f>TRUNC(((H24/H25*100000)/100000),2)</f>
        <v>97.15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9567.4416700000002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0" activePane="bottomLeft" state="frozen"/>
      <selection pane="bottomLeft" activeCell="C39" sqref="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279516</v>
      </c>
      <c r="D4" s="466"/>
      <c r="E4" s="466"/>
      <c r="F4" s="466"/>
      <c r="G4" s="466"/>
      <c r="H4" s="466"/>
      <c r="I4" s="466"/>
      <c r="J4" s="467"/>
      <c r="K4" s="466"/>
      <c r="L4" s="466"/>
      <c r="M4" s="468"/>
      <c r="N4" s="469"/>
    </row>
    <row r="5" spans="1:14" x14ac:dyDescent="0.2">
      <c r="A5" s="463" t="s">
        <v>992</v>
      </c>
      <c r="B5" s="470">
        <v>120</v>
      </c>
      <c r="C5" s="465">
        <v>650000</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929516</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591886</v>
      </c>
      <c r="N17" s="484"/>
    </row>
    <row r="18" spans="1:14" s="485" customFormat="1" ht="12.75" customHeight="1" x14ac:dyDescent="0.2">
      <c r="A18" s="482" t="s">
        <v>1404</v>
      </c>
      <c r="B18" s="483">
        <v>240</v>
      </c>
      <c r="C18" s="477"/>
      <c r="D18" s="477"/>
      <c r="E18" s="477"/>
      <c r="F18" s="477"/>
      <c r="G18" s="477"/>
      <c r="H18" s="477"/>
      <c r="I18" s="477"/>
      <c r="J18" s="477"/>
      <c r="K18" s="477"/>
      <c r="L18" s="477"/>
      <c r="M18" s="467">
        <v>42863</v>
      </c>
      <c r="N18" s="484"/>
    </row>
    <row r="19" spans="1:14" s="485" customFormat="1" ht="12.75" customHeight="1" x14ac:dyDescent="0.2">
      <c r="A19" s="482" t="s">
        <v>1405</v>
      </c>
      <c r="B19" s="483">
        <v>250</v>
      </c>
      <c r="C19" s="477"/>
      <c r="D19" s="477"/>
      <c r="E19" s="477"/>
      <c r="F19" s="477"/>
      <c r="G19" s="477"/>
      <c r="H19" s="477"/>
      <c r="I19" s="477"/>
      <c r="J19" s="477"/>
      <c r="K19" s="477"/>
      <c r="L19" s="477"/>
      <c r="M19" s="467">
        <v>1233154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1867903</v>
      </c>
      <c r="N23" s="1688">
        <f>SUM(N21:N22)</f>
        <v>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4</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4</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929512</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1867903</v>
      </c>
      <c r="N40" s="497"/>
    </row>
    <row r="41" spans="1:14" ht="13.5" customHeight="1" thickBot="1" x14ac:dyDescent="0.25">
      <c r="A41" s="1736" t="s">
        <v>655</v>
      </c>
      <c r="B41" s="1706"/>
      <c r="C41" s="1688">
        <f>(SUM(C34,C37,C38,C39))</f>
        <v>929516</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1867903</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2" activePane="bottomLeft" state="frozen"/>
      <selection pane="bottomLeft" activeCell="A4" sqref="A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497412</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977458</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1554933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3029803</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929155</v>
      </c>
      <c r="D9" s="516"/>
      <c r="E9" s="481"/>
      <c r="F9" s="481"/>
      <c r="G9" s="517"/>
      <c r="H9" s="481"/>
      <c r="I9" s="509" t="s">
        <v>1169</v>
      </c>
      <c r="J9" s="478"/>
      <c r="K9" s="481"/>
      <c r="L9" s="347"/>
    </row>
    <row r="10" spans="1:13" s="519" customFormat="1" ht="13.5" thickBot="1" x14ac:dyDescent="0.25">
      <c r="A10" s="1736" t="s">
        <v>1173</v>
      </c>
      <c r="B10" s="1709"/>
      <c r="C10" s="1688">
        <f>SUM(C8:C9)</f>
        <v>3958958</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1037981</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2271788</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25757</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108753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3444279</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929155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4373434</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8" t="s">
        <v>1655</v>
      </c>
      <c r="B20" s="2129"/>
      <c r="C20" s="1746">
        <f>C8-C17</f>
        <v>-414476</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-414476</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1946</v>
      </c>
      <c r="B79" s="534"/>
      <c r="C79" s="478">
        <v>1343988</v>
      </c>
      <c r="D79" s="535"/>
      <c r="E79" s="535"/>
      <c r="F79" s="535"/>
      <c r="G79" s="535"/>
      <c r="H79" s="535"/>
      <c r="I79" s="535"/>
      <c r="J79" s="535"/>
      <c r="K79" s="535"/>
      <c r="L79" s="347"/>
    </row>
    <row r="80" spans="1:12" x14ac:dyDescent="0.2">
      <c r="A80" s="2130" t="s">
        <v>1794</v>
      </c>
      <c r="B80" s="2131"/>
      <c r="C80" s="467"/>
      <c r="D80" s="467"/>
      <c r="E80" s="467"/>
      <c r="F80" s="467"/>
      <c r="G80" s="467"/>
      <c r="H80" s="467"/>
      <c r="I80" s="467"/>
      <c r="J80" s="467"/>
      <c r="K80" s="467"/>
      <c r="L80" s="347"/>
    </row>
    <row r="81" spans="1:12" ht="13.5" thickBot="1" x14ac:dyDescent="0.25">
      <c r="A81" s="2122" t="s">
        <v>1947</v>
      </c>
      <c r="B81" s="2123"/>
      <c r="C81" s="1688">
        <f>(SUM(C78:C80))</f>
        <v>929512</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-414476</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-0.44590709963938069</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55" activePane="bottomLeft" state="frozen"/>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1801</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472460</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472460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10937</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10937</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1142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12873</v>
      </c>
      <c r="D107" s="466"/>
      <c r="E107" s="466"/>
      <c r="F107" s="466"/>
      <c r="G107" s="466"/>
      <c r="H107" s="466"/>
      <c r="I107" s="466"/>
      <c r="J107" s="467"/>
      <c r="K107" s="466"/>
    </row>
    <row r="108" spans="1:12" ht="12.75" customHeight="1" thickBot="1" x14ac:dyDescent="0.25">
      <c r="A108" s="1708" t="s">
        <v>487</v>
      </c>
      <c r="B108" s="1712"/>
      <c r="C108" s="1707">
        <f>SUM(C95:C107)</f>
        <v>14015</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497412</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138517</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1933</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138517</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v>13852</v>
      </c>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13852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825089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838941</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977458</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1802</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47582</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1264939</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1312521</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1934</v>
      </c>
      <c r="B261" s="470">
        <v>4981</v>
      </c>
      <c r="C261" s="575"/>
      <c r="D261" s="576"/>
      <c r="E261" s="468"/>
      <c r="F261" s="576"/>
      <c r="G261" s="576"/>
      <c r="H261" s="468"/>
      <c r="I261" s="468"/>
      <c r="J261" s="468"/>
      <c r="K261" s="468"/>
    </row>
    <row r="262" spans="1:11" ht="12.75" customHeight="1" thickTop="1" thickBot="1" x14ac:dyDescent="0.25">
      <c r="A262" s="1931"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16402</v>
      </c>
      <c r="D263" s="576"/>
      <c r="E263" s="468"/>
      <c r="F263" s="576"/>
      <c r="G263" s="576"/>
      <c r="H263" s="468"/>
      <c r="I263" s="468"/>
      <c r="J263" s="468"/>
      <c r="K263" s="468"/>
    </row>
    <row r="264" spans="1:11" ht="12.75" customHeight="1" thickTop="1" thickBot="1" x14ac:dyDescent="0.25">
      <c r="A264" s="463" t="s">
        <v>377</v>
      </c>
      <c r="B264" s="470">
        <v>4992</v>
      </c>
      <c r="C264" s="575">
        <v>80893</v>
      </c>
      <c r="D264" s="576"/>
      <c r="E264" s="468"/>
      <c r="F264" s="576"/>
      <c r="G264" s="576"/>
      <c r="H264" s="468"/>
      <c r="I264" s="468"/>
      <c r="J264" s="468"/>
      <c r="K264" s="468"/>
    </row>
    <row r="265" spans="1:11" s="593" customFormat="1" ht="12.75" customHeight="1" thickTop="1" thickBot="1" x14ac:dyDescent="0.25">
      <c r="A265" s="563" t="s">
        <v>75</v>
      </c>
      <c r="B265" s="557">
        <v>4999</v>
      </c>
      <c r="C265" s="575">
        <v>145117</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1554933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1554933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3029803</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3" activePane="bottomLeft" state="frozen"/>
      <selection pane="bottomLeft" activeCell="G114" sqref="G11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1801</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574034</v>
      </c>
      <c r="D5" s="466">
        <v>213047</v>
      </c>
      <c r="E5" s="466">
        <v>49294</v>
      </c>
      <c r="F5" s="466">
        <v>164804</v>
      </c>
      <c r="G5" s="466">
        <v>36802</v>
      </c>
      <c r="H5" s="466"/>
      <c r="I5" s="467"/>
      <c r="J5" s="467"/>
      <c r="K5" s="1671">
        <f>SUM(C5:J5)</f>
        <v>1037981</v>
      </c>
      <c r="L5" s="466">
        <v>986027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v>4895</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574034</v>
      </c>
      <c r="D33" s="1670">
        <f t="shared" ref="D33:L33" si="1">SUM(D5:D32)</f>
        <v>213047</v>
      </c>
      <c r="E33" s="1670">
        <f t="shared" si="1"/>
        <v>49294</v>
      </c>
      <c r="F33" s="1670">
        <f t="shared" si="1"/>
        <v>164804</v>
      </c>
      <c r="G33" s="1670">
        <f t="shared" si="1"/>
        <v>36802</v>
      </c>
      <c r="H33" s="1670">
        <f t="shared" si="1"/>
        <v>0</v>
      </c>
      <c r="I33" s="1670">
        <f t="shared" si="1"/>
        <v>0</v>
      </c>
      <c r="J33" s="1670">
        <f t="shared" si="1"/>
        <v>0</v>
      </c>
      <c r="K33" s="1670">
        <f t="shared" si="1"/>
        <v>1037981</v>
      </c>
      <c r="L33" s="1670">
        <f t="shared" si="1"/>
        <v>990922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447734</v>
      </c>
      <c r="D36" s="481">
        <v>111191</v>
      </c>
      <c r="E36" s="481">
        <v>7016</v>
      </c>
      <c r="F36" s="481">
        <v>9231</v>
      </c>
      <c r="G36" s="481">
        <v>2404</v>
      </c>
      <c r="H36" s="481"/>
      <c r="I36" s="467"/>
      <c r="J36" s="467"/>
      <c r="K36" s="1671">
        <f t="shared" ref="K36:K41" si="2">SUM(C36:J36)</f>
        <v>577576</v>
      </c>
      <c r="L36" s="466">
        <v>632285</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246539</v>
      </c>
      <c r="D38" s="466">
        <v>78234</v>
      </c>
      <c r="E38" s="466">
        <v>8688</v>
      </c>
      <c r="F38" s="466">
        <v>3365</v>
      </c>
      <c r="G38" s="466">
        <v>2400</v>
      </c>
      <c r="H38" s="466"/>
      <c r="I38" s="467"/>
      <c r="J38" s="467"/>
      <c r="K38" s="1671">
        <f t="shared" si="2"/>
        <v>339226</v>
      </c>
      <c r="L38" s="466">
        <v>348884</v>
      </c>
    </row>
    <row r="39" spans="1:14" x14ac:dyDescent="0.2">
      <c r="A39" s="1504" t="s">
        <v>199</v>
      </c>
      <c r="B39" s="614">
        <v>2140</v>
      </c>
      <c r="C39" s="466">
        <v>247903</v>
      </c>
      <c r="D39" s="466">
        <v>61054</v>
      </c>
      <c r="E39" s="466">
        <v>4821</v>
      </c>
      <c r="F39" s="466">
        <v>7078</v>
      </c>
      <c r="G39" s="466">
        <v>5699</v>
      </c>
      <c r="H39" s="466"/>
      <c r="I39" s="467"/>
      <c r="J39" s="467"/>
      <c r="K39" s="1671">
        <f t="shared" si="2"/>
        <v>326555</v>
      </c>
      <c r="L39" s="466">
        <v>301608</v>
      </c>
    </row>
    <row r="40" spans="1:14" x14ac:dyDescent="0.2">
      <c r="A40" s="1504" t="s">
        <v>200</v>
      </c>
      <c r="B40" s="614">
        <v>2150</v>
      </c>
      <c r="C40" s="466"/>
      <c r="D40" s="466"/>
      <c r="E40" s="466">
        <v>1276</v>
      </c>
      <c r="F40" s="466"/>
      <c r="G40" s="466"/>
      <c r="H40" s="466"/>
      <c r="I40" s="467"/>
      <c r="J40" s="467"/>
      <c r="K40" s="1671">
        <f t="shared" si="2"/>
        <v>1276</v>
      </c>
      <c r="L40" s="466">
        <v>27000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942176</v>
      </c>
      <c r="D42" s="1670">
        <f t="shared" ref="D42:L42" si="3">SUM(D36:D41)</f>
        <v>250479</v>
      </c>
      <c r="E42" s="1670">
        <f t="shared" si="3"/>
        <v>21801</v>
      </c>
      <c r="F42" s="1670">
        <f t="shared" si="3"/>
        <v>19674</v>
      </c>
      <c r="G42" s="1670">
        <f t="shared" si="3"/>
        <v>10503</v>
      </c>
      <c r="H42" s="1670">
        <f t="shared" si="3"/>
        <v>0</v>
      </c>
      <c r="I42" s="1670">
        <f t="shared" si="3"/>
        <v>0</v>
      </c>
      <c r="J42" s="1670">
        <f t="shared" si="3"/>
        <v>0</v>
      </c>
      <c r="K42" s="1670">
        <f t="shared" si="3"/>
        <v>1244633</v>
      </c>
      <c r="L42" s="1670">
        <f t="shared" si="3"/>
        <v>1309777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20598</v>
      </c>
      <c r="D44" s="481">
        <v>11196</v>
      </c>
      <c r="E44" s="481">
        <v>45409</v>
      </c>
      <c r="F44" s="481">
        <v>30648</v>
      </c>
      <c r="G44" s="481"/>
      <c r="H44" s="481"/>
      <c r="I44" s="467"/>
      <c r="J44" s="467"/>
      <c r="K44" s="1672">
        <f>SUM(C44:J44)</f>
        <v>107851</v>
      </c>
      <c r="L44" s="481">
        <v>83875</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20598</v>
      </c>
      <c r="D47" s="1670">
        <f t="shared" ref="D47:K47" si="4">SUM(D44:D46)</f>
        <v>11196</v>
      </c>
      <c r="E47" s="1670">
        <f t="shared" si="4"/>
        <v>45409</v>
      </c>
      <c r="F47" s="1670">
        <f t="shared" si="4"/>
        <v>30648</v>
      </c>
      <c r="G47" s="1670">
        <f t="shared" si="4"/>
        <v>0</v>
      </c>
      <c r="H47" s="1670">
        <f t="shared" si="4"/>
        <v>0</v>
      </c>
      <c r="I47" s="1670">
        <f t="shared" si="4"/>
        <v>0</v>
      </c>
      <c r="J47" s="1670">
        <f t="shared" si="4"/>
        <v>0</v>
      </c>
      <c r="K47" s="1670">
        <f t="shared" si="4"/>
        <v>107851</v>
      </c>
      <c r="L47" s="1670">
        <f>SUM(L44:L46)</f>
        <v>83875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476033</v>
      </c>
      <c r="D50" s="466">
        <v>121518</v>
      </c>
      <c r="E50" s="466">
        <v>85360</v>
      </c>
      <c r="F50" s="466">
        <v>46971</v>
      </c>
      <c r="G50" s="466">
        <v>35835</v>
      </c>
      <c r="H50" s="466">
        <v>2848</v>
      </c>
      <c r="I50" s="467"/>
      <c r="J50" s="467"/>
      <c r="K50" s="1672">
        <f>SUM(C50:J50)</f>
        <v>768565</v>
      </c>
      <c r="L50" s="466">
        <v>864889</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476033</v>
      </c>
      <c r="D53" s="1670">
        <f t="shared" ref="D53:L53" si="5">SUM(D49:D52)</f>
        <v>121518</v>
      </c>
      <c r="E53" s="1670">
        <f t="shared" si="5"/>
        <v>85360</v>
      </c>
      <c r="F53" s="1670">
        <f t="shared" si="5"/>
        <v>46971</v>
      </c>
      <c r="G53" s="1670">
        <f t="shared" si="5"/>
        <v>35835</v>
      </c>
      <c r="H53" s="1670">
        <f t="shared" si="5"/>
        <v>2848</v>
      </c>
      <c r="I53" s="1670">
        <f t="shared" si="5"/>
        <v>0</v>
      </c>
      <c r="J53" s="1670">
        <f t="shared" si="5"/>
        <v>0</v>
      </c>
      <c r="K53" s="1670">
        <f t="shared" si="5"/>
        <v>768565</v>
      </c>
      <c r="L53" s="1670">
        <f t="shared" si="5"/>
        <v>864889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v>5640</v>
      </c>
      <c r="F60" s="466"/>
      <c r="G60" s="466"/>
      <c r="H60" s="466"/>
      <c r="I60" s="467"/>
      <c r="J60" s="467"/>
      <c r="K60" s="1672">
        <f t="shared" si="7"/>
        <v>5640</v>
      </c>
      <c r="L60" s="466">
        <v>10000</v>
      </c>
      <c r="M60" s="609"/>
      <c r="N60" s="609"/>
    </row>
    <row r="61" spans="1:14" s="343" customFormat="1" x14ac:dyDescent="0.2">
      <c r="A61" s="1504" t="s">
        <v>197</v>
      </c>
      <c r="B61" s="614">
        <v>2540</v>
      </c>
      <c r="C61" s="466"/>
      <c r="D61" s="466"/>
      <c r="E61" s="466">
        <v>47929</v>
      </c>
      <c r="F61" s="466">
        <v>281</v>
      </c>
      <c r="G61" s="466"/>
      <c r="H61" s="466"/>
      <c r="I61" s="467"/>
      <c r="J61" s="467"/>
      <c r="K61" s="1672">
        <f t="shared" si="7"/>
        <v>48210</v>
      </c>
      <c r="L61" s="466">
        <v>98056</v>
      </c>
      <c r="M61" s="609"/>
      <c r="N61" s="609"/>
    </row>
    <row r="62" spans="1:14" s="343" customFormat="1" x14ac:dyDescent="0.2">
      <c r="A62" s="1504" t="s">
        <v>953</v>
      </c>
      <c r="B62" s="614">
        <v>2550</v>
      </c>
      <c r="C62" s="466"/>
      <c r="D62" s="466"/>
      <c r="E62" s="466">
        <v>90635</v>
      </c>
      <c r="F62" s="466"/>
      <c r="G62" s="466"/>
      <c r="H62" s="466"/>
      <c r="I62" s="467"/>
      <c r="J62" s="467"/>
      <c r="K62" s="1672">
        <f t="shared" si="7"/>
        <v>90635</v>
      </c>
      <c r="L62" s="466">
        <v>132780</v>
      </c>
      <c r="M62" s="609"/>
      <c r="N62" s="609"/>
    </row>
    <row r="63" spans="1:14" s="609" customFormat="1" x14ac:dyDescent="0.2">
      <c r="A63" s="1504" t="s">
        <v>100</v>
      </c>
      <c r="B63" s="614">
        <v>2560</v>
      </c>
      <c r="C63" s="466"/>
      <c r="D63" s="466"/>
      <c r="E63" s="466"/>
      <c r="F63" s="466">
        <v>6254</v>
      </c>
      <c r="G63" s="466"/>
      <c r="H63" s="466"/>
      <c r="I63" s="467"/>
      <c r="J63" s="467"/>
      <c r="K63" s="1672">
        <f t="shared" si="7"/>
        <v>6254</v>
      </c>
      <c r="L63" s="466">
        <v>11000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0</v>
      </c>
      <c r="E65" s="1670">
        <f t="shared" si="8"/>
        <v>144204</v>
      </c>
      <c r="F65" s="1670">
        <f t="shared" si="8"/>
        <v>6535</v>
      </c>
      <c r="G65" s="1670">
        <f t="shared" si="8"/>
        <v>0</v>
      </c>
      <c r="H65" s="1670">
        <f t="shared" si="8"/>
        <v>0</v>
      </c>
      <c r="I65" s="1670">
        <f t="shared" si="8"/>
        <v>0</v>
      </c>
      <c r="J65" s="1670">
        <f t="shared" si="8"/>
        <v>0</v>
      </c>
      <c r="K65" s="1670">
        <f t="shared" si="8"/>
        <v>150739</v>
      </c>
      <c r="L65" s="1670">
        <f t="shared" si="8"/>
        <v>251836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1438807</v>
      </c>
      <c r="D74" s="1677">
        <f t="shared" ref="D74:K74" si="10">SUM(D42,D47,D53,D57,D65,D72,D73)</f>
        <v>383193</v>
      </c>
      <c r="E74" s="1677">
        <f t="shared" si="10"/>
        <v>296774</v>
      </c>
      <c r="F74" s="1677">
        <f t="shared" si="10"/>
        <v>103828</v>
      </c>
      <c r="G74" s="1677">
        <f t="shared" si="10"/>
        <v>46338</v>
      </c>
      <c r="H74" s="1677">
        <f t="shared" si="10"/>
        <v>2848</v>
      </c>
      <c r="I74" s="1677">
        <f t="shared" si="10"/>
        <v>0</v>
      </c>
      <c r="J74" s="1677">
        <f t="shared" si="10"/>
        <v>0</v>
      </c>
      <c r="K74" s="1677">
        <f t="shared" si="10"/>
        <v>2271788</v>
      </c>
      <c r="L74" s="1677">
        <f>SUM(L42,L47,L53,L57,L65,L72,L73)</f>
        <v>2510377</v>
      </c>
    </row>
    <row r="75" spans="1:14" s="259" customFormat="1" ht="15.75" customHeight="1" thickTop="1" thickBot="1" x14ac:dyDescent="0.25">
      <c r="A75" s="1610" t="s">
        <v>47</v>
      </c>
      <c r="B75" s="1611" t="s">
        <v>575</v>
      </c>
      <c r="C75" s="573">
        <v>8144</v>
      </c>
      <c r="D75" s="573">
        <v>1616</v>
      </c>
      <c r="E75" s="573">
        <v>10540</v>
      </c>
      <c r="F75" s="573">
        <v>5457</v>
      </c>
      <c r="G75" s="573"/>
      <c r="H75" s="573"/>
      <c r="I75" s="531"/>
      <c r="J75" s="531"/>
      <c r="K75" s="1670">
        <f>SUM(C75:J75)</f>
        <v>25757</v>
      </c>
      <c r="L75" s="576">
        <v>17500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108753</v>
      </c>
      <c r="I79" s="477"/>
      <c r="J79" s="477"/>
      <c r="K79" s="1671">
        <f t="shared" si="11"/>
        <v>108753</v>
      </c>
      <c r="L79" s="466">
        <v>6382</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108753</v>
      </c>
      <c r="I84" s="477"/>
      <c r="J84" s="477"/>
      <c r="K84" s="1670">
        <f>SUM(K78:K83)</f>
        <v>108753</v>
      </c>
      <c r="L84" s="1670">
        <f>SUM(L78:L83)</f>
        <v>6382</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108753</v>
      </c>
      <c r="I102" s="477"/>
      <c r="J102" s="477"/>
      <c r="K102" s="1677">
        <f>SUM(K84,K92,K100,K101)</f>
        <v>108753</v>
      </c>
      <c r="L102" s="1677">
        <f>SUM(L84,L92,L100,L101)</f>
        <v>6382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10000</v>
      </c>
      <c r="M113" s="613"/>
      <c r="N113" s="613"/>
    </row>
    <row r="114" spans="1:14" ht="12.75" customHeight="1" thickTop="1" thickBot="1" x14ac:dyDescent="0.25">
      <c r="A114" s="1668" t="s">
        <v>48</v>
      </c>
      <c r="B114" s="1682"/>
      <c r="C114" s="1670">
        <f>SUM(C33,C74,C75,C102,C112,C113)</f>
        <v>2020985</v>
      </c>
      <c r="D114" s="1670">
        <f t="shared" ref="D114:K114" si="13">SUM(D33,D74,D75,D102,D112,D113)</f>
        <v>597856</v>
      </c>
      <c r="E114" s="1670">
        <f t="shared" si="13"/>
        <v>356608</v>
      </c>
      <c r="F114" s="1670">
        <f t="shared" si="13"/>
        <v>274089</v>
      </c>
      <c r="G114" s="1670">
        <f t="shared" si="13"/>
        <v>83140</v>
      </c>
      <c r="H114" s="1670">
        <f>SUM(H33,H74,H75,H102,H112,H113)</f>
        <v>111601</v>
      </c>
      <c r="I114" s="1670">
        <f t="shared" si="13"/>
        <v>0</v>
      </c>
      <c r="J114" s="1670">
        <f t="shared" si="13"/>
        <v>0</v>
      </c>
      <c r="K114" s="1670">
        <f t="shared" si="13"/>
        <v>3444279</v>
      </c>
      <c r="L114" s="1670">
        <f>SUM(L33,L74,L75,L102,L112,L113)</f>
        <v>3535181</v>
      </c>
    </row>
    <row r="115" spans="1:14" ht="13.5" thickTop="1" x14ac:dyDescent="0.2">
      <c r="A115" s="2158" t="s">
        <v>996</v>
      </c>
      <c r="B115" s="2159"/>
      <c r="C115" s="618"/>
      <c r="D115" s="618"/>
      <c r="E115" s="618"/>
      <c r="F115" s="618"/>
      <c r="G115" s="618"/>
      <c r="H115" s="618"/>
      <c r="I115" s="618"/>
      <c r="J115" s="618"/>
      <c r="K115" s="1684">
        <f>'Revenues 9-14'!C268-'Expenditures 15-22'!K114</f>
        <v>-414476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1843</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8" t="s">
        <v>1178</v>
      </c>
      <c r="B152" s="2179"/>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8" t="s">
        <v>996</v>
      </c>
      <c r="B175" s="2159"/>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8" t="s">
        <v>996</v>
      </c>
      <c r="B211" s="2159"/>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1804</v>
      </c>
      <c r="B249" s="683" t="s">
        <v>282</v>
      </c>
      <c r="C249" s="616"/>
      <c r="D249" s="474"/>
      <c r="E249" s="616"/>
      <c r="F249" s="616"/>
      <c r="G249" s="616"/>
      <c r="H249" s="616"/>
      <c r="I249" s="616"/>
      <c r="J249" s="616"/>
      <c r="K249" s="1672">
        <f t="shared" si="21"/>
        <v>0</v>
      </c>
      <c r="L249" s="466"/>
    </row>
    <row r="250" spans="1:12" x14ac:dyDescent="0.2">
      <c r="A250" s="1505" t="s">
        <v>1805</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1803</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1843</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8" t="s">
        <v>996</v>
      </c>
      <c r="B296" s="2159"/>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1849</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71" t="s">
        <v>996</v>
      </c>
      <c r="B343" s="2172"/>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8" t="s">
        <v>996</v>
      </c>
      <c r="B368" s="2159"/>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1801</v>
      </c>
      <c r="B2" s="1528" t="s">
        <v>1948</v>
      </c>
      <c r="C2" s="714" t="s">
        <v>1949</v>
      </c>
      <c r="D2" s="714" t="s">
        <v>1950</v>
      </c>
      <c r="E2" s="714" t="s">
        <v>1951</v>
      </c>
      <c r="F2" s="714" t="s">
        <v>1952</v>
      </c>
    </row>
    <row r="3" spans="1:6" ht="12" customHeight="1" x14ac:dyDescent="0.2">
      <c r="A3" s="2186"/>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1807</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1801</v>
      </c>
      <c r="B2" s="2213"/>
      <c r="C2" s="1884" t="s">
        <v>1953</v>
      </c>
      <c r="D2" s="723" t="s">
        <v>1954</v>
      </c>
      <c r="E2" s="723" t="s">
        <v>1955</v>
      </c>
      <c r="F2" s="1884" t="s">
        <v>1956</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1909</v>
      </c>
      <c r="H30" s="1885" t="s">
        <v>1959</v>
      </c>
      <c r="I30" s="1885" t="s">
        <v>1960</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1811</v>
      </c>
      <c r="K2" s="762" t="s">
        <v>138</v>
      </c>
    </row>
    <row r="3" spans="1:11" x14ac:dyDescent="0.2">
      <c r="A3" s="2238" t="s">
        <v>1961</v>
      </c>
      <c r="B3" s="2239"/>
      <c r="C3" s="2239"/>
      <c r="D3" s="2239"/>
      <c r="E3" s="2240"/>
      <c r="F3" s="763"/>
      <c r="G3" s="764"/>
      <c r="H3" s="764"/>
      <c r="I3" s="764"/>
      <c r="J3" s="765"/>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9" t="s">
        <v>1812</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0</v>
      </c>
      <c r="I12" s="1758">
        <f>SUM(I5:I11)</f>
        <v>0</v>
      </c>
      <c r="J12" s="1758">
        <f>SUM(J5:J11)</f>
        <v>0</v>
      </c>
      <c r="K12" s="1758">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c r="I14" s="771"/>
      <c r="J14" s="773"/>
      <c r="K14" s="765"/>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1808</v>
      </c>
      <c r="B19" s="2228"/>
      <c r="C19" s="2228"/>
      <c r="D19" s="2228"/>
      <c r="E19" s="2229"/>
      <c r="F19" s="789" t="s">
        <v>933</v>
      </c>
      <c r="G19" s="782"/>
      <c r="H19" s="782"/>
      <c r="I19" s="782"/>
      <c r="J19" s="765"/>
      <c r="K19" s="795"/>
    </row>
    <row r="20" spans="1:11" x14ac:dyDescent="0.2">
      <c r="A20" s="2230" t="s">
        <v>1813</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1814</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0</v>
      </c>
      <c r="I23" s="1758">
        <f>SUM(I14:I16,I21,I22)</f>
        <v>0</v>
      </c>
      <c r="J23" s="1758">
        <f>SUM(J14:J16,J21,J22)</f>
        <v>0</v>
      </c>
      <c r="K23" s="1758">
        <f>SUM(K14:K16,K21,K22)</f>
        <v>0</v>
      </c>
    </row>
    <row r="24" spans="1:11" ht="14.25" thickTop="1" thickBot="1" x14ac:dyDescent="0.25">
      <c r="A24" s="2250" t="s">
        <v>1962</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1815</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1809</v>
      </c>
      <c r="B46" s="408" t="s">
        <v>1675</v>
      </c>
    </row>
    <row r="47" spans="1:11" s="823" customFormat="1" ht="12.75" customHeight="1" x14ac:dyDescent="0.2">
      <c r="A47" s="821"/>
      <c r="B47" s="822" t="s">
        <v>1676</v>
      </c>
      <c r="E47" s="822"/>
      <c r="K47" s="824"/>
    </row>
    <row r="48" spans="1:11" ht="12.75" customHeight="1" x14ac:dyDescent="0.2">
      <c r="A48" s="1532" t="s">
        <v>1810</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1907</v>
      </c>
      <c r="B1" s="2256"/>
      <c r="C1" s="2257"/>
      <c r="D1" s="826"/>
      <c r="E1" s="827"/>
      <c r="F1" s="827"/>
      <c r="G1" s="828"/>
      <c r="H1" s="829"/>
      <c r="I1" s="830"/>
      <c r="J1" s="2253"/>
      <c r="K1" s="2254"/>
      <c r="L1" s="2254"/>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591886</v>
      </c>
      <c r="D8" s="844"/>
      <c r="E8" s="844"/>
      <c r="F8" s="1760">
        <f>(C8+D8)-E8</f>
        <v>591886</v>
      </c>
      <c r="G8" s="843">
        <v>50</v>
      </c>
      <c r="H8" s="765">
        <v>35514</v>
      </c>
      <c r="I8" s="765">
        <v>11837</v>
      </c>
      <c r="J8" s="765"/>
      <c r="K8" s="1769">
        <f>(H8+I8)-J8</f>
        <v>47351</v>
      </c>
      <c r="L8" s="1769">
        <f>F8-K8</f>
        <v>544535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42863</v>
      </c>
      <c r="D10" s="846"/>
      <c r="E10" s="846"/>
      <c r="F10" s="1764">
        <f>(C10+D10)-E10</f>
        <v>42863</v>
      </c>
      <c r="G10" s="843">
        <v>20</v>
      </c>
      <c r="H10" s="847">
        <v>38575</v>
      </c>
      <c r="I10" s="847">
        <v>2143</v>
      </c>
      <c r="J10" s="847"/>
      <c r="K10" s="1769">
        <f>(H10+I10)-J10</f>
        <v>40718</v>
      </c>
      <c r="L10" s="1769">
        <f>F10-K10</f>
        <v>2145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1150014</v>
      </c>
      <c r="D12" s="844">
        <v>83140</v>
      </c>
      <c r="E12" s="844"/>
      <c r="F12" s="1760">
        <f>(C12+D12)-E12</f>
        <v>1233154</v>
      </c>
      <c r="G12" s="843">
        <v>10</v>
      </c>
      <c r="H12" s="765">
        <v>827758</v>
      </c>
      <c r="I12" s="765">
        <v>65040</v>
      </c>
      <c r="J12" s="765"/>
      <c r="K12" s="1769">
        <f>(H12+I12)-J12</f>
        <v>892798</v>
      </c>
      <c r="L12" s="1769">
        <f>F12-K12</f>
        <v>340356</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1784763</v>
      </c>
      <c r="D16" s="1760">
        <f>SUM(D3,D5:D6,D8:D10,D12:D15)</f>
        <v>83140</v>
      </c>
      <c r="E16" s="1760">
        <f>SUM(E3,E5:E6,E8:E10,E12:E15)</f>
        <v>0</v>
      </c>
      <c r="F16" s="1760">
        <f>SUM(F3,F5:F6,F8:F10,F12:F15)</f>
        <v>1867903</v>
      </c>
      <c r="G16" s="843"/>
      <c r="H16" s="1760">
        <f>SUM(H3,H6,H8:H10,H12:H14,)</f>
        <v>901847</v>
      </c>
      <c r="I16" s="1760">
        <f>SUM(I3,I6,I8:I10,I12:I14,)</f>
        <v>79020</v>
      </c>
      <c r="J16" s="1760">
        <f>SUM(J3,J6,J8:J10,J12:J14,)</f>
        <v>0</v>
      </c>
      <c r="K16" s="1760">
        <f>(H16+I16)-J16</f>
        <v>980867</v>
      </c>
      <c r="L16" s="1760">
        <f>F16-K16</f>
        <v>887036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79020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1972</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3444279</v>
      </c>
      <c r="G8" s="865"/>
    </row>
    <row r="9" spans="1:7" x14ac:dyDescent="0.2">
      <c r="A9" s="869" t="s">
        <v>460</v>
      </c>
      <c r="B9" s="870" t="s">
        <v>1875</v>
      </c>
      <c r="C9" s="871"/>
      <c r="D9" s="869" t="s">
        <v>501</v>
      </c>
      <c r="E9" s="868"/>
      <c r="F9" s="1909">
        <f>'Expenditures 15-22'!K151</f>
        <v>0</v>
      </c>
      <c r="G9" s="872"/>
    </row>
    <row r="10" spans="1:7" x14ac:dyDescent="0.2">
      <c r="A10" s="869" t="s">
        <v>499</v>
      </c>
      <c r="B10" s="870" t="s">
        <v>1876</v>
      </c>
      <c r="C10" s="871"/>
      <c r="D10" s="869" t="s">
        <v>501</v>
      </c>
      <c r="E10" s="868"/>
      <c r="F10" s="1909">
        <f>'Expenditures 15-22'!K174</f>
        <v>0</v>
      </c>
      <c r="G10" s="872"/>
    </row>
    <row r="11" spans="1:7" x14ac:dyDescent="0.2">
      <c r="A11" s="869" t="s">
        <v>461</v>
      </c>
      <c r="B11" s="870" t="s">
        <v>1877</v>
      </c>
      <c r="C11" s="871"/>
      <c r="D11" s="869" t="s">
        <v>501</v>
      </c>
      <c r="E11" s="868"/>
      <c r="F11" s="1909">
        <f>'Expenditures 15-22'!K210</f>
        <v>0</v>
      </c>
      <c r="G11" s="872"/>
    </row>
    <row r="12" spans="1:7" x14ac:dyDescent="0.2">
      <c r="A12" s="869" t="s">
        <v>462</v>
      </c>
      <c r="B12" s="870" t="s">
        <v>1878</v>
      </c>
      <c r="C12" s="871"/>
      <c r="D12" s="869" t="s">
        <v>501</v>
      </c>
      <c r="E12" s="868"/>
      <c r="F12" s="1909">
        <f>'Expenditures 15-22'!K295</f>
        <v>0</v>
      </c>
      <c r="G12" s="872"/>
    </row>
    <row r="13" spans="1:7" x14ac:dyDescent="0.2">
      <c r="A13" s="869" t="s">
        <v>106</v>
      </c>
      <c r="B13" s="870" t="s">
        <v>1879</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3444279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25757</v>
      </c>
      <c r="G52" s="865"/>
    </row>
    <row r="53" spans="1:7" x14ac:dyDescent="0.2">
      <c r="A53" s="869" t="s">
        <v>459</v>
      </c>
      <c r="B53" s="869" t="s">
        <v>1475</v>
      </c>
      <c r="C53" s="889">
        <f>'Expenditures 15-22'!B102</f>
        <v>4000</v>
      </c>
      <c r="D53" s="888" t="str">
        <f>'Expenditures 15-22'!A102</f>
        <v>Total Payments to Other Govt Units</v>
      </c>
      <c r="E53" s="868"/>
      <c r="F53" s="1913">
        <f>'Expenditures 15-22'!K102</f>
        <v>108753</v>
      </c>
      <c r="G53" s="865"/>
    </row>
    <row r="54" spans="1:7" x14ac:dyDescent="0.2">
      <c r="A54" s="869" t="s">
        <v>459</v>
      </c>
      <c r="B54" s="869" t="s">
        <v>1476</v>
      </c>
      <c r="C54" s="889" t="s">
        <v>982</v>
      </c>
      <c r="D54" s="885" t="s">
        <v>1095</v>
      </c>
      <c r="E54" s="868"/>
      <c r="F54" s="1913">
        <f>'Expenditures 15-22'!G114</f>
        <v>83140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13">
        <f>'Expenditures 15-22'!K139</f>
        <v>0</v>
      </c>
      <c r="G57" s="865"/>
    </row>
    <row r="58" spans="1:7" x14ac:dyDescent="0.2">
      <c r="A58" s="869" t="s">
        <v>460</v>
      </c>
      <c r="B58" s="869" t="s">
        <v>1881</v>
      </c>
      <c r="C58" s="886" t="s">
        <v>982</v>
      </c>
      <c r="D58" s="885" t="s">
        <v>1095</v>
      </c>
      <c r="E58" s="868"/>
      <c r="F58" s="1915">
        <f>'Expenditures 15-22'!G151</f>
        <v>0</v>
      </c>
      <c r="G58" s="865"/>
    </row>
    <row r="59" spans="1:7" x14ac:dyDescent="0.2">
      <c r="A59" s="893" t="s">
        <v>460</v>
      </c>
      <c r="B59" s="856" t="s">
        <v>1882</v>
      </c>
      <c r="C59" s="894" t="s">
        <v>982</v>
      </c>
      <c r="D59" s="856" t="s">
        <v>291</v>
      </c>
      <c r="F59" s="1916">
        <f>'Expenditures 15-22'!I151</f>
        <v>0</v>
      </c>
      <c r="G59" s="865"/>
    </row>
    <row r="60" spans="1:7" x14ac:dyDescent="0.2">
      <c r="A60" s="893" t="s">
        <v>499</v>
      </c>
      <c r="B60" s="856" t="s">
        <v>1883</v>
      </c>
      <c r="C60" s="894">
        <v>4000</v>
      </c>
      <c r="D60" s="856" t="s">
        <v>312</v>
      </c>
      <c r="F60" s="1914">
        <f>'Expenditures 15-22'!K160</f>
        <v>0</v>
      </c>
      <c r="G60" s="865"/>
    </row>
    <row r="61" spans="1:7" x14ac:dyDescent="0.2">
      <c r="A61" s="895" t="s">
        <v>499</v>
      </c>
      <c r="B61" s="895" t="s">
        <v>1884</v>
      </c>
      <c r="C61" s="896" t="str">
        <f>'Expenditures 15-22'!B170</f>
        <v>5300</v>
      </c>
      <c r="D61" s="897" t="s">
        <v>311</v>
      </c>
      <c r="E61" s="879"/>
      <c r="F61" s="1913">
        <f>'Expenditures 15-22'!K170</f>
        <v>0</v>
      </c>
      <c r="G61" s="865"/>
    </row>
    <row r="62" spans="1:7" x14ac:dyDescent="0.2">
      <c r="A62" s="869" t="s">
        <v>461</v>
      </c>
      <c r="B62" s="869" t="s">
        <v>1885</v>
      </c>
      <c r="C62" s="886">
        <f>'Expenditures 15-22'!B185</f>
        <v>3000</v>
      </c>
      <c r="D62" s="876" t="s">
        <v>449</v>
      </c>
      <c r="E62" s="868"/>
      <c r="F62" s="1913">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1887</v>
      </c>
      <c r="C64" s="896" t="str">
        <f>'Expenditures 15-22'!B206</f>
        <v>5300</v>
      </c>
      <c r="D64" s="892" t="s">
        <v>311</v>
      </c>
      <c r="E64" s="868"/>
      <c r="F64" s="1913">
        <f>'Expenditures 15-22'!K206</f>
        <v>0</v>
      </c>
      <c r="G64" s="865"/>
    </row>
    <row r="65" spans="1:8" x14ac:dyDescent="0.2">
      <c r="A65" s="869" t="s">
        <v>461</v>
      </c>
      <c r="B65" s="869" t="s">
        <v>1888</v>
      </c>
      <c r="C65" s="886" t="s">
        <v>982</v>
      </c>
      <c r="D65" s="885" t="s">
        <v>1095</v>
      </c>
      <c r="E65" s="868"/>
      <c r="F65" s="1913">
        <f>'Expenditures 15-22'!G210</f>
        <v>0</v>
      </c>
      <c r="G65" s="865"/>
    </row>
    <row r="66" spans="1:8" x14ac:dyDescent="0.2">
      <c r="A66" s="869" t="s">
        <v>461</v>
      </c>
      <c r="B66" s="869" t="s">
        <v>1889</v>
      </c>
      <c r="C66" s="886" t="s">
        <v>982</v>
      </c>
      <c r="D66" s="885" t="s">
        <v>291</v>
      </c>
      <c r="E66" s="868"/>
      <c r="F66" s="1913">
        <f>'Expenditures 15-22'!I210</f>
        <v>0</v>
      </c>
      <c r="G66" s="865"/>
    </row>
    <row r="67" spans="1:8" x14ac:dyDescent="0.2">
      <c r="A67" s="869" t="s">
        <v>462</v>
      </c>
      <c r="B67" s="869" t="s">
        <v>1890</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1892</v>
      </c>
      <c r="C70" s="886">
        <f>'Expenditures 15-22'!B221</f>
        <v>1300</v>
      </c>
      <c r="D70" s="887" t="str">
        <f>'Expenditures 15-22'!A221</f>
        <v>Adult/Continuing Education Programs</v>
      </c>
      <c r="E70" s="868"/>
      <c r="F70" s="1913">
        <f>'Expenditures 15-22'!K221</f>
        <v>0</v>
      </c>
      <c r="G70" s="865"/>
    </row>
    <row r="71" spans="1:8" x14ac:dyDescent="0.2">
      <c r="A71" s="869" t="s">
        <v>462</v>
      </c>
      <c r="B71" s="869" t="s">
        <v>1893</v>
      </c>
      <c r="C71" s="886">
        <f>'Expenditures 15-22'!B224</f>
        <v>1600</v>
      </c>
      <c r="D71" s="887" t="str">
        <f>'Expenditures 15-22'!A224</f>
        <v>Summer School Programs</v>
      </c>
      <c r="E71" s="868"/>
      <c r="F71" s="1913">
        <f>'Expenditures 15-22'!K224</f>
        <v>0</v>
      </c>
      <c r="G71" s="865"/>
    </row>
    <row r="72" spans="1:8" x14ac:dyDescent="0.2">
      <c r="A72" s="869" t="s">
        <v>462</v>
      </c>
      <c r="B72" s="869" t="s">
        <v>1894</v>
      </c>
      <c r="C72" s="886">
        <f>'Expenditures 15-22'!B280</f>
        <v>3000</v>
      </c>
      <c r="D72" s="876" t="s">
        <v>449</v>
      </c>
      <c r="E72" s="868"/>
      <c r="F72" s="1913">
        <f>'Expenditures 15-22'!K280</f>
        <v>0</v>
      </c>
      <c r="G72" s="865"/>
    </row>
    <row r="73" spans="1:8" x14ac:dyDescent="0.2">
      <c r="A73" s="869" t="s">
        <v>462</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1896</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958</v>
      </c>
      <c r="F76" s="1778">
        <f>SUM(F18:F74)</f>
        <v>217650</v>
      </c>
      <c r="G76" s="865"/>
    </row>
    <row r="77" spans="1:8" s="893" customFormat="1" ht="12" customHeight="1" thickTop="1" thickBot="1" x14ac:dyDescent="0.25">
      <c r="A77" s="1779"/>
      <c r="B77" s="1776"/>
      <c r="C77" s="1772"/>
      <c r="D77" s="1777" t="s">
        <v>1898</v>
      </c>
      <c r="E77" s="1774"/>
      <c r="F77" s="1780">
        <f>(F14-F76)</f>
        <v>3226629</v>
      </c>
      <c r="G77" s="869"/>
    </row>
    <row r="78" spans="1:8" s="893" customFormat="1" ht="12" customHeight="1" thickTop="1" x14ac:dyDescent="0.2">
      <c r="A78" s="1781"/>
      <c r="B78" s="1776"/>
      <c r="C78" s="1772"/>
      <c r="D78" s="1777" t="s">
        <v>2059</v>
      </c>
      <c r="E78" s="1774"/>
      <c r="F78" s="898">
        <v>0</v>
      </c>
      <c r="G78" s="899"/>
      <c r="H78" s="869"/>
    </row>
    <row r="79" spans="1:8" s="893" customFormat="1" ht="12" customHeight="1" thickBot="1" x14ac:dyDescent="0.25">
      <c r="A79" s="1782"/>
      <c r="B79" s="1776"/>
      <c r="C79" s="1772"/>
      <c r="D79" s="1777" t="s">
        <v>1899</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2000</v>
      </c>
      <c r="C105" s="913">
        <v>3100</v>
      </c>
      <c r="D105" s="919" t="str">
        <f>'Revenues 9-14'!A132</f>
        <v>Total Special Education</v>
      </c>
      <c r="E105" s="906"/>
      <c r="F105" s="1789">
        <f>SUM('Revenues 9-14'!C132:D132,'Revenues 9-14'!F132)</f>
        <v>13852</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0</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0</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2007</v>
      </c>
      <c r="C112" s="920">
        <f>'Revenues 9-14'!B156</f>
        <v>3610</v>
      </c>
      <c r="D112" s="911" t="str">
        <f>'Revenues 9-14'!A156</f>
        <v>Learning Improvement - Change Grants</v>
      </c>
      <c r="E112" s="906"/>
      <c r="F112" s="1789">
        <f>'Revenues 9-14'!C156</f>
        <v>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0</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9">
        <f>SUM('Revenues 9-14'!C198,'Revenues 9-14'!G198)</f>
        <v>0</v>
      </c>
      <c r="G125" s="930"/>
    </row>
    <row r="126" spans="1:7" x14ac:dyDescent="0.2">
      <c r="A126" s="927" t="s">
        <v>668</v>
      </c>
      <c r="B126" s="927" t="s">
        <v>2021</v>
      </c>
      <c r="C126" s="932">
        <v>4300</v>
      </c>
      <c r="D126" s="933" t="str">
        <f>'Revenues 9-14'!A204</f>
        <v>Total Title I</v>
      </c>
      <c r="E126" s="906"/>
      <c r="F126" s="1789">
        <f>SUM('Revenues 9-14'!C204,'Revenues 9-14'!D204,'Revenues 9-14'!F204,'Revenues 9-14'!G204)</f>
        <v>0</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1264939</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0</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16402</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80893</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145117</v>
      </c>
      <c r="G170" s="927"/>
    </row>
    <row r="171" spans="1:7" x14ac:dyDescent="0.2">
      <c r="A171" s="1918" t="s">
        <v>5</v>
      </c>
      <c r="B171" s="1919" t="s">
        <v>1918</v>
      </c>
      <c r="C171" s="1920">
        <v>3100</v>
      </c>
      <c r="D171" s="1921" t="s">
        <v>1920</v>
      </c>
      <c r="E171" s="906"/>
      <c r="F171" s="1906"/>
      <c r="G171" s="927"/>
    </row>
    <row r="172" spans="1:7" x14ac:dyDescent="0.2">
      <c r="A172" s="1918" t="s">
        <v>664</v>
      </c>
      <c r="B172" s="1919" t="s">
        <v>1918</v>
      </c>
      <c r="C172" s="1920">
        <v>3300</v>
      </c>
      <c r="D172" s="1921" t="s">
        <v>1921</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1521203</v>
      </c>
    </row>
    <row r="175" spans="1:7" ht="12" customHeight="1" x14ac:dyDescent="0.2">
      <c r="A175" s="1770"/>
      <c r="B175" s="1784"/>
      <c r="C175" s="1785"/>
      <c r="D175" s="1786" t="s">
        <v>2054</v>
      </c>
      <c r="E175" s="1787"/>
      <c r="F175" s="1789">
        <f>'PCTC-OEPP 27-28'!F77-F174</f>
        <v>1705426</v>
      </c>
    </row>
    <row r="176" spans="1:7" ht="12" customHeight="1" x14ac:dyDescent="0.2">
      <c r="A176" s="1770"/>
      <c r="B176" s="1784"/>
      <c r="C176" s="1785"/>
      <c r="D176" s="1786" t="s">
        <v>1816</v>
      </c>
      <c r="E176" s="1787"/>
      <c r="F176" s="1789">
        <f>'Cap Outlay Deprec 26'!I18</f>
        <v>79020</v>
      </c>
    </row>
    <row r="177" spans="1:7" ht="12" customHeight="1" x14ac:dyDescent="0.2">
      <c r="A177" s="1770"/>
      <c r="B177" s="1784"/>
      <c r="C177" s="1785"/>
      <c r="D177" s="1786" t="s">
        <v>2055</v>
      </c>
      <c r="E177" s="1787"/>
      <c r="F177" s="1789">
        <f>F175+F176</f>
        <v>1784446</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2056</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1817</v>
      </c>
      <c r="B4" s="2273"/>
      <c r="C4" s="2273"/>
      <c r="D4" s="2273"/>
      <c r="E4" s="2273"/>
      <c r="F4" s="2273"/>
      <c r="G4" s="2274"/>
    </row>
    <row r="5" spans="1:7" x14ac:dyDescent="0.25">
      <c r="A5" s="2275"/>
      <c r="B5" s="2276"/>
      <c r="C5" s="2276"/>
      <c r="D5" s="2276"/>
      <c r="E5" s="2276"/>
      <c r="F5" s="2276"/>
      <c r="G5" s="2277"/>
    </row>
    <row r="6" spans="1:7" ht="18.75" x14ac:dyDescent="0.25">
      <c r="A6" s="1938" t="s">
        <v>2063</v>
      </c>
      <c r="B6" s="1939"/>
      <c r="C6" s="1939"/>
      <c r="D6" s="1939"/>
      <c r="E6" s="1939"/>
      <c r="F6" s="1939"/>
      <c r="G6" s="1940"/>
    </row>
    <row r="7" spans="1:7" ht="18.75" x14ac:dyDescent="0.25">
      <c r="A7" s="1534" t="s">
        <v>1818</v>
      </c>
      <c r="B7" s="1535"/>
      <c r="C7" s="1535"/>
      <c r="D7" s="1535"/>
      <c r="E7" s="1535"/>
      <c r="F7" s="1535"/>
      <c r="G7" s="1536"/>
    </row>
    <row r="8" spans="1:7" ht="30.75" customHeight="1" x14ac:dyDescent="0.25">
      <c r="A8" s="2278" t="s">
        <v>1930</v>
      </c>
      <c r="B8" s="2279"/>
      <c r="C8" s="2279"/>
      <c r="D8" s="2279"/>
      <c r="E8" s="2279"/>
      <c r="F8" s="2279"/>
      <c r="G8" s="2280"/>
    </row>
    <row r="9" spans="1:7" ht="15.75" customHeight="1" x14ac:dyDescent="0.25">
      <c r="A9" s="2281" t="s">
        <v>1905</v>
      </c>
      <c r="B9" s="2282"/>
      <c r="C9" s="2282"/>
      <c r="D9" s="2282"/>
      <c r="E9" s="2282"/>
      <c r="F9" s="2282"/>
      <c r="G9" s="2283"/>
    </row>
    <row r="10" spans="1:7" ht="35.25" customHeight="1" x14ac:dyDescent="0.25">
      <c r="A10" s="2278" t="s">
        <v>2062</v>
      </c>
      <c r="B10" s="2279"/>
      <c r="C10" s="2279"/>
      <c r="D10" s="2279"/>
      <c r="E10" s="2279"/>
      <c r="F10" s="2279"/>
      <c r="G10" s="2280"/>
    </row>
    <row r="11" spans="1:7" ht="15" customHeight="1" x14ac:dyDescent="0.25">
      <c r="A11" s="1537" t="s">
        <v>1819</v>
      </c>
      <c r="B11" s="1538"/>
      <c r="C11" s="1538"/>
      <c r="D11" s="1538"/>
      <c r="E11" s="1538"/>
      <c r="F11" s="1538"/>
      <c r="G11" s="1539"/>
    </row>
    <row r="12" spans="1:7" ht="17.25" customHeight="1" x14ac:dyDescent="0.25">
      <c r="A12" s="2278" t="s">
        <v>1932</v>
      </c>
      <c r="B12" s="2279"/>
      <c r="C12" s="2279"/>
      <c r="D12" s="2279"/>
      <c r="E12" s="2279"/>
      <c r="F12" s="2279"/>
      <c r="G12" s="2280"/>
    </row>
    <row r="13" spans="1:7" ht="15" customHeight="1" x14ac:dyDescent="0.25">
      <c r="A13" s="1537" t="s">
        <v>1824</v>
      </c>
      <c r="B13" s="1538"/>
      <c r="C13" s="1538"/>
      <c r="D13" s="1538"/>
      <c r="E13" s="1538"/>
      <c r="F13" s="1538"/>
      <c r="G13" s="1539"/>
    </row>
    <row r="14" spans="1:7" ht="32.25" customHeight="1" x14ac:dyDescent="0.25">
      <c r="A14" s="2269" t="s">
        <v>1973</v>
      </c>
      <c r="B14" s="2270"/>
      <c r="C14" s="2270"/>
      <c r="D14" s="2270"/>
      <c r="E14" s="2270"/>
      <c r="F14" s="2270"/>
      <c r="G14" s="2271"/>
    </row>
    <row r="15" spans="1:7" x14ac:dyDescent="0.25">
      <c r="A15" s="1661" t="s">
        <v>1832</v>
      </c>
      <c r="B15" s="1662"/>
      <c r="C15" s="1662"/>
      <c r="D15" s="1662"/>
      <c r="E15" s="1662"/>
      <c r="F15" s="1662"/>
      <c r="G15" s="1663"/>
    </row>
    <row r="16" spans="1:7" ht="61.5" customHeight="1" x14ac:dyDescent="0.25">
      <c r="A16" s="1546" t="s">
        <v>1825</v>
      </c>
      <c r="B16" s="1546" t="s">
        <v>1826</v>
      </c>
      <c r="C16" s="1546" t="s">
        <v>1827</v>
      </c>
      <c r="D16" s="1547" t="s">
        <v>1828</v>
      </c>
      <c r="E16" s="1547" t="s">
        <v>1820</v>
      </c>
      <c r="F16" s="1547" t="s">
        <v>1829</v>
      </c>
      <c r="G16" s="1547" t="s">
        <v>1830</v>
      </c>
    </row>
    <row r="17" spans="1:8" x14ac:dyDescent="0.25">
      <c r="A17" s="1648" t="s">
        <v>1833</v>
      </c>
      <c r="B17" s="1649" t="s">
        <v>1823</v>
      </c>
      <c r="C17" s="1650" t="s">
        <v>1821</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2081</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6254</v>
      </c>
      <c r="F10" s="974"/>
      <c r="G10" s="975"/>
      <c r="H10" s="162"/>
      <c r="I10" s="162"/>
    </row>
    <row r="11" spans="1:9" s="668" customFormat="1" ht="22.5" customHeight="1" x14ac:dyDescent="0.2">
      <c r="A11" s="2289" t="s">
        <v>1974</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1001179</v>
      </c>
      <c r="F19" s="1799"/>
      <c r="G19" s="1801">
        <f>'Expenditures 15-22'!K33-SUM('Expenditures 15-22'!G33,'Expenditures 15-22'!I33)+'Expenditures 15-22'!D229</f>
        <v>1001179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1234130</v>
      </c>
      <c r="F21" s="1802"/>
      <c r="G21" s="1805">
        <f>'Expenditures 15-22'!K42-SUM('Expenditures 15-22'!G42,'Expenditures 15-22'!I42)+'Expenditures 15-22'!K120-SUM('Expenditures 15-22'!G120,'Expenditures 15-22'!I120)+'Expenditures 15-22'!K180-SUM('Expenditures 15-22'!G180,'Expenditures 15-22'!I180)+'Expenditures 15-22'!D238</f>
        <v>1234130</v>
      </c>
      <c r="H21" s="987"/>
      <c r="I21" s="162"/>
    </row>
    <row r="22" spans="1:9" s="668" customFormat="1" ht="12" customHeight="1" x14ac:dyDescent="0.2">
      <c r="A22" s="994" t="s">
        <v>564</v>
      </c>
      <c r="B22" s="995"/>
      <c r="C22" s="993">
        <v>2200</v>
      </c>
      <c r="D22" s="1802"/>
      <c r="E22" s="1804">
        <f>'Expenditures 15-22'!K47-SUM('Expenditures 15-22'!G47,'Expenditures 15-22'!I47)+'Expenditures 15-22'!D243</f>
        <v>107851</v>
      </c>
      <c r="F22" s="1802"/>
      <c r="G22" s="1805">
        <f>'Expenditures 15-22'!K47-SUM('Expenditures 15-22'!G47,'Expenditures 15-22'!I47)+'Expenditures 15-22'!D243</f>
        <v>107851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732730</v>
      </c>
      <c r="F23" s="1802"/>
      <c r="G23" s="1804">
        <f>'Expenditures 15-22'!K53-SUM('Expenditures 15-22'!G53,'Expenditures 15-22'!I53)+'Expenditures 15-22'!D257+'Expenditures 15-22'!K330-SUM('Expenditures 15-22'!G330,'Expenditures 15-22'!I330)</f>
        <v>732730</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5640</v>
      </c>
      <c r="E27" s="1804">
        <f>E8</f>
        <v>0</v>
      </c>
      <c r="F27" s="1804">
        <f>'Expenditures 15-22'!K60-SUM('Expenditures 15-22'!G60,'Expenditures 15-22'!I60)+'Expenditures 15-22'!D264-E8</f>
        <v>5640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48210</v>
      </c>
      <c r="F28" s="1806">
        <f>'Expenditures 15-22'!K61-SUM('Expenditures 15-22'!G61,'Expenditures 15-22'!I61)+'Expenditures 15-22'!K124-SUM('Expenditures 15-22'!G124,'Expenditures 15-22'!I124)+'Expenditures 15-22'!D266-E9</f>
        <v>48210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90635</v>
      </c>
      <c r="F29" s="1802"/>
      <c r="G29" s="1805">
        <f>'Expenditures 15-22'!K62-SUM('Expenditures 15-22'!G62,'Expenditures 15-22'!I62)+'Expenditures 15-22'!K125-SUM('Expenditures 15-22'!G125,'Expenditures 15-22'!I125)+'Expenditures 15-22'!K182-SUM('Expenditures 15-22'!G182,'Expenditures 15-22'!I182)+'Expenditures 15-22'!D267</f>
        <v>90635</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25757</v>
      </c>
      <c r="F39" s="1802"/>
      <c r="G39" s="1804">
        <f>'Expenditures 15-22'!K75-SUM('Expenditures 15-22'!G75,'Expenditures 15-22'!I75)+'Expenditures 15-22'!K130-SUM('Expenditures 15-22'!G130,'Expenditures 15-22'!I130)+'Expenditures 15-22'!K185-SUM('Expenditures 15-22'!G185,'Expenditures 15-22'!I185)+'Expenditures 15-22'!D280</f>
        <v>25757</v>
      </c>
    </row>
    <row r="40" spans="1:7" ht="12" customHeight="1" x14ac:dyDescent="0.2">
      <c r="A40" s="990" t="s">
        <v>1822</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5640</v>
      </c>
      <c r="E41" s="1806">
        <f>SUM(E19:E40)</f>
        <v>3240492</v>
      </c>
      <c r="F41" s="1806">
        <f>SUM(F19:F39)</f>
        <v>53850</v>
      </c>
      <c r="G41" s="1806">
        <f>SUM(G19:G40)</f>
        <v>3192282</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5640</v>
      </c>
      <c r="F43" s="1807" t="s">
        <v>473</v>
      </c>
      <c r="G43" s="1808">
        <f>F41</f>
        <v>53850</v>
      </c>
    </row>
    <row r="44" spans="1:7" ht="12" customHeight="1" x14ac:dyDescent="0.2">
      <c r="A44" s="987"/>
      <c r="B44" s="162"/>
      <c r="C44" s="1001"/>
      <c r="D44" s="1807" t="s">
        <v>474</v>
      </c>
      <c r="E44" s="1808">
        <f>E41</f>
        <v>3240492</v>
      </c>
      <c r="F44" s="1807" t="s">
        <v>474</v>
      </c>
      <c r="G44" s="1808">
        <f>G41</f>
        <v>3192282</v>
      </c>
    </row>
    <row r="45" spans="1:7" ht="12" customHeight="1" x14ac:dyDescent="0.2">
      <c r="A45" s="987"/>
      <c r="B45" s="162"/>
      <c r="C45" s="162"/>
      <c r="D45" s="1809" t="s">
        <v>1006</v>
      </c>
      <c r="E45" s="1810">
        <f>(E43/E44)</f>
        <v>1.7404764461692855E-3</v>
      </c>
      <c r="F45" s="1809" t="s">
        <v>1006</v>
      </c>
      <c r="G45" s="1810">
        <f>(G43/G44)</f>
        <v>1.68688104622336E-2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1910</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Rural Champaign Co Spec Ed Coop</v>
      </c>
      <c r="D6" s="2310"/>
      <c r="E6" s="2310"/>
      <c r="F6" s="1852"/>
    </row>
    <row r="7" spans="1:10" ht="11.25" customHeight="1" thickBot="1" x14ac:dyDescent="0.3">
      <c r="A7" s="1850"/>
      <c r="B7" s="1851"/>
      <c r="C7" s="2311">
        <f>COVER!A13</f>
        <v>9010801060</v>
      </c>
      <c r="D7" s="2311"/>
      <c r="E7" s="2311"/>
      <c r="F7" s="1852"/>
    </row>
    <row r="8" spans="1:10" ht="25.5" customHeight="1" thickBot="1" x14ac:dyDescent="0.25">
      <c r="A8" s="1893" t="s">
        <v>1906</v>
      </c>
      <c r="B8" s="1853" t="s">
        <v>2072</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Rural Champaign Co Spec Ed Coop</v>
      </c>
      <c r="J6" s="2320"/>
      <c r="Q6" s="1664"/>
    </row>
    <row r="7" spans="1:17" x14ac:dyDescent="0.2">
      <c r="A7" s="2321" t="s">
        <v>869</v>
      </c>
      <c r="B7" s="2322"/>
      <c r="C7" s="2322"/>
      <c r="D7" s="2322"/>
      <c r="E7" s="2323"/>
      <c r="F7" s="1017"/>
      <c r="G7" s="1009"/>
      <c r="H7" s="1016" t="s">
        <v>372</v>
      </c>
      <c r="I7" s="2324">
        <f>COVER!A13</f>
        <v>9010801060</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768565</v>
      </c>
      <c r="F12" s="1039"/>
      <c r="G12" s="1811">
        <f t="shared" ref="G12:G18" si="0">SUM(E12:F12)</f>
        <v>768565</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768565</v>
      </c>
      <c r="F19" s="1813">
        <f t="shared" si="2"/>
        <v>0</v>
      </c>
      <c r="G19" s="1813">
        <f t="shared" si="2"/>
        <v>768565</v>
      </c>
      <c r="H19" s="1813">
        <f t="shared" si="2"/>
        <v>0</v>
      </c>
      <c r="I19" s="1813">
        <f t="shared" si="2"/>
        <v>0</v>
      </c>
      <c r="J19" s="1813">
        <f t="shared" si="2"/>
        <v>0</v>
      </c>
    </row>
    <row r="20" spans="1:10" ht="13.5" thickTop="1" x14ac:dyDescent="0.2">
      <c r="A20" s="1035">
        <v>9</v>
      </c>
      <c r="B20" s="2331" t="s">
        <v>1978</v>
      </c>
      <c r="C20" s="2331"/>
      <c r="D20" s="2332"/>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1980</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1"/>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2082</v>
      </c>
    </row>
    <row r="6" spans="1:2" x14ac:dyDescent="0.2">
      <c r="A6" s="1068"/>
      <c r="B6" s="329" t="s">
        <v>2083</v>
      </c>
    </row>
    <row r="7" spans="1:2" x14ac:dyDescent="0.2">
      <c r="A7" s="1068"/>
      <c r="B7" s="329" t="s">
        <v>2084</v>
      </c>
    </row>
    <row r="8" spans="1:2" x14ac:dyDescent="0.2">
      <c r="A8" s="1068"/>
    </row>
    <row r="9" spans="1:2" x14ac:dyDescent="0.2">
      <c r="A9" s="1068">
        <v>2</v>
      </c>
      <c r="B9" s="329" t="s">
        <v>2085</v>
      </c>
    </row>
    <row r="10" spans="1:2" x14ac:dyDescent="0.2">
      <c r="A10" s="1068"/>
      <c r="B10" s="329" t="s">
        <v>2083</v>
      </c>
    </row>
    <row r="11" spans="1:2" x14ac:dyDescent="0.2">
      <c r="A11" s="1068"/>
      <c r="B11" s="329" t="s">
        <v>2086</v>
      </c>
    </row>
    <row r="12" spans="1:2" x14ac:dyDescent="0.2">
      <c r="A12" s="1068"/>
    </row>
    <row r="13" spans="1:2" x14ac:dyDescent="0.2">
      <c r="A13" s="1068">
        <v>3</v>
      </c>
      <c r="B13" s="329" t="s">
        <v>2087</v>
      </c>
    </row>
    <row r="14" spans="1:2" x14ac:dyDescent="0.2">
      <c r="A14" s="1068"/>
      <c r="B14" s="329" t="s">
        <v>2088</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c r="B60" s="258" t="str">
        <f>COVER!A17</f>
        <v>Rural Champaign Co Spec Ed Coop</v>
      </c>
    </row>
    <row r="61" spans="1:2" x14ac:dyDescent="0.2">
      <c r="B61" s="1070">
        <f>COVER!A13</f>
        <v>9010801060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1984</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1985</v>
      </c>
      <c r="B4" s="2359"/>
      <c r="C4" s="2359"/>
      <c r="D4" s="2359"/>
      <c r="E4" s="2359"/>
      <c r="F4" s="2360"/>
      <c r="G4" s="1074"/>
      <c r="H4" s="1074"/>
    </row>
    <row r="5" spans="1:8" ht="14.25" customHeight="1" x14ac:dyDescent="0.2">
      <c r="A5" s="2361" t="s">
        <v>1981</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3029803</v>
      </c>
      <c r="C8" s="1815">
        <f>'Acct Summary 7-8'!D8</f>
        <v>0</v>
      </c>
      <c r="D8" s="1815">
        <f>'Acct Summary 7-8'!F8</f>
        <v>0</v>
      </c>
      <c r="E8" s="1815">
        <f>'Acct Summary 7-8'!I8</f>
        <v>0</v>
      </c>
      <c r="F8" s="1815">
        <f>SUM(B8:E8)</f>
        <v>3029803</v>
      </c>
    </row>
    <row r="9" spans="1:8" s="1079" customFormat="1" ht="14.25" customHeight="1" thickBot="1" x14ac:dyDescent="0.25">
      <c r="A9" s="1078" t="s">
        <v>1369</v>
      </c>
      <c r="B9" s="1816">
        <f>'Acct Summary 7-8'!C17</f>
        <v>3444279</v>
      </c>
      <c r="C9" s="1816">
        <f>'Acct Summary 7-8'!D17</f>
        <v>0</v>
      </c>
      <c r="D9" s="1816">
        <f>'Acct Summary 7-8'!F17</f>
        <v>0</v>
      </c>
      <c r="E9" s="1815"/>
      <c r="F9" s="1815">
        <f>SUM(B9:E9)</f>
        <v>3444279</v>
      </c>
    </row>
    <row r="10" spans="1:8" s="1079" customFormat="1" ht="14.25" thickTop="1" thickBot="1" x14ac:dyDescent="0.25">
      <c r="A10" s="1080" t="s">
        <v>1370</v>
      </c>
      <c r="B10" s="1817">
        <f>(B8-B9)</f>
        <v>-414476</v>
      </c>
      <c r="C10" s="1817">
        <f>(C8-C9)</f>
        <v>0</v>
      </c>
      <c r="D10" s="1817">
        <f>(D8-D9)</f>
        <v>0</v>
      </c>
      <c r="E10" s="1816">
        <f>(E8-E9)</f>
        <v>0</v>
      </c>
      <c r="F10" s="1818">
        <f>SUM(F8-F9)</f>
        <v>-414476</v>
      </c>
    </row>
    <row r="11" spans="1:8" s="1079" customFormat="1" ht="14.25" thickTop="1" thickBot="1" x14ac:dyDescent="0.25">
      <c r="A11" s="1081" t="s">
        <v>1982</v>
      </c>
      <c r="B11" s="1819">
        <f>'Acct Summary 7-8'!C81</f>
        <v>929512</v>
      </c>
      <c r="C11" s="1819">
        <f>'Acct Summary 7-8'!D81</f>
        <v>0</v>
      </c>
      <c r="D11" s="1819">
        <f>'Acct Summary 7-8'!F81</f>
        <v>0</v>
      </c>
      <c r="E11" s="1819">
        <f>'Acct Summary 7-8'!I81</f>
        <v>0</v>
      </c>
      <c r="F11" s="1820">
        <f>SUM(B11:E11)</f>
        <v>929512</v>
      </c>
    </row>
    <row r="12" spans="1:8" ht="16.5" customHeight="1" thickTop="1" x14ac:dyDescent="0.2">
      <c r="A12" s="1082"/>
      <c r="B12" s="1083"/>
      <c r="C12" s="2343"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4"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9010801060</v>
      </c>
    </row>
    <row r="3" spans="1:2" x14ac:dyDescent="0.2">
      <c r="A3" t="s">
        <v>956</v>
      </c>
      <c r="B3" s="138" t="str">
        <f>COVER!A15</f>
        <v>CHAMPAIGN</v>
      </c>
    </row>
    <row r="4" spans="1:2" x14ac:dyDescent="0.2">
      <c r="A4" t="s">
        <v>1007</v>
      </c>
      <c r="B4" s="138" t="str">
        <f>COVER!A17</f>
        <v>Rural Champaign Co Spec Ed Coop</v>
      </c>
    </row>
    <row r="5" spans="1:2" x14ac:dyDescent="0.2">
      <c r="A5" t="s">
        <v>704</v>
      </c>
      <c r="B5" s="138" t="str">
        <f>COVER!A38</f>
        <v>JENNIFER ARMSTRONG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650000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929516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v>
      </c>
      <c r="C91" s="2" t="s">
        <v>573</v>
      </c>
      <c r="D91" s="2" t="str">
        <f t="shared" si="0"/>
        <v>Error?</v>
      </c>
    </row>
    <row r="92" spans="1:4" x14ac:dyDescent="0.2">
      <c r="A92" s="5">
        <v>31</v>
      </c>
      <c r="B92" s="138">
        <f>'Assets-Liab 5-6'!C39</f>
        <v>929512</v>
      </c>
      <c r="D92" s="2" t="str">
        <f t="shared" si="0"/>
        <v>Error?</v>
      </c>
    </row>
    <row r="93" spans="1:4" x14ac:dyDescent="0.2">
      <c r="A93" s="5">
        <v>32</v>
      </c>
      <c r="B93" s="138">
        <f>'Assets-Liab 5-6'!C41</f>
        <v>929516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591886</v>
      </c>
      <c r="D274" s="2" t="str">
        <f t="shared" si="3"/>
        <v>Error?</v>
      </c>
    </row>
    <row r="275" spans="1:4" x14ac:dyDescent="0.2">
      <c r="A275" s="5">
        <v>214</v>
      </c>
      <c r="B275" s="138">
        <f>'Assets-Liab 5-6'!M18</f>
        <v>42863</v>
      </c>
      <c r="D275" s="2" t="str">
        <f t="shared" si="3"/>
        <v>Error?</v>
      </c>
    </row>
    <row r="276" spans="1:4" x14ac:dyDescent="0.2">
      <c r="A276" s="5">
        <v>215</v>
      </c>
      <c r="B276" s="138">
        <f>'Assets-Liab 5-6'!M19</f>
        <v>1233154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1867903</v>
      </c>
      <c r="C279" s="2" t="s">
        <v>573</v>
      </c>
      <c r="D279" s="2" t="str">
        <f t="shared" si="3"/>
        <v>Error?</v>
      </c>
    </row>
    <row r="280" spans="1:4" x14ac:dyDescent="0.2">
      <c r="A280" s="5">
        <v>219</v>
      </c>
      <c r="B280" s="138">
        <f>'Assets-Liab 5-6'!M40</f>
        <v>1867903</v>
      </c>
      <c r="D280" s="2" t="str">
        <f t="shared" si="3"/>
        <v>Error?</v>
      </c>
    </row>
    <row r="281" spans="1:4" x14ac:dyDescent="0.2">
      <c r="A281" s="5">
        <v>220</v>
      </c>
      <c r="B281" s="138">
        <f>'Assets-Liab 5-6'!M41</f>
        <v>1867903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574034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574034</v>
      </c>
      <c r="C720" s="2" t="s">
        <v>573</v>
      </c>
      <c r="D720" s="2" t="str">
        <f t="shared" si="10"/>
        <v>Error?</v>
      </c>
    </row>
    <row r="721" spans="1:4" x14ac:dyDescent="0.2">
      <c r="A721" s="5">
        <v>660</v>
      </c>
      <c r="B721" s="138">
        <f>'Expenditures 15-22'!C36</f>
        <v>447734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246539</v>
      </c>
      <c r="D723" s="2" t="str">
        <f t="shared" si="10"/>
        <v>Error?</v>
      </c>
    </row>
    <row r="724" spans="1:4" x14ac:dyDescent="0.2">
      <c r="A724" s="5">
        <v>663</v>
      </c>
      <c r="B724" s="138">
        <f>'Expenditures 15-22'!C39</f>
        <v>247903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942176</v>
      </c>
      <c r="C727" s="2" t="s">
        <v>573</v>
      </c>
      <c r="D727" s="2" t="str">
        <f t="shared" si="10"/>
        <v>Error?</v>
      </c>
    </row>
    <row r="728" spans="1:4" x14ac:dyDescent="0.2">
      <c r="A728" s="5">
        <v>667</v>
      </c>
      <c r="B728" s="138">
        <f>'Expenditures 15-22'!C44</f>
        <v>20598</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20598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476033</v>
      </c>
      <c r="D733" s="2" t="str">
        <f t="shared" si="10"/>
        <v>Error?</v>
      </c>
    </row>
    <row r="734" spans="1:4" x14ac:dyDescent="0.2">
      <c r="A734" s="5">
        <v>673</v>
      </c>
      <c r="B734" s="138">
        <f>'Expenditures 15-22'!C53</f>
        <v>476033</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1438807</v>
      </c>
      <c r="C755" s="2" t="s">
        <v>573</v>
      </c>
      <c r="D755" s="2" t="str">
        <f t="shared" si="10"/>
        <v>Error?</v>
      </c>
    </row>
    <row r="756" spans="1:4" x14ac:dyDescent="0.2">
      <c r="A756" s="5">
        <v>695</v>
      </c>
      <c r="B756" s="138">
        <f>'Expenditures 15-22'!C75</f>
        <v>8144</v>
      </c>
      <c r="D756" s="2" t="str">
        <f t="shared" si="10"/>
        <v>Error?</v>
      </c>
    </row>
    <row r="757" spans="1:4" x14ac:dyDescent="0.2">
      <c r="A757" s="5">
        <v>696</v>
      </c>
      <c r="B757" s="138">
        <f>'Expenditures 15-22'!C114</f>
        <v>2020985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213047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213047</v>
      </c>
      <c r="C778" s="2" t="s">
        <v>573</v>
      </c>
      <c r="D778" s="2" t="str">
        <f t="shared" si="11"/>
        <v>Error?</v>
      </c>
    </row>
    <row r="779" spans="1:4" x14ac:dyDescent="0.2">
      <c r="A779" s="5">
        <v>718</v>
      </c>
      <c r="B779" s="138">
        <f>'Expenditures 15-22'!D36</f>
        <v>111191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78234</v>
      </c>
      <c r="D781" s="2" t="str">
        <f t="shared" si="11"/>
        <v>Error?</v>
      </c>
    </row>
    <row r="782" spans="1:4" x14ac:dyDescent="0.2">
      <c r="A782" s="5">
        <v>721</v>
      </c>
      <c r="B782" s="138">
        <f>'Expenditures 15-22'!D39</f>
        <v>61054</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250479</v>
      </c>
      <c r="C785" s="2" t="s">
        <v>573</v>
      </c>
      <c r="D785" s="2" t="str">
        <f t="shared" si="11"/>
        <v>Error?</v>
      </c>
    </row>
    <row r="786" spans="1:4" x14ac:dyDescent="0.2">
      <c r="A786" s="5">
        <v>725</v>
      </c>
      <c r="B786" s="138">
        <f>'Expenditures 15-22'!D44</f>
        <v>11196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11196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121518</v>
      </c>
      <c r="D791" s="2" t="str">
        <f t="shared" si="11"/>
        <v>Error?</v>
      </c>
    </row>
    <row r="792" spans="1:4" x14ac:dyDescent="0.2">
      <c r="A792" s="5">
        <v>731</v>
      </c>
      <c r="B792" s="138">
        <f>'Expenditures 15-22'!D53</f>
        <v>121518</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383193</v>
      </c>
      <c r="C813" s="2" t="s">
        <v>573</v>
      </c>
      <c r="D813" s="2" t="str">
        <f t="shared" si="11"/>
        <v>Error?</v>
      </c>
    </row>
    <row r="814" spans="1:4" x14ac:dyDescent="0.2">
      <c r="A814" s="5">
        <v>753</v>
      </c>
      <c r="B814" s="138">
        <f>'Expenditures 15-22'!D75</f>
        <v>1616</v>
      </c>
      <c r="D814" s="2" t="str">
        <f t="shared" si="11"/>
        <v>Error?</v>
      </c>
    </row>
    <row r="815" spans="1:4" x14ac:dyDescent="0.2">
      <c r="A815" s="5">
        <v>754</v>
      </c>
      <c r="B815" s="138">
        <f>'Expenditures 15-22'!D114</f>
        <v>597856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49294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49294</v>
      </c>
      <c r="C836" s="2" t="s">
        <v>573</v>
      </c>
      <c r="D836" s="2" t="str">
        <f t="shared" si="12"/>
        <v>Error?</v>
      </c>
    </row>
    <row r="837" spans="1:4" x14ac:dyDescent="0.2">
      <c r="A837" s="5">
        <v>776</v>
      </c>
      <c r="B837" s="138">
        <f>'Expenditures 15-22'!E36</f>
        <v>7016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8688</v>
      </c>
      <c r="D839" s="2" t="str">
        <f t="shared" si="12"/>
        <v>Error?</v>
      </c>
    </row>
    <row r="840" spans="1:4" x14ac:dyDescent="0.2">
      <c r="A840" s="5">
        <v>779</v>
      </c>
      <c r="B840" s="138">
        <f>'Expenditures 15-22'!E39</f>
        <v>4821</v>
      </c>
      <c r="D840" s="2" t="str">
        <f t="shared" si="12"/>
        <v>Error?</v>
      </c>
    </row>
    <row r="841" spans="1:4" x14ac:dyDescent="0.2">
      <c r="A841" s="5">
        <v>780</v>
      </c>
      <c r="B841" s="138">
        <f>'Expenditures 15-22'!E40</f>
        <v>1276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21801</v>
      </c>
      <c r="C843" s="2" t="s">
        <v>573</v>
      </c>
      <c r="D843" s="2" t="str">
        <f t="shared" si="12"/>
        <v>Error?</v>
      </c>
    </row>
    <row r="844" spans="1:4" x14ac:dyDescent="0.2">
      <c r="A844" s="5">
        <v>783</v>
      </c>
      <c r="B844" s="138">
        <f>'Expenditures 15-22'!E44</f>
        <v>45409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45409</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85360</v>
      </c>
      <c r="D849" s="2" t="str">
        <f t="shared" si="12"/>
        <v>Error?</v>
      </c>
    </row>
    <row r="850" spans="1:4" x14ac:dyDescent="0.2">
      <c r="A850" s="5">
        <v>789</v>
      </c>
      <c r="B850" s="138">
        <f>'Expenditures 15-22'!E53</f>
        <v>85360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5640</v>
      </c>
      <c r="D855" s="2" t="str">
        <f t="shared" si="12"/>
        <v>Error?</v>
      </c>
    </row>
    <row r="856" spans="1:4" x14ac:dyDescent="0.2">
      <c r="A856" s="5">
        <v>795</v>
      </c>
      <c r="B856" s="138">
        <f>'Expenditures 15-22'!E61</f>
        <v>47929</v>
      </c>
      <c r="D856" s="2" t="str">
        <f t="shared" si="12"/>
        <v>Error?</v>
      </c>
    </row>
    <row r="857" spans="1:4" x14ac:dyDescent="0.2">
      <c r="A857" s="5">
        <v>796</v>
      </c>
      <c r="B857" s="138">
        <f>'Expenditures 15-22'!E62</f>
        <v>90635</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144204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296774</v>
      </c>
      <c r="C871" s="2" t="s">
        <v>573</v>
      </c>
      <c r="D871" s="2" t="str">
        <f t="shared" si="12"/>
        <v>Error?</v>
      </c>
    </row>
    <row r="872" spans="1:4" x14ac:dyDescent="0.2">
      <c r="A872" s="5">
        <v>811</v>
      </c>
      <c r="B872" s="138">
        <f>'Expenditures 15-22'!E75</f>
        <v>10540</v>
      </c>
      <c r="D872" s="2" t="str">
        <f t="shared" si="12"/>
        <v>Error?</v>
      </c>
    </row>
    <row r="873" spans="1:4" x14ac:dyDescent="0.2">
      <c r="A873" s="5">
        <v>812</v>
      </c>
      <c r="B873" s="138">
        <f>'Expenditures 15-22'!E114</f>
        <v>356608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164804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164804</v>
      </c>
      <c r="C894" s="2" t="s">
        <v>573</v>
      </c>
      <c r="D894" s="2" t="str">
        <f t="shared" si="12"/>
        <v>Error?</v>
      </c>
    </row>
    <row r="895" spans="1:4" x14ac:dyDescent="0.2">
      <c r="A895" s="5">
        <v>834</v>
      </c>
      <c r="B895" s="138">
        <f>'Expenditures 15-22'!F36</f>
        <v>9231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3365</v>
      </c>
      <c r="D897" s="2" t="str">
        <f t="shared" si="13"/>
        <v>Error?</v>
      </c>
    </row>
    <row r="898" spans="1:4" x14ac:dyDescent="0.2">
      <c r="A898" s="5">
        <v>837</v>
      </c>
      <c r="B898" s="138">
        <f>'Expenditures 15-22'!F39</f>
        <v>7078</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19674</v>
      </c>
      <c r="C901" s="2" t="s">
        <v>573</v>
      </c>
      <c r="D901" s="2" t="str">
        <f t="shared" si="13"/>
        <v>Error?</v>
      </c>
    </row>
    <row r="902" spans="1:4" x14ac:dyDescent="0.2">
      <c r="A902" s="5">
        <v>841</v>
      </c>
      <c r="B902" s="138">
        <f>'Expenditures 15-22'!F44</f>
        <v>30648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30648</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46971</v>
      </c>
      <c r="D907" s="2" t="str">
        <f t="shared" si="13"/>
        <v>Error?</v>
      </c>
    </row>
    <row r="908" spans="1:4" x14ac:dyDescent="0.2">
      <c r="A908" s="5">
        <v>847</v>
      </c>
      <c r="B908" s="138">
        <f>'Expenditures 15-22'!F53</f>
        <v>46971</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281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6254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6535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103828</v>
      </c>
      <c r="C929" s="2" t="s">
        <v>573</v>
      </c>
      <c r="D929" s="2" t="str">
        <f t="shared" si="13"/>
        <v>Error?</v>
      </c>
    </row>
    <row r="930" spans="1:4" x14ac:dyDescent="0.2">
      <c r="A930" s="5">
        <v>869</v>
      </c>
      <c r="B930" s="138">
        <f>'Expenditures 15-22'!F75</f>
        <v>5457</v>
      </c>
      <c r="D930" s="2" t="str">
        <f t="shared" si="13"/>
        <v>Error?</v>
      </c>
    </row>
    <row r="931" spans="1:4" x14ac:dyDescent="0.2">
      <c r="A931" s="5">
        <v>870</v>
      </c>
      <c r="B931" s="138">
        <f>'Expenditures 15-22'!F114</f>
        <v>274089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36802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36802</v>
      </c>
      <c r="C952" s="2" t="s">
        <v>573</v>
      </c>
      <c r="D952" s="2" t="str">
        <f t="shared" si="13"/>
        <v>Error?</v>
      </c>
    </row>
    <row r="953" spans="1:4" x14ac:dyDescent="0.2">
      <c r="A953" s="5">
        <v>892</v>
      </c>
      <c r="B953" s="138">
        <f>'Expenditures 15-22'!G36</f>
        <v>2404</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2400</v>
      </c>
      <c r="D955" s="2" t="str">
        <f t="shared" si="13"/>
        <v>Error?</v>
      </c>
    </row>
    <row r="956" spans="1:4" x14ac:dyDescent="0.2">
      <c r="A956" s="5">
        <v>895</v>
      </c>
      <c r="B956" s="138">
        <f>'Expenditures 15-22'!G39</f>
        <v>5699</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10503</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35835</v>
      </c>
      <c r="D965" s="2" t="str">
        <f t="shared" si="14"/>
        <v>Error?</v>
      </c>
    </row>
    <row r="966" spans="1:4" x14ac:dyDescent="0.2">
      <c r="A966" s="5">
        <v>905</v>
      </c>
      <c r="B966" s="138">
        <f>'Expenditures 15-22'!G53</f>
        <v>35835</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46338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83140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2848</v>
      </c>
      <c r="D1023" s="2" t="str">
        <f t="shared" ref="D1023:D1086" si="15">IF(ISBLANK(B1023),"OK",IF(A1023-B1023=0,"OK","Error?"))</f>
        <v>Error?</v>
      </c>
    </row>
    <row r="1024" spans="1:4" x14ac:dyDescent="0.2">
      <c r="A1024" s="5">
        <v>963</v>
      </c>
      <c r="B1024" s="138">
        <f>'Expenditures 15-22'!H53</f>
        <v>2848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2848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108753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111601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1037981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1037981</v>
      </c>
      <c r="C1108" s="2" t="s">
        <v>573</v>
      </c>
      <c r="D1108" s="2" t="str">
        <f t="shared" si="16"/>
        <v>Error?</v>
      </c>
    </row>
    <row r="1109" spans="1:4" x14ac:dyDescent="0.2">
      <c r="A1109" s="5">
        <v>1048</v>
      </c>
      <c r="B1109" s="138">
        <f>'Expenditures 15-22'!K36</f>
        <v>577576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339226</v>
      </c>
      <c r="C1111" s="2" t="s">
        <v>573</v>
      </c>
      <c r="D1111" s="2" t="str">
        <f t="shared" si="16"/>
        <v>Error?</v>
      </c>
    </row>
    <row r="1112" spans="1:4" x14ac:dyDescent="0.2">
      <c r="A1112" s="5">
        <v>1051</v>
      </c>
      <c r="B1112" s="138">
        <f>'Expenditures 15-22'!K39</f>
        <v>326555</v>
      </c>
      <c r="C1112" s="2" t="s">
        <v>573</v>
      </c>
      <c r="D1112" s="2" t="str">
        <f t="shared" si="16"/>
        <v>Error?</v>
      </c>
    </row>
    <row r="1113" spans="1:4" x14ac:dyDescent="0.2">
      <c r="A1113" s="5">
        <v>1052</v>
      </c>
      <c r="B1113" s="138">
        <f>'Expenditures 15-22'!K40</f>
        <v>1276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1244633</v>
      </c>
      <c r="C1115" s="2" t="s">
        <v>573</v>
      </c>
      <c r="D1115" s="2" t="str">
        <f t="shared" si="16"/>
        <v>Error?</v>
      </c>
    </row>
    <row r="1116" spans="1:4" x14ac:dyDescent="0.2">
      <c r="A1116" s="5">
        <v>1055</v>
      </c>
      <c r="B1116" s="138">
        <f>'Expenditures 15-22'!K44</f>
        <v>107851</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107851</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768565</v>
      </c>
      <c r="C1121" s="2" t="s">
        <v>573</v>
      </c>
      <c r="D1121" s="2" t="str">
        <f t="shared" si="16"/>
        <v>Error?</v>
      </c>
    </row>
    <row r="1122" spans="1:4" x14ac:dyDescent="0.2">
      <c r="A1122" s="5">
        <v>1061</v>
      </c>
      <c r="B1122" s="138">
        <f>'Expenditures 15-22'!K53</f>
        <v>768565</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5640</v>
      </c>
      <c r="C1127" s="2" t="s">
        <v>573</v>
      </c>
      <c r="D1127" s="2" t="str">
        <f t="shared" si="16"/>
        <v>Error?</v>
      </c>
    </row>
    <row r="1128" spans="1:4" x14ac:dyDescent="0.2">
      <c r="A1128" s="5">
        <v>1067</v>
      </c>
      <c r="B1128" s="138">
        <f>'Expenditures 15-22'!K61</f>
        <v>48210</v>
      </c>
      <c r="C1128" s="2" t="s">
        <v>573</v>
      </c>
      <c r="D1128" s="2" t="str">
        <f t="shared" si="16"/>
        <v>Error?</v>
      </c>
    </row>
    <row r="1129" spans="1:4" x14ac:dyDescent="0.2">
      <c r="A1129" s="5">
        <v>1068</v>
      </c>
      <c r="B1129" s="138">
        <f>'Expenditures 15-22'!K62</f>
        <v>90635</v>
      </c>
      <c r="C1129" s="2" t="s">
        <v>573</v>
      </c>
      <c r="D1129" s="2" t="str">
        <f t="shared" si="16"/>
        <v>Error?</v>
      </c>
    </row>
    <row r="1130" spans="1:4" x14ac:dyDescent="0.2">
      <c r="A1130" s="5">
        <v>1069</v>
      </c>
      <c r="B1130" s="138">
        <f>'Expenditures 15-22'!K63</f>
        <v>6254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150739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2271788</v>
      </c>
      <c r="C1143" s="2" t="s">
        <v>573</v>
      </c>
      <c r="D1143" s="2" t="str">
        <f t="shared" si="16"/>
        <v>Error?</v>
      </c>
    </row>
    <row r="1144" spans="1:4" x14ac:dyDescent="0.2">
      <c r="A1144" s="5">
        <v>1083</v>
      </c>
      <c r="B1144" s="138">
        <f>'Expenditures 15-22'!K75</f>
        <v>25757</v>
      </c>
      <c r="C1144" s="2" t="s">
        <v>573</v>
      </c>
      <c r="D1144" s="2" t="str">
        <f t="shared" si="16"/>
        <v>Error?</v>
      </c>
    </row>
    <row r="1145" spans="1:4" x14ac:dyDescent="0.2">
      <c r="A1145" s="5">
        <v>1084</v>
      </c>
      <c r="B1145" s="138">
        <f>'Expenditures 15-22'!K102</f>
        <v>108753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3444279</v>
      </c>
      <c r="C1152" s="2" t="s">
        <v>573</v>
      </c>
      <c r="D1152" s="2" t="str">
        <f t="shared" si="17"/>
        <v>Error?</v>
      </c>
    </row>
    <row r="1153" spans="1:4" x14ac:dyDescent="0.2">
      <c r="A1153" s="5">
        <v>1092</v>
      </c>
      <c r="B1153" s="138">
        <f>'Expenditures 15-22'!K115</f>
        <v>-414476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1343988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929512</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591886</v>
      </c>
      <c r="D2009" s="2" t="str">
        <f t="shared" si="30"/>
        <v>Error?</v>
      </c>
    </row>
    <row r="2010" spans="1:4" x14ac:dyDescent="0.2">
      <c r="A2010" s="5">
        <v>1949</v>
      </c>
      <c r="B2010" s="138">
        <f>'Cap Outlay Deprec 26'!C10</f>
        <v>42863</v>
      </c>
      <c r="D2010" s="2" t="str">
        <f t="shared" si="30"/>
        <v>Error?</v>
      </c>
    </row>
    <row r="2011" spans="1:4" x14ac:dyDescent="0.2">
      <c r="A2011" s="5">
        <v>1950</v>
      </c>
      <c r="B2011" s="138">
        <f>'Cap Outlay Deprec 26'!C12</f>
        <v>1150014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1784763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83140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83140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591886</v>
      </c>
      <c r="C2027" s="2" t="s">
        <v>573</v>
      </c>
      <c r="D2027" s="2" t="str">
        <f t="shared" si="30"/>
        <v>Error?</v>
      </c>
    </row>
    <row r="2028" spans="1:4" x14ac:dyDescent="0.2">
      <c r="A2028" s="5">
        <v>1967</v>
      </c>
      <c r="B2028" s="138">
        <f>'Cap Outlay Deprec 26'!F10</f>
        <v>42863</v>
      </c>
      <c r="C2028" s="2" t="s">
        <v>573</v>
      </c>
      <c r="D2028" s="2" t="str">
        <f t="shared" si="30"/>
        <v>Error?</v>
      </c>
    </row>
    <row r="2029" spans="1:4" x14ac:dyDescent="0.2">
      <c r="A2029" s="5">
        <v>1968</v>
      </c>
      <c r="B2029" s="138">
        <f>'Cap Outlay Deprec 26'!F12</f>
        <v>1233154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1867903</v>
      </c>
      <c r="C2031" s="2" t="s">
        <v>573</v>
      </c>
      <c r="D2031" s="2" t="str">
        <f t="shared" si="30"/>
        <v>Error?</v>
      </c>
    </row>
    <row r="2032" spans="1:4" x14ac:dyDescent="0.2">
      <c r="A2032" s="10">
        <v>1971</v>
      </c>
      <c r="D2032" s="2" t="str">
        <f t="shared" si="30"/>
        <v>OK</v>
      </c>
    </row>
    <row r="2033" spans="1:4" x14ac:dyDescent="0.2">
      <c r="A2033" s="5">
        <v>1972</v>
      </c>
      <c r="B2033" s="138">
        <f>'Cap Outlay Deprec 26'!H8</f>
        <v>35514</v>
      </c>
      <c r="D2033" s="2" t="str">
        <f t="shared" si="30"/>
        <v>Error?</v>
      </c>
    </row>
    <row r="2034" spans="1:4" x14ac:dyDescent="0.2">
      <c r="A2034" s="5">
        <v>1973</v>
      </c>
      <c r="B2034" s="138">
        <f>'Cap Outlay Deprec 26'!H10</f>
        <v>38575</v>
      </c>
      <c r="D2034" s="2" t="str">
        <f t="shared" si="30"/>
        <v>Error?</v>
      </c>
    </row>
    <row r="2035" spans="1:4" x14ac:dyDescent="0.2">
      <c r="A2035" s="5">
        <v>1974</v>
      </c>
      <c r="B2035" s="138">
        <f>'Cap Outlay Deprec 26'!H12</f>
        <v>827758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901847</v>
      </c>
      <c r="C2037" s="2" t="s">
        <v>573</v>
      </c>
      <c r="D2037" s="2" t="str">
        <f t="shared" si="30"/>
        <v>Error?</v>
      </c>
    </row>
    <row r="2038" spans="1:4" x14ac:dyDescent="0.2">
      <c r="A2038" s="10">
        <v>1977</v>
      </c>
      <c r="D2038" s="2" t="str">
        <f t="shared" si="30"/>
        <v>OK</v>
      </c>
    </row>
    <row r="2039" spans="1:4" x14ac:dyDescent="0.2">
      <c r="A2039" s="5">
        <v>1978</v>
      </c>
      <c r="B2039" s="138">
        <f>'Cap Outlay Deprec 26'!I8</f>
        <v>11837</v>
      </c>
      <c r="D2039" s="2" t="str">
        <f t="shared" si="30"/>
        <v>Error?</v>
      </c>
    </row>
    <row r="2040" spans="1:4" x14ac:dyDescent="0.2">
      <c r="A2040" s="5">
        <v>1979</v>
      </c>
      <c r="B2040" s="138">
        <f>'Cap Outlay Deprec 26'!I10</f>
        <v>2143</v>
      </c>
      <c r="D2040" s="2" t="str">
        <f t="shared" si="30"/>
        <v>Error?</v>
      </c>
    </row>
    <row r="2041" spans="1:4" x14ac:dyDescent="0.2">
      <c r="A2041" s="5">
        <v>1980</v>
      </c>
      <c r="B2041" s="138">
        <f>'Cap Outlay Deprec 26'!I12</f>
        <v>65040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79020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47351</v>
      </c>
      <c r="C2051" s="2" t="s">
        <v>573</v>
      </c>
      <c r="D2051" s="2" t="str">
        <f t="shared" si="31"/>
        <v>Error?</v>
      </c>
    </row>
    <row r="2052" spans="1:4" x14ac:dyDescent="0.2">
      <c r="A2052" s="5">
        <v>1991</v>
      </c>
      <c r="B2052" s="138">
        <f>'Cap Outlay Deprec 26'!K10</f>
        <v>40718</v>
      </c>
      <c r="C2052" s="2" t="s">
        <v>573</v>
      </c>
      <c r="D2052" s="2" t="str">
        <f t="shared" si="31"/>
        <v>Error?</v>
      </c>
    </row>
    <row r="2053" spans="1:4" x14ac:dyDescent="0.2">
      <c r="A2053" s="5">
        <v>1992</v>
      </c>
      <c r="B2053" s="138">
        <f>'Cap Outlay Deprec 26'!K12</f>
        <v>892798</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980867</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544535</v>
      </c>
      <c r="C2057" s="2" t="s">
        <v>573</v>
      </c>
      <c r="D2057" s="2" t="str">
        <f t="shared" si="31"/>
        <v>Error?</v>
      </c>
    </row>
    <row r="2058" spans="1:4" x14ac:dyDescent="0.2">
      <c r="A2058" s="5">
        <v>1997</v>
      </c>
      <c r="B2058" s="138">
        <f>'Cap Outlay Deprec 26'!L10</f>
        <v>2145</v>
      </c>
      <c r="C2058" s="2" t="s">
        <v>573</v>
      </c>
      <c r="D2058" s="2" t="str">
        <f t="shared" si="31"/>
        <v>Error?</v>
      </c>
    </row>
    <row r="2059" spans="1:4" x14ac:dyDescent="0.2">
      <c r="A2059" s="5">
        <v>1998</v>
      </c>
      <c r="B2059" s="138">
        <f>'Cap Outlay Deprec 26'!L12</f>
        <v>340356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887036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108753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108753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497412</v>
      </c>
      <c r="C2551" s="2" t="s">
        <v>573</v>
      </c>
      <c r="D2551" s="2" t="str">
        <f t="shared" si="38"/>
        <v>Error?</v>
      </c>
    </row>
    <row r="2552" spans="1:4" x14ac:dyDescent="0.2">
      <c r="A2552" s="10">
        <v>2491</v>
      </c>
      <c r="D2552" s="2" t="str">
        <f t="shared" si="38"/>
        <v>OK</v>
      </c>
    </row>
    <row r="2553" spans="1:4" x14ac:dyDescent="0.2">
      <c r="A2553" s="5">
        <v>2492</v>
      </c>
      <c r="B2553" s="138">
        <f>'Acct Summary 7-8'!C6</f>
        <v>977458</v>
      </c>
      <c r="C2553" s="2" t="s">
        <v>573</v>
      </c>
      <c r="D2553" s="2" t="str">
        <f t="shared" si="38"/>
        <v>Error?</v>
      </c>
    </row>
    <row r="2554" spans="1:4" x14ac:dyDescent="0.2">
      <c r="A2554" s="5">
        <v>2493</v>
      </c>
      <c r="B2554" s="138">
        <f>'Acct Summary 7-8'!C7</f>
        <v>1554933</v>
      </c>
      <c r="C2554" s="2" t="s">
        <v>573</v>
      </c>
      <c r="D2554" s="2" t="str">
        <f t="shared" si="38"/>
        <v>Error?</v>
      </c>
    </row>
    <row r="2555" spans="1:4" x14ac:dyDescent="0.2">
      <c r="A2555" s="5">
        <v>2494</v>
      </c>
      <c r="B2555" s="138">
        <f>'Acct Summary 7-8'!C8</f>
        <v>3029803</v>
      </c>
      <c r="C2555" s="2" t="s">
        <v>573</v>
      </c>
      <c r="D2555" s="2" t="str">
        <f t="shared" si="38"/>
        <v>Error?</v>
      </c>
    </row>
    <row r="2556" spans="1:4" x14ac:dyDescent="0.2">
      <c r="A2556" s="5">
        <v>2495</v>
      </c>
      <c r="B2556" s="138">
        <f>'Acct Summary 7-8'!C12</f>
        <v>1037981</v>
      </c>
      <c r="C2556" s="2" t="s">
        <v>573</v>
      </c>
      <c r="D2556" s="2" t="str">
        <f t="shared" si="38"/>
        <v>Error?</v>
      </c>
    </row>
    <row r="2557" spans="1:4" x14ac:dyDescent="0.2">
      <c r="A2557" s="5">
        <v>2496</v>
      </c>
      <c r="B2557" s="138">
        <f>'Acct Summary 7-8'!C13</f>
        <v>2271788</v>
      </c>
      <c r="C2557" s="2" t="s">
        <v>573</v>
      </c>
      <c r="D2557" s="2" t="str">
        <f t="shared" si="38"/>
        <v>Error?</v>
      </c>
    </row>
    <row r="2558" spans="1:4" x14ac:dyDescent="0.2">
      <c r="A2558" s="5">
        <v>2497</v>
      </c>
      <c r="B2558" s="138">
        <f>'Acct Summary 7-8'!C14</f>
        <v>25757</v>
      </c>
      <c r="C2558" s="2" t="s">
        <v>573</v>
      </c>
      <c r="D2558" s="2" t="str">
        <f t="shared" si="38"/>
        <v>Error?</v>
      </c>
    </row>
    <row r="2559" spans="1:4" x14ac:dyDescent="0.2">
      <c r="A2559" s="5">
        <v>2498</v>
      </c>
      <c r="B2559" s="138">
        <f>'Acct Summary 7-8'!C15</f>
        <v>108753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3444279</v>
      </c>
      <c r="C2561" s="2" t="s">
        <v>573</v>
      </c>
      <c r="D2561" s="2" t="str">
        <f t="shared" si="39"/>
        <v>Error?</v>
      </c>
    </row>
    <row r="2562" spans="1:4" x14ac:dyDescent="0.2">
      <c r="A2562" s="5">
        <v>2501</v>
      </c>
      <c r="B2562" s="138">
        <f>'Acct Summary 7-8'!C20</f>
        <v>-414476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108753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108753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-414476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279516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6254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929155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3958958</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929155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4373434</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929512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16402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80893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145117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472460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472460</v>
      </c>
      <c r="C5087" s="2" t="s">
        <v>573</v>
      </c>
      <c r="D5087" s="2" t="str">
        <f t="shared" si="78"/>
        <v>Error?</v>
      </c>
    </row>
    <row r="5088" spans="1:4" x14ac:dyDescent="0.2">
      <c r="A5088" s="5">
        <v>5027</v>
      </c>
      <c r="B5088" s="138">
        <f>'Revenues 9-14'!C65</f>
        <v>10937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10937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1142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12873</v>
      </c>
      <c r="D5119" s="2" t="str">
        <f t="shared" ref="D5119:D5182" si="79">IF(ISBLANK(B5119),"OK",IF(A5119-B5119=0,"OK","Error?"))</f>
        <v>Error?</v>
      </c>
    </row>
    <row r="5120" spans="1:4" x14ac:dyDescent="0.2">
      <c r="A5120" s="5">
        <v>5059</v>
      </c>
      <c r="B5120" s="138">
        <f>'Revenues 9-14'!C108</f>
        <v>14015</v>
      </c>
      <c r="C5120" s="2" t="s">
        <v>573</v>
      </c>
      <c r="D5120" s="2" t="str">
        <f t="shared" si="79"/>
        <v>Error?</v>
      </c>
    </row>
    <row r="5121" spans="1:4" x14ac:dyDescent="0.2">
      <c r="A5121" s="5">
        <v>5060</v>
      </c>
      <c r="B5121" s="138">
        <f>'Revenues 9-14'!C109</f>
        <v>497412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138517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138517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13852</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13852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825089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838941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977458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47582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1264939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1312521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1554933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1554933</v>
      </c>
      <c r="C5326" s="2" t="s">
        <v>573</v>
      </c>
      <c r="D5326" s="2" t="str">
        <f t="shared" si="82"/>
        <v>Error?</v>
      </c>
    </row>
    <row r="5327" spans="1:5" x14ac:dyDescent="0.2">
      <c r="A5327" s="5">
        <v>5266</v>
      </c>
      <c r="B5327" s="138">
        <f>'Revenues 9-14'!C268</f>
        <v>3029803</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-414476</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-0.44590709963938069</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79020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29'!D142</f>
        <v>0</v>
      </c>
      <c r="D7797" s="2" t="str">
        <f t="shared" si="127"/>
        <v>Error?</v>
      </c>
      <c r="E7797" s="4" t="s">
        <v>1902</v>
      </c>
    </row>
    <row r="7798" spans="1:5" x14ac:dyDescent="0.2">
      <c r="A7798">
        <v>7737</v>
      </c>
      <c r="B7798" s="138">
        <f>'Contracts Paid in CY 29'!F142</f>
        <v>0</v>
      </c>
      <c r="D7798" s="2" t="str">
        <f t="shared" si="127"/>
        <v>Error?</v>
      </c>
      <c r="E7798" s="4" t="s">
        <v>1902</v>
      </c>
    </row>
    <row r="7799" spans="1:5" x14ac:dyDescent="0.2">
      <c r="A7799">
        <v>7738</v>
      </c>
      <c r="B7799" s="138">
        <f>'Contracts Paid in CY 29'!G142</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3"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1986</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Rural Champaign Co Spec Ed Coop</v>
      </c>
      <c r="B7" s="2387"/>
      <c r="C7" s="2387"/>
      <c r="D7" s="2424"/>
      <c r="E7" s="2425">
        <f>COVER!A13</f>
        <v>9010801060</v>
      </c>
      <c r="F7" s="2426"/>
      <c r="G7" s="2393" t="str">
        <f>COVER!T23</f>
        <v>065.018319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RUSSELL LEIGH &amp; ASSOCIATES LLC</v>
      </c>
      <c r="H9" s="2400"/>
      <c r="I9" s="2400"/>
      <c r="J9" s="2400"/>
      <c r="K9" s="2400"/>
      <c r="L9" s="2401"/>
    </row>
    <row r="10" spans="1:29" ht="13.5" customHeight="1" x14ac:dyDescent="0.2">
      <c r="A10" s="2383" t="str">
        <f>COVER!A38</f>
        <v>JENNIFER ARMSTRONG</v>
      </c>
      <c r="B10" s="2384"/>
      <c r="C10" s="2384"/>
      <c r="D10" s="2384"/>
      <c r="E10" s="2384"/>
      <c r="F10" s="2385"/>
      <c r="G10" s="2399" t="str">
        <f>COVER!T17</f>
        <v>228 E MAIN ST</v>
      </c>
      <c r="H10" s="2412"/>
      <c r="I10" s="2412"/>
      <c r="J10" s="2412"/>
      <c r="K10" s="2412"/>
      <c r="L10" s="2413"/>
    </row>
    <row r="11" spans="1:29" ht="13.5" customHeight="1" x14ac:dyDescent="0.2">
      <c r="A11" s="1184" t="s">
        <v>1519</v>
      </c>
      <c r="B11" s="1185"/>
      <c r="C11" s="1186"/>
      <c r="D11" s="1191"/>
      <c r="E11" s="1186"/>
      <c r="F11" s="1190"/>
      <c r="G11" s="2399" t="str">
        <f>COVER!T19</f>
        <v>HOOPESTON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admin@russleigh.com</v>
      </c>
      <c r="J13" s="2421"/>
      <c r="K13" s="2421"/>
      <c r="L13" s="2422"/>
    </row>
    <row r="14" spans="1:29" ht="13.5" customHeight="1" x14ac:dyDescent="0.2">
      <c r="A14" s="2399" t="str">
        <f>COVER!A19</f>
        <v>807 N MATTIS AVE</v>
      </c>
      <c r="B14" s="2412"/>
      <c r="C14" s="2412"/>
      <c r="D14" s="2412"/>
      <c r="E14" s="2412"/>
      <c r="F14" s="2413"/>
      <c r="G14" s="1195" t="s">
        <v>1185</v>
      </c>
      <c r="H14" s="1193"/>
      <c r="I14" s="1193"/>
      <c r="J14" s="1193"/>
      <c r="K14" s="1193"/>
      <c r="L14" s="1194"/>
    </row>
    <row r="15" spans="1:29" ht="13.5" customHeight="1" x14ac:dyDescent="0.2">
      <c r="A15" s="2399" t="str">
        <f>COVER!A21</f>
        <v>CHAMPAIGN</v>
      </c>
      <c r="B15" s="2412"/>
      <c r="C15" s="2412"/>
      <c r="D15" s="2412"/>
      <c r="E15" s="2412"/>
      <c r="F15" s="2413"/>
      <c r="G15" s="2409" t="str">
        <f>COVER!T15</f>
        <v>RUSS LEIGH</v>
      </c>
      <c r="H15" s="2410"/>
      <c r="I15" s="2410"/>
      <c r="J15" s="2410"/>
      <c r="K15" s="2410"/>
      <c r="L15" s="2411"/>
    </row>
    <row r="16" spans="1:29" ht="12.2" customHeight="1" x14ac:dyDescent="0.2">
      <c r="A16" s="2389">
        <f>COVER!A25</f>
        <v>61821</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217-283-9336</v>
      </c>
      <c r="H18" s="2387"/>
      <c r="I18" s="2387"/>
      <c r="J18" s="2387"/>
      <c r="K18" s="2386" t="str">
        <f>COVER!X21</f>
        <v>217-283-9736</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6"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Rural Champaign Co Spec Ed Coop</v>
      </c>
      <c r="B1" s="2423"/>
      <c r="C1" s="2423"/>
      <c r="D1" s="2423"/>
    </row>
    <row r="2" spans="1:11" s="1212" customFormat="1" ht="12.75" x14ac:dyDescent="0.2">
      <c r="A2" s="2428">
        <f>'Single Audit Cover'!E7</f>
        <v>9010801060</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Rural Champaign Co Spec Ed Coop</v>
      </c>
      <c r="B1" s="2431"/>
      <c r="C1" s="2431"/>
      <c r="D1" s="2431"/>
      <c r="E1" s="2431"/>
    </row>
    <row r="2" spans="1:5" x14ac:dyDescent="0.2">
      <c r="A2" s="2432">
        <f>'Single Audit Cover'!E7</f>
        <v>9010801060</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1554933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1842</v>
      </c>
      <c r="B16" s="1259"/>
      <c r="C16" s="1259"/>
    </row>
    <row r="17" spans="1:4" x14ac:dyDescent="0.2">
      <c r="A17" s="1258" t="s">
        <v>2058</v>
      </c>
      <c r="B17" s="1259" t="s">
        <v>1236</v>
      </c>
      <c r="C17" s="1259"/>
      <c r="D17" s="1261">
        <f>-SUM('Revenues 9-14'!C264:D264,'Revenues 9-14'!F264:G264)</f>
        <v>-80893</v>
      </c>
    </row>
    <row r="19" spans="1:4" ht="13.5" thickBot="1" x14ac:dyDescent="0.25">
      <c r="A19" s="1262" t="s">
        <v>1235</v>
      </c>
      <c r="D19" s="1263">
        <f>SUM(D10:D17)</f>
        <v>1474040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1474040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1474040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F28" sqref="F2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Rural Champaign Co Spec Ed Coop</v>
      </c>
      <c r="C1" s="2435"/>
      <c r="D1" s="2435"/>
      <c r="E1" s="2435"/>
      <c r="F1" s="2435"/>
      <c r="G1" s="2435"/>
      <c r="H1" s="2435"/>
      <c r="I1" s="2435"/>
      <c r="J1" s="2435"/>
      <c r="K1" s="2435"/>
      <c r="L1" s="2435"/>
      <c r="M1" s="2435"/>
    </row>
    <row r="2" spans="2:14" ht="15" x14ac:dyDescent="0.2">
      <c r="B2" s="2436">
        <f>'Single Audit Cover'!E7</f>
        <v>9010801060</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1733</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1838</v>
      </c>
      <c r="I8" s="1316" t="s">
        <v>1262</v>
      </c>
      <c r="J8" s="1315" t="s">
        <v>1987</v>
      </c>
      <c r="K8" s="1316" t="s">
        <v>1261</v>
      </c>
      <c r="L8" s="1317" t="s">
        <v>1257</v>
      </c>
      <c r="M8" s="1318" t="s">
        <v>30</v>
      </c>
    </row>
    <row r="9" spans="2:14" ht="14.25" x14ac:dyDescent="0.2">
      <c r="B9" s="1322" t="s">
        <v>1259</v>
      </c>
      <c r="C9" s="1310" t="s">
        <v>1734</v>
      </c>
      <c r="D9" s="1311" t="s">
        <v>1735</v>
      </c>
      <c r="E9" s="1319" t="s">
        <v>1838</v>
      </c>
      <c r="F9" s="1320" t="s">
        <v>1987</v>
      </c>
      <c r="G9" s="1321" t="s">
        <v>1838</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2089</v>
      </c>
      <c r="C11" s="1335"/>
      <c r="D11" s="1336"/>
      <c r="E11" s="1337"/>
      <c r="F11" s="1337"/>
      <c r="G11" s="1337"/>
      <c r="H11" s="1337"/>
      <c r="I11" s="1337"/>
      <c r="J11" s="1337"/>
      <c r="K11" s="1337"/>
      <c r="L11" s="1337">
        <f>+G11+I11+K11</f>
        <v>0</v>
      </c>
      <c r="M11" s="1337"/>
    </row>
    <row r="12" spans="2:14" ht="20.100000000000001" customHeight="1" x14ac:dyDescent="0.2">
      <c r="B12" s="1334" t="s">
        <v>2090</v>
      </c>
      <c r="C12" s="1338"/>
      <c r="D12" s="1339"/>
      <c r="E12" s="1340"/>
      <c r="F12" s="1340"/>
      <c r="G12" s="1340"/>
      <c r="H12" s="1340"/>
      <c r="I12" s="1340"/>
      <c r="J12" s="1340"/>
      <c r="K12" s="1340"/>
      <c r="L12" s="1337">
        <f t="shared" ref="L12:L27" si="0">+G12+I12+K12</f>
        <v>0</v>
      </c>
      <c r="M12" s="1340"/>
    </row>
    <row r="13" spans="2:14" ht="20.100000000000001" customHeight="1" x14ac:dyDescent="0.2">
      <c r="B13" s="1334" t="s">
        <v>2091</v>
      </c>
      <c r="C13" s="1338" t="s">
        <v>2092</v>
      </c>
      <c r="D13" s="1339">
        <v>4600</v>
      </c>
      <c r="E13" s="1340">
        <v>6887</v>
      </c>
      <c r="F13" s="1340">
        <v>28410</v>
      </c>
      <c r="G13" s="1340">
        <v>34430</v>
      </c>
      <c r="H13" s="1340"/>
      <c r="I13" s="1340">
        <v>867</v>
      </c>
      <c r="J13" s="1340"/>
      <c r="K13" s="1340"/>
      <c r="L13" s="1337">
        <f t="shared" si="0"/>
        <v>35297</v>
      </c>
      <c r="M13" s="1340">
        <v>36000</v>
      </c>
    </row>
    <row r="14" spans="2:14" ht="20.100000000000001" customHeight="1" x14ac:dyDescent="0.2">
      <c r="B14" s="1334" t="s">
        <v>2093</v>
      </c>
      <c r="C14" s="1338" t="s">
        <v>2092</v>
      </c>
      <c r="D14" s="1339">
        <v>4600</v>
      </c>
      <c r="E14" s="1340"/>
      <c r="F14" s="1340">
        <v>19172</v>
      </c>
      <c r="G14" s="1340"/>
      <c r="H14" s="1340"/>
      <c r="I14" s="1340">
        <v>23323</v>
      </c>
      <c r="J14" s="1340"/>
      <c r="K14" s="1340"/>
      <c r="L14" s="1337">
        <f t="shared" si="0"/>
        <v>23323</v>
      </c>
      <c r="M14" s="1340">
        <v>30000</v>
      </c>
    </row>
    <row r="15" spans="2:14" ht="20.100000000000001" customHeight="1" x14ac:dyDescent="0.2">
      <c r="B15" s="1334" t="s">
        <v>2094</v>
      </c>
      <c r="C15" s="1338" t="s">
        <v>2095</v>
      </c>
      <c r="D15" s="1339">
        <v>4620</v>
      </c>
      <c r="E15" s="1340">
        <v>809110</v>
      </c>
      <c r="F15" s="1340">
        <v>356053</v>
      </c>
      <c r="G15" s="1340">
        <v>954664</v>
      </c>
      <c r="H15" s="1340"/>
      <c r="I15" s="1340">
        <v>210499</v>
      </c>
      <c r="J15" s="1340"/>
      <c r="K15" s="1340"/>
      <c r="L15" s="1337">
        <f t="shared" si="0"/>
        <v>1165163</v>
      </c>
      <c r="M15" s="1340">
        <v>1211000</v>
      </c>
    </row>
    <row r="16" spans="2:14" ht="20.100000000000001" customHeight="1" x14ac:dyDescent="0.2">
      <c r="B16" s="1334" t="s">
        <v>2094</v>
      </c>
      <c r="C16" s="1338" t="s">
        <v>2096</v>
      </c>
      <c r="D16" s="1339">
        <v>4620</v>
      </c>
      <c r="E16" s="1340"/>
      <c r="F16" s="1340">
        <v>908886</v>
      </c>
      <c r="G16" s="1340"/>
      <c r="H16" s="1340"/>
      <c r="I16" s="1340">
        <v>1060397</v>
      </c>
      <c r="J16" s="1340"/>
      <c r="K16" s="1340"/>
      <c r="L16" s="1337">
        <f t="shared" si="0"/>
        <v>1060397</v>
      </c>
      <c r="M16" s="1340">
        <v>1264100</v>
      </c>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2097</v>
      </c>
      <c r="C18" s="1338"/>
      <c r="D18" s="1339"/>
      <c r="E18" s="1340">
        <v>815997</v>
      </c>
      <c r="F18" s="1340">
        <v>1312521</v>
      </c>
      <c r="G18" s="1340">
        <v>989094</v>
      </c>
      <c r="H18" s="1340"/>
      <c r="I18" s="1340">
        <v>1295086</v>
      </c>
      <c r="J18" s="1340"/>
      <c r="K18" s="1340"/>
      <c r="L18" s="1337">
        <f t="shared" si="0"/>
        <v>2284180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2098</v>
      </c>
      <c r="C20" s="1338"/>
      <c r="D20" s="1339"/>
      <c r="E20" s="1340"/>
      <c r="F20" s="1340"/>
      <c r="G20" s="1340"/>
      <c r="H20" s="1340"/>
      <c r="I20" s="1340"/>
      <c r="J20" s="1340"/>
      <c r="K20" s="1340"/>
      <c r="L20" s="1337">
        <f t="shared" si="0"/>
        <v>0</v>
      </c>
      <c r="M20" s="1340"/>
    </row>
    <row r="21" spans="2:14" ht="20.100000000000001" customHeight="1" x14ac:dyDescent="0.2">
      <c r="B21" s="1334" t="s">
        <v>2099</v>
      </c>
      <c r="C21" s="1338"/>
      <c r="D21" s="1339"/>
      <c r="E21" s="1340"/>
      <c r="F21" s="1340"/>
      <c r="G21" s="1340"/>
      <c r="H21" s="1340"/>
      <c r="I21" s="1340"/>
      <c r="J21" s="1340"/>
      <c r="K21" s="1340"/>
      <c r="L21" s="1337">
        <f t="shared" si="0"/>
        <v>0</v>
      </c>
      <c r="M21" s="1340"/>
    </row>
    <row r="22" spans="2:14" ht="20.100000000000001" customHeight="1" x14ac:dyDescent="0.2">
      <c r="B22" s="1334" t="s">
        <v>2100</v>
      </c>
      <c r="C22" s="1338">
        <v>84.126000000000005</v>
      </c>
      <c r="D22" s="1339">
        <v>4490</v>
      </c>
      <c r="E22" s="1340"/>
      <c r="F22" s="1340">
        <v>145117</v>
      </c>
      <c r="G22" s="1340"/>
      <c r="H22" s="1340"/>
      <c r="I22" s="1340">
        <v>114163</v>
      </c>
      <c r="J22" s="1340"/>
      <c r="K22" s="1340"/>
      <c r="L22" s="1337">
        <f t="shared" si="0"/>
        <v>114163</v>
      </c>
      <c r="M22" s="1340">
        <v>165420</v>
      </c>
    </row>
    <row r="23" spans="2:14" ht="20.100000000000001" customHeight="1" x14ac:dyDescent="0.2">
      <c r="B23" s="1334" t="s">
        <v>2101</v>
      </c>
      <c r="C23" s="1338">
        <v>93.772999999999996</v>
      </c>
      <c r="D23" s="1339">
        <v>4901</v>
      </c>
      <c r="E23" s="1340"/>
      <c r="F23" s="1340">
        <v>16402</v>
      </c>
      <c r="G23" s="1340"/>
      <c r="H23" s="1340"/>
      <c r="I23" s="1340">
        <v>16402</v>
      </c>
      <c r="J23" s="1340"/>
      <c r="K23" s="1340"/>
      <c r="L23" s="1337">
        <f t="shared" si="0"/>
        <v>16402</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t="s">
        <v>2102</v>
      </c>
      <c r="C25" s="1338"/>
      <c r="D25" s="1339"/>
      <c r="E25" s="1340"/>
      <c r="F25" s="1340">
        <v>161519</v>
      </c>
      <c r="G25" s="1340"/>
      <c r="H25" s="1340"/>
      <c r="I25" s="1340">
        <v>130565</v>
      </c>
      <c r="J25" s="1340"/>
      <c r="K25" s="1340"/>
      <c r="L25" s="1337">
        <f t="shared" si="0"/>
        <v>130565</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2103</v>
      </c>
      <c r="C27" s="1338"/>
      <c r="D27" s="1339"/>
      <c r="E27" s="1340"/>
      <c r="F27" s="1340">
        <v>1474040</v>
      </c>
      <c r="G27" s="1340">
        <v>989084</v>
      </c>
      <c r="H27" s="1340"/>
      <c r="I27" s="1340">
        <v>1425651</v>
      </c>
      <c r="J27" s="1340"/>
      <c r="K27" s="1340"/>
      <c r="L27" s="1337">
        <f t="shared" si="0"/>
        <v>2414735</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0"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Rural Champaign Co Spec Ed Coop</v>
      </c>
      <c r="B1" s="2440"/>
      <c r="C1" s="2440"/>
      <c r="D1" s="2440"/>
      <c r="E1" s="2440"/>
      <c r="F1" s="2440"/>
    </row>
    <row r="2" spans="1:7" ht="13.5" customHeight="1" x14ac:dyDescent="0.2">
      <c r="A2" s="2436">
        <f>'Single Audit Cover'!E7</f>
        <v>9010801060</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t="s">
        <v>2104</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2105</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t="s">
        <v>2106</v>
      </c>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1731</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1837</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2107</v>
      </c>
      <c r="D38" s="1903"/>
      <c r="E38" s="1283"/>
    </row>
    <row r="39" spans="1:6" ht="14.25" customHeight="1" x14ac:dyDescent="0.2">
      <c r="A39" s="328"/>
      <c r="B39" s="328" t="s">
        <v>1436</v>
      </c>
      <c r="C39" s="1289" t="s">
        <v>2107</v>
      </c>
      <c r="D39" s="1903"/>
      <c r="E39" s="1283"/>
    </row>
    <row r="40" spans="1:6" ht="14.25" customHeight="1" x14ac:dyDescent="0.2">
      <c r="A40" s="328"/>
      <c r="B40" s="328" t="s">
        <v>1437</v>
      </c>
      <c r="C40" s="1289" t="s">
        <v>2107</v>
      </c>
      <c r="D40" s="1903"/>
      <c r="E40" s="1283"/>
    </row>
    <row r="41" spans="1:6" ht="14.25" customHeight="1" x14ac:dyDescent="0.2">
      <c r="A41" s="328"/>
      <c r="B41" s="328" t="s">
        <v>1438</v>
      </c>
      <c r="C41" s="1289" t="s">
        <v>2107</v>
      </c>
      <c r="D41" s="1903"/>
      <c r="E41" s="1283"/>
    </row>
    <row r="42" spans="1:6" ht="14.25" customHeight="1" x14ac:dyDescent="0.2">
      <c r="A42" s="328" t="s">
        <v>1439</v>
      </c>
      <c r="B42" s="328"/>
      <c r="C42" s="1901" t="s">
        <v>2107</v>
      </c>
      <c r="D42" s="1903"/>
      <c r="E42" s="1283"/>
    </row>
    <row r="43" spans="1:6" ht="14.25" customHeight="1" x14ac:dyDescent="0.2">
      <c r="A43" s="328" t="s">
        <v>1440</v>
      </c>
      <c r="B43" s="328"/>
      <c r="C43" s="1290" t="s">
        <v>2107</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52" zoomScale="110" zoomScaleNormal="110" workbookViewId="0">
      <selection activeCell="G51" sqref="G5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Rural Champaign Co Spec Ed Coop</v>
      </c>
      <c r="C1" s="2456"/>
      <c r="D1" s="2456"/>
      <c r="E1" s="2456"/>
      <c r="F1" s="2456"/>
      <c r="G1" s="2456"/>
      <c r="H1" s="2456"/>
      <c r="I1" s="2456"/>
      <c r="J1" s="1406"/>
    </row>
    <row r="2" spans="2:10" s="317" customFormat="1" ht="12.75" customHeight="1" x14ac:dyDescent="0.2">
      <c r="B2" s="2457">
        <f>'Single Audit Cover'!E7</f>
        <v>9010801060</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t="s">
        <v>2108</v>
      </c>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2104</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2104</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2104</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2104</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2104</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t="s">
        <v>2109</v>
      </c>
      <c r="E29" s="2462"/>
      <c r="F29" s="2462"/>
      <c r="G29" s="2462"/>
      <c r="H29" s="2462"/>
      <c r="I29" s="2462"/>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2104</v>
      </c>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63" t="s">
        <v>1750</v>
      </c>
      <c r="D37" s="2464"/>
      <c r="E37" s="2464"/>
      <c r="F37" s="2465"/>
      <c r="G37" s="2463" t="s">
        <v>1592</v>
      </c>
      <c r="H37" s="2464"/>
      <c r="I37" s="2465"/>
    </row>
    <row r="38" spans="2:9" ht="16.5" customHeight="1" x14ac:dyDescent="0.2">
      <c r="B38" s="1428" t="s">
        <v>2095</v>
      </c>
      <c r="C38" s="2451" t="s">
        <v>2110</v>
      </c>
      <c r="D38" s="2452"/>
      <c r="E38" s="2452"/>
      <c r="F38" s="2453"/>
      <c r="G38" s="2466">
        <v>1264939</v>
      </c>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1264939</v>
      </c>
      <c r="H43" s="2472"/>
      <c r="I43" s="2472"/>
    </row>
    <row r="44" spans="2:9" ht="12.75" customHeight="1" x14ac:dyDescent="0.2"/>
    <row r="45" spans="2:9" ht="12.75" customHeight="1" x14ac:dyDescent="0.2">
      <c r="B45" s="1419" t="s">
        <v>2061</v>
      </c>
      <c r="D45" s="2473">
        <v>1474040</v>
      </c>
      <c r="E45" s="2474"/>
    </row>
    <row r="46" spans="2:9" ht="5.25" customHeight="1" x14ac:dyDescent="0.2">
      <c r="B46" s="1429"/>
      <c r="D46" s="1430"/>
      <c r="E46" s="1431"/>
    </row>
    <row r="47" spans="2:9" ht="12.75" customHeight="1" x14ac:dyDescent="0.2">
      <c r="B47" s="1297" t="s">
        <v>1594</v>
      </c>
      <c r="C47" s="1297"/>
      <c r="D47" s="1432">
        <f>+G43/D45</f>
        <v>0.85814428373721197</v>
      </c>
      <c r="E47" s="1433"/>
      <c r="F47" s="1434"/>
      <c r="I47" s="1435"/>
    </row>
    <row r="48" spans="2:9" ht="9.9499999999999993" customHeight="1" x14ac:dyDescent="0.2"/>
    <row r="49" spans="1:9" x14ac:dyDescent="0.2">
      <c r="B49" s="1365" t="s">
        <v>1273</v>
      </c>
      <c r="C49" s="1279"/>
      <c r="D49" s="1279"/>
      <c r="E49" s="2475">
        <v>750000</v>
      </c>
      <c r="F49" s="2475"/>
      <c r="G49" s="2475"/>
      <c r="H49" s="322"/>
    </row>
    <row r="51" spans="1:9" ht="13.5" customHeight="1" x14ac:dyDescent="0.2">
      <c r="B51" s="1365" t="s">
        <v>1272</v>
      </c>
      <c r="C51" s="1279"/>
      <c r="E51" s="1422"/>
      <c r="F51" s="1297" t="s">
        <v>885</v>
      </c>
      <c r="G51" s="1422" t="s">
        <v>2104</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Rural Champaign Co Spec Ed Coop</v>
      </c>
      <c r="C1" s="2455"/>
      <c r="D1" s="2455"/>
      <c r="E1" s="2455"/>
      <c r="F1" s="2455"/>
      <c r="G1" s="2455"/>
      <c r="H1" s="2455"/>
      <c r="I1" s="2455"/>
      <c r="J1" s="2455"/>
      <c r="K1" s="2455"/>
      <c r="L1" s="1371"/>
      <c r="M1" s="1371"/>
    </row>
    <row r="2" spans="1:13" ht="12" customHeight="1" x14ac:dyDescent="0.2">
      <c r="B2" s="2457">
        <f>'Single Audit Cover'!E7</f>
        <v>9010801060</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1988</v>
      </c>
      <c r="D10" s="1383">
        <v>1</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t="s">
        <v>2106</v>
      </c>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1745</v>
      </c>
      <c r="C38" s="1404"/>
    </row>
    <row r="39" spans="1:13" ht="9.6" customHeight="1" x14ac:dyDescent="0.2">
      <c r="B39" s="1297" t="s">
        <v>1286</v>
      </c>
      <c r="C39" s="1297"/>
      <c r="M39" s="1405"/>
    </row>
    <row r="40" spans="1:13" ht="12.6" customHeight="1" x14ac:dyDescent="0.2">
      <c r="B40" s="1404" t="s">
        <v>1746</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Rural Champaign Co Spec Ed Coop</v>
      </c>
      <c r="C1" s="2482"/>
      <c r="D1" s="2482"/>
      <c r="E1" s="2482"/>
      <c r="F1" s="2482"/>
      <c r="G1" s="2482"/>
      <c r="H1" s="2482"/>
      <c r="I1" s="2482"/>
      <c r="J1" s="2482"/>
      <c r="K1" s="2482"/>
      <c r="L1" s="1449"/>
    </row>
    <row r="2" spans="1:12" ht="12.75" customHeight="1" x14ac:dyDescent="0.2">
      <c r="B2" s="2483">
        <f>'Single Audit Cover'!E7</f>
        <v>9010801060</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1988</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t="s">
        <v>2106</v>
      </c>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Rural Champaign Co Spec Ed Coop</v>
      </c>
      <c r="C1" s="2455"/>
      <c r="D1" s="2455"/>
      <c r="E1" s="1469"/>
    </row>
    <row r="2" spans="2:5" s="1279" customFormat="1" ht="12.75" customHeight="1" x14ac:dyDescent="0.2">
      <c r="B2" s="2457">
        <f>'Single Audit Cover'!E7</f>
        <v>9010801060</v>
      </c>
      <c r="C2" s="2457"/>
      <c r="D2" s="2457"/>
      <c r="E2" s="1470"/>
    </row>
    <row r="3" spans="2:5" ht="12.75" customHeight="1" x14ac:dyDescent="0.2">
      <c r="B3" s="2478" t="s">
        <v>1765</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1766</v>
      </c>
      <c r="C5" s="328"/>
      <c r="D5" s="328"/>
      <c r="E5" s="328"/>
    </row>
    <row r="6" spans="2:5" s="1279" customFormat="1" ht="13.5" customHeight="1" x14ac:dyDescent="0.2">
      <c r="B6" s="1473" t="s">
        <v>1315</v>
      </c>
      <c r="C6" s="1473" t="s">
        <v>1314</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1768</v>
      </c>
    </row>
    <row r="46" spans="2:5" ht="12.2" customHeight="1" x14ac:dyDescent="0.2">
      <c r="B46" s="1483" t="s">
        <v>1769</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6ce3111e-7420-4802-b50a-75d4e9a0b980"/>
    <ds:schemaRef ds:uri="d21dc803-237d-4c68-8692-8d731fd29118"/>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4d435f69-8686-490b-bd6d-b153bf22ab50"/>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2019-09-23T19:42:54Z</cp:lastPrinted>
  <dcterms:created xsi:type="dcterms:W3CDTF">2003-10-29T19:06:34Z</dcterms:created>
  <dcterms:modified xsi:type="dcterms:W3CDTF">2019-12-23T21:13:58Z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