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Joint Agreements 19\"/>
    </mc:Choice>
  </mc:AlternateContent>
  <bookViews>
    <workbookView xWindow="-28920" yWindow="-120" windowWidth="29040" windowHeight="1584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J77" i="4" l="1"/>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3447" i="106"/>
  <c r="D3447" i="106" s="1"/>
  <c r="B7270" i="106"/>
  <c r="L16" i="11" l="1"/>
  <c r="B2061" i="106" s="1"/>
  <c r="D2061" i="106" s="1"/>
  <c r="C114" i="29"/>
  <c r="B757" i="106" s="1"/>
  <c r="D757"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B2567" i="106"/>
  <c r="D2567" i="106" s="1"/>
  <c r="F76" i="34" l="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<sst xmlns="http://schemas.openxmlformats.org/spreadsheetml/2006/main" count="5055" uniqueCount="2089">
  <si>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</si>
  <si>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</si>
  <si>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</si>
  <si>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</si>
  <si>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</si>
  <si>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</si>
  <si>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</si>
  <si>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</si>
  <si>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</si>
  <si>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</si>
  <si>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</si>
  <si>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</si>
  <si>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</si>
  <si>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</si>
  <si>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</si>
  <si>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</si>
  <si>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</si>
  <si>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</si>
  <si>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</si>
  <si>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</si>
  <si>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</si>
  <si>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</si>
  <si>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</si>
  <si>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</si>
  <si>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</si>
  <si>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</si>
  <si>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</si>
  <si>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</si>
  <si>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</si>
  <si>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</si>
  <si>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</si>
  <si>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</si>
  <si>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</si>
  <si>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</si>
  <si>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</si>
  <si>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</si>
  <si>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</si>
  <si>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</si>
  <si>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</si>
  <si>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</si>
  <si>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</si>
  <si>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</si>
  <si>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</si>
  <si>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</si>
  <si>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</si>
  <si>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</si>
  <si>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</si>
  <si>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</si>
  <si>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</si>
  <si>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</si>
  <si>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</si>
  <si>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</si>
  <si>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</si>
  <si>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</si>
  <si>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</si>
  <si>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</si>
  <si>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</si>
  <si>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</si>
  <si>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</si>
  <si>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</si>
  <si>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</si>
  <si>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</si>
  <si>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</si>
  <si>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</si>
  <si>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</si>
  <si>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</si>
  <si>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</si>
  <si>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</si>
  <si>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</si>
  <si>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</si>
  <si>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</si>
  <si>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</si>
  <si>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</si>
  <si>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</si>
  <si>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</si>
  <si>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</si>
  <si>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</si>
  <si>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</si>
  <si>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</si>
  <si>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</si>
  <si>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</si>
  <si>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</si>
  <si>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</si>
  <si>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</si>
  <si>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</si>
  <si>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</si>
  <si>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</si>
  <si>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</si>
  <si>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</si>
  <si>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</si>
  <si>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</si>
  <si>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</si>
  <si>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</si>
  <si>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</si>
  <si>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</si>
  <si>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</si>
  <si>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</si>
  <si>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</si>
  <si>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</si>
  <si>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</si>
  <si>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</si>
  <si>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</si>
  <si>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</si>
  <si>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</si>
  <si>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</si>
  <si>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</si>
  <si>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</si>
  <si>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</si>
  <si>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</si>
  <si>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</si>
  <si>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</si>
  <si>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</si>
  <si>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</si>
  <si>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</si>
  <si>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</si>
  <si>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</si>
  <si>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</si>
  <si>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</si>
  <si>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</si>
  <si>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</si>
  <si>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</si>
  <si>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</si>
  <si>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</si>
  <si>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</si>
  <si>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</si>
  <si>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</si>
  <si>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</si>
  <si>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</si>
  <si>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</si>
  <si>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</si>
  <si>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</si>
  <si>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</si>
  <si>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</si>
  <si>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</si>
  <si>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</si>
  <si>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</si>
  <si>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</si>
  <si>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</si>
  <si>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</si>
  <si>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</si>
  <si>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</si>
  <si>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</si>
  <si>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</si>
  <si>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</si>
  <si>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</si>
  <si>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</si>
  <si>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</si>
  <si>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</si>
  <si>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</si>
  <si>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</si>
  <si>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</si>
  <si>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</si>
  <si>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</si>
  <si>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</si>
  <si>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</si>
  <si>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</si>
  <si>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</si>
  <si>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</si>
  <si>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</si>
  <si>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</si>
  <si>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</si>
  <si>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</si>
  <si>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</si>
  <si>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</si>
  <si>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</si>
  <si>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</si>
  <si>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</si>
  <si>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</si>
  <si>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</si>
  <si>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</si>
  <si>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</si>
  <si>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</si>
  <si>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</si>
  <si>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</si>
  <si>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</si>
  <si>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</si>
  <si>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</si>
  <si>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</si>
  <si>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</si>
  <si>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</si>
  <si>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</si>
  <si>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</si>
  <si>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</si>
  <si>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</si>
  <si>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</si>
  <si>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</si>
  <si>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</si>
  <si>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</si>
  <si>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</si>
  <si>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</si>
  <si>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</si>
  <si>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</si>
  <si>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</si>
  <si>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</si>
  <si>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</si>
  <si>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</si>
  <si>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</si>
  <si>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</si>
  <si>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</si>
  <si>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</si>
  <si>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</si>
  <si>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</si>
  <si>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</si>
  <si>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</si>
  <si>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</si>
  <si>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</si>
  <si>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</si>
  <si>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</si>
  <si>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</si>
  <si>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</si>
  <si>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</si>
  <si>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</si>
  <si>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</si>
  <si>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</si>
  <si>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</si>
  <si>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</si>
  <si>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</si>
  <si>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</si>
  <si>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</si>
  <si>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</si>
  <si>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</si>
  <si>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</si>
  <si>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</si>
  <si>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</si>
  <si>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</si>
  <si>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</si>
  <si>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</si>
  <si>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</si>
  <si>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</si>
  <si>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</si>
  <si>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</si>
  <si>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</si>
  <si>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</si>
  <si>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</si>
  <si>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</si>
  <si>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</si>
  <si>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</si>
  <si>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</si>
  <si>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</si>
  <si>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</si>
  <si>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</si>
  <si>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</si>
  <si>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</si>
  <si>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</si>
  <si>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</si>
  <si>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</si>
  <si>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</si>
  <si>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</si>
  <si>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</si>
  <si>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</si>
  <si>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</si>
  <si>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</si>
  <si>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</si>
  <si>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</si>
  <si>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</si>
  <si>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</si>
  <si>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</si>
  <si>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</si>
  <si>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</si>
  <si>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</si>
  <si>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</si>
  <si>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</si>
  <si>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</si>
  <si>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</si>
  <si>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</si>
  <si>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</si>
  <si>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</si>
  <si>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</si>
  <si>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</si>
  <si>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</si>
  <si>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</si>
  <si>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</si>
  <si>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</si>
  <si>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</si>
  <si>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</si>
  <si>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</si>
  <si>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</si>
  <si>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</si>
  <si>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</si>
  <si>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</si>
  <si>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</si>
  <si>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</si>
  <si>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</si>
  <si>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</si>
  <si>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</si>
  <si>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</si>
  <si>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</si>
  <si>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</si>
  <si>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</si>
  <si>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</si>
  <si>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</si>
  <si>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</si>
  <si>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</si>
  <si>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</si>
  <si>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</si>
  <si>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</si>
  <si>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</si>
  <si>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</si>
  <si>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</si>
  <si>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</si>
  <si>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</si>
  <si>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</si>
  <si>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</si>
  <si>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</si>
  <si>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</si>
  <si>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</si>
  <si>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</si>
  <si>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</si>
  <si>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</si>
  <si>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</si>
  <si>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</si>
  <si>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</si>
  <si>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</si>
  <si>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</si>
  <si>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</si>
  <si>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</si>
  <si>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</si>
  <si>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</si>
  <si>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</si>
  <si>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</si>
  <si>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</si>
  <si>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</si>
  <si>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</si>
  <si>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</si>
  <si>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</si>
  <si>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</si>
  <si>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</si>
  <si>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</si>
  <si>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</si>
  <si>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</si>
  <si>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</si>
  <si>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</si>
  <si>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</si>
  <si>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</si>
  <si>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</si>
  <si>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</si>
  <si>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</si>
  <si>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</si>
  <si>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</si>
  <si>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</si>
  <si>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</si>
  <si>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</si>
  <si>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</si>
  <si>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</si>
  <si>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</si>
  <si>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</si>
  <si>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</si>
  <si>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</si>
  <si>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</si>
  <si>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</si>
  <si>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</si>
  <si>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</si>
  <si>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</si>
  <si>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</si>
  <si>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</si>
  <si>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</si>
  <si>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</si>
  <si>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</si>
  <si>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</si>
  <si>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</si>
  <si>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</si>
  <si>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</si>
  <si>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</si>
  <si>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</si>
  <si>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</si>
  <si>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</si>
  <si>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</si>
  <si>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</si>
  <si>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</si>
  <si>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</si>
  <si>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</si>
  <si>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</si>
  <si>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</si>
  <si>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</si>
  <si>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</si>
  <si>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</si>
  <si>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</si>
  <si>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</si>
  <si>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</si>
  <si>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</si>
  <si>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</si>
  <si>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</si>
  <si>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</si>
  <si>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</si>
  <si>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</si>
  <si>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</si>
  <si>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</si>
  <si>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</si>
  <si>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</si>
  <si>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</si>
  <si>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</si>
  <si>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</si>
  <si>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</si>
  <si>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</si>
  <si>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</si>
  <si>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</si>
  <si>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</si>
  <si>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</si>
  <si>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</si>
  <si>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</si>
  <si>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</si>
  <si>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</si>
  <si>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</si>
  <si>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</si>
  <si>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</si>
  <si>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</si>
  <si>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</si>
  <si>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</si>
  <si>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</si>
  <si>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</si>
  <si>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</si>
  <si>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</si>
  <si>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</si>
  <si>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</si>
  <si>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</si>
  <si>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</si>
  <si>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</si>
  <si>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</si>
  <si>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</si>
  <si>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</si>
  <si>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</si>
  <si>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</si>
  <si>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</si>
  <si>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</si>
  <si>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</si>
  <si>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</si>
  <si>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</si>
  <si>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</si>
  <si>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</si>
  <si>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</si>
  <si>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</si>
  <si>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</si>
  <si>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</si>
  <si>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</si>
  <si>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</si>
  <si>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</si>
  <si>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</si>
  <si>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</si>
  <si>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</si>
  <si>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</si>
  <si>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</si>
  <si>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</si>
  <si>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</si>
  <si>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</si>
  <si>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</si>
  <si>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</si>
  <si>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</si>
  <si>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</si>
  <si>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</si>
  <si>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</si>
  <si>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</si>
  <si>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</si>
  <si>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</si>
  <si>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</si>
  <si>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</si>
  <si>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</si>
  <si>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</si>
  <si>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</si>
  <si>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</si>
  <si>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</si>
  <si>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</si>
  <si>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</si>
  <si>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</si>
  <si>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</si>
  <si>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</si>
  <si>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</si>
  <si>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</si>
  <si>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</si>
  <si>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</si>
  <si>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</si>
  <si>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</si>
  <si>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</si>
  <si>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</si>
  <si>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</si>
  <si>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</si>
  <si>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</si>
  <si>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</si>
  <si>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</si>
  <si>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</si>
  <si>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</si>
  <si>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</si>
  <si>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</si>
  <si>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</si>
  <si>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</si>
  <si>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</si>
  <si>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</si>
  <si>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</si>
  <si>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</si>
  <si>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</si>
  <si>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</si>
  <si>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</si>
  <si>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</si>
  <si>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</si>
  <si>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</si>
  <si>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</si>
  <si>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</si>
  <si>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</si>
  <si>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</si>
  <si>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</si>
  <si>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</si>
  <si>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</si>
  <si>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</si>
  <si>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</si>
  <si>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</si>
  <si>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</si>
  <si>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</si>
  <si>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</si>
  <si>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</si>
  <si>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</si>
  <si>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</si>
  <si>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</si>
  <si>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</si>
  <si>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</si>
  <si>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</si>
  <si>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</si>
  <si>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</si>
  <si>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</si>
  <si>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</si>
  <si>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</si>
  <si>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</si>
  <si>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</si>
  <si>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</si>
  <si>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</si>
  <si>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</si>
  <si>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</si>
  <si>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</si>
  <si>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</si>
  <si>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</si>
  <si>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</si>
  <si>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</si>
  <si>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</si>
  <si>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</si>
  <si>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</si>
  <si>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</si>
  <si>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</si>
  <si>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</si>
  <si>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</si>
  <si>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</si>
  <si>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</si>
  <si>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</si>
  <si>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</si>
  <si>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</si>
  <si>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</si>
  <si>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</si>
  <si>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</si>
  <si>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</si>
  <si>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</si>
  <si>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</si>
  <si>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</si>
  <si>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</si>
  <si>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</si>
  <si>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</si>
  <si>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</si>
  <si>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</si>
  <si>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</si>
  <si>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</si>
  <si>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</si>
  <si>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</si>
  <si>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</si>
  <si>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</si>
  <si>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</si>
  <si>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</si>
  <si>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</si>
  <si>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</si>
  <si>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</si>
  <si>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</si>
  <si>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</si>
  <si>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</si>
  <si>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</si>
  <si>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</si>
  <si>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</si>
  <si>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</si>
  <si>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</si>
  <si>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</si>
  <si>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</si>
  <si>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</si>
  <si>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</si>
  <si>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</si>
  <si>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</si>
  <si>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</si>
  <si>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</si>
  <si>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</si>
  <si>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</si>
  <si>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</si>
  <si>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</si>
  <si>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</si>
  <si>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</si>
  <si>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</si>
  <si>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</si>
  <si>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</si>
  <si>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</si>
  <si>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</si>
  <si>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</si>
  <si>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</si>
  <si>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</si>
  <si>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</si>
  <si>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</si>
  <si>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</si>
  <si>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</si>
  <si>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</si>
  <si>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</si>
  <si>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</si>
  <si>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</si>
  <si>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</si>
  <si>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</si>
  <si>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</si>
  <si>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</si>
  <si>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</si>
  <si>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</si>
  <si>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</si>
  <si>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</si>
  <si>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</si>
  <si>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</si>
  <si>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</si>
  <si>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</si>
  <si>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</si>
  <si>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</si>
  <si>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</si>
  <si>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</si>
  <si>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</si>
  <si>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</si>
  <si>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</si>
  <si>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</si>
  <si>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</si>
  <si>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</si>
  <si>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</si>
  <si>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</si>
  <si>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</si>
  <si>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</si>
  <si>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</si>
  <si>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</si>
  <si>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</si>
  <si>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</si>
  <si>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</si>
  <si>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</si>
  <si>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</si>
  <si>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</si>
  <si>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</si>
  <si>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</si>
  <si>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</si>
  <si>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</si>
  <si>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</si>
  <si>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</si>
  <si>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</si>
  <si>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</si>
  <si>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</si>
  <si>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</si>
  <si>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</si>
  <si>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</si>
  <si>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</si>
  <si>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</si>
  <si>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</si>
  <si>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</si>
  <si>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</si>
  <si>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</si>
  <si>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</si>
  <si>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</si>
  <si>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</si>
  <si>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</si>
  <si>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</si>
  <si>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</si>
  <si>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</si>
  <si>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</si>
  <si>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</si>
  <si>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</si>
  <si>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</si>
  <si>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</si>
  <si>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</si>
  <si>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</si>
  <si>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</si>
  <si>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</si>
  <si>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</si>
  <si>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</si>
  <si>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</si>
  <si>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</si>
  <si>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</si>
  <si>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</si>
  <si>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</si>
  <si>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</si>
  <si>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</si>
  <si>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</si>
  <si>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</si>
  <si>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</si>
  <si>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</si>
  <si>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</si>
  <si>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</si>
  <si>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</si>
  <si>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</si>
  <si>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</si>
  <si>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</si>
  <si>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</si>
  <si>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</si>
  <si>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</si>
  <si>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</si>
  <si>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</si>
  <si>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</si>
  <si>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</si>
  <si>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</si>
  <si>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</si>
  <si>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</si>
  <si>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</si>
  <si>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</si>
  <si>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</si>
  <si>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</si>
  <si>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</si>
  <si>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</si>
  <si>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</si>
  <si>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</si>
  <si>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</si>
  <si>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</si>
  <si>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</si>
  <si>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</si>
  <si>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</si>
  <si>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</si>
  <si>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</si>
  <si>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</si>
  <si>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</si>
  <si>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</si>
  <si>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</si>
  <si>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</si>
  <si>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</si>
  <si>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</si>
  <si>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</si>
  <si>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</si>
  <si>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</si>
  <si>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</si>
  <si>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</si>
  <si>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</si>
  <si>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</si>
  <si>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</si>
  <si>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</si>
  <si>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</si>
  <si>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</si>
  <si>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</si>
  <si>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</si>
  <si>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</si>
  <si>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</si>
  <si>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</si>
  <si>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</si>
  <si>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</si>
  <si>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</si>
  <si>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</si>
  <si>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</si>
  <si>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</si>
  <si>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</si>
  <si>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</si>
  <si>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</si>
  <si>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</si>
  <si>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</si>
  <si>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</si>
  <si>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</si>
  <si>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</si>
  <si>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</si>
  <si>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</si>
  <si>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</si>
  <si>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</si>
  <si>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</si>
  <si>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</si>
  <si>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</si>
  <si>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</si>
  <si>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</si>
  <si>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</si>
  <si>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</si>
  <si>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</si>
  <si>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</si>
  <si>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</si>
  <si>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</si>
  <si>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</si>
  <si>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</si>
  <si>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</si>
  <si>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</si>
  <si>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</si>
  <si>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</si>
  <si>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</si>
  <si>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</si>
  <si>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</si>
  <si>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</si>
  <si>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</si>
  <si>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</si>
  <si>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</si>
  <si>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</si>
  <si>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</si>
  <si>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</si>
  <si>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</si>
  <si>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</si>
  <si>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</si>
  <si>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</si>
  <si>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</si>
  <si>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</si>
  <si>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</si>
  <si>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</si>
  <si>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</si>
  <si>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</si>
  <si>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</si>
  <si>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</si>
  <si>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</si>
  <si>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</si>
  <si>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</si>
  <si>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</si>
  <si>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</si>
  <si>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</si>
  <si>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</si>
  <si>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</si>
  <si>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</si>
  <si>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</si>
  <si>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</si>
  <si>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</si>
  <si>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</si>
  <si>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</si>
  <si>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</si>
  <si>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</si>
  <si>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</si>
  <si>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</si>
  <si>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</si>
  <si>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</si>
  <si>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</si>
  <si>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</si>
  <si>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</si>
  <si>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</si>
  <si>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</si>
  <si>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</si>
  <si>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</si>
  <si>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</si>
  <si>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</si>
  <si>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</si>
  <si>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</si>
  <si>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</si>
  <si>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</si>
  <si>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</si>
  <si>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</si>
  <si>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</si>
  <si>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</si>
  <si>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</si>
  <si>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</si>
  <si>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</si>
  <si>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</si>
  <si>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</si>
  <si>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</si>
  <si>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</si>
  <si>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</si>
  <si>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</si>
  <si>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</si>
  <si>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</si>
  <si>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</si>
  <si>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</si>
  <si>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</si>
  <si>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</si>
  <si>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</si>
  <si>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</si>
  <si>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</si>
  <si>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</si>
  <si>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</si>
  <si>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</si>
  <si>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</si>
  <si>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</si>
  <si>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</si>
  <si>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</si>
  <si>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</si>
  <si>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</si>
  <si>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</si>
  <si>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</si>
  <si>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</si>
  <si>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</si>
  <si>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</si>
  <si>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</si>
  <si>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</si>
  <si>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</si>
  <si>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</si>
  <si>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</si>
  <si>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</si>
  <si>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</si>
  <si>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</si>
  <si>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</si>
  <si>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</si>
  <si>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</si>
  <si>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</si>
  <si>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</si>
  <si>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</si>
  <si>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</si>
  <si>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</si>
  <si>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</si>
  <si>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</si>
  <si>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</si>
  <si>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</si>
  <si>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</si>
  <si>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</si>
  <si>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</si>
  <si>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</si>
  <si>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</si>
  <si>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</si>
  <si>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</si>
  <si>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</si>
  <si>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</si>
  <si>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</si>
  <si>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</si>
  <si>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</si>
  <si>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</si>
  <si>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</si>
  <si>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</si>
  <si>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</si>
  <si>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</si>
  <si>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</si>
  <si>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</si>
  <si>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</si>
  <si>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</si>
  <si>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</si>
  <si>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</si>
  <si>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</si>
  <si>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</si>
  <si>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</si>
  <si>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</si>
  <si>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</si>
  <si>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</si>
  <si>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</si>
  <si>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</si>
  <si>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</si>
  <si>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</si>
  <si>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</si>
  <si>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</si>
  <si>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</si>
  <si>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</si>
  <si>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</si>
  <si>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</si>
  <si>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</si>
  <si>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</si>
  <si>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</si>
  <si>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</si>
  <si>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</si>
  <si>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</si>
  <si>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</si>
  <si>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</si>
  <si>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</si>
  <si>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</si>
  <si>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</si>
  <si>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</si>
  <si>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</si>
  <si>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</si>
  <si>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</si>
  <si>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</si>
  <si>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</si>
  <si>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</si>
  <si>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</si>
  <si>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</si>
  <si>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</si>
  <si>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</si>
  <si>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</si>
  <si>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</si>
  <si>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</si>
  <si>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</si>
  <si>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</si>
  <si>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</si>
  <si>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</si>
  <si>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</si>
  <si>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</si>
  <si>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</si>
  <si>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</si>
  <si>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</si>
  <si>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</si>
  <si>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</si>
  <si>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</si>
  <si>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</si>
  <si>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</si>
  <si>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</si>
  <si>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</si>
  <si>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</si>
  <si>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</si>
  <si>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</si>
  <si>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</si>
  <si>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</si>
  <si>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</si>
  <si>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</si>
  <si>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</si>
  <si>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</si>
  <si>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</si>
  <si>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</si>
  <si>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</si>
  <si>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</si>
  <si>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</si>
  <si>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</si>
  <si>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</si>
  <si>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</si>
  <si>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</si>
  <si>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</si>
  <si>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</si>
  <si>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</si>
  <si>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</si>
  <si>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</si>
  <si>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</si>
  <si>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</si>
  <si>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</si>
  <si>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</si>
  <si>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</si>
  <si>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</si>
  <si>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</si>
  <si>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</si>
  <si>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</si>
  <si>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</si>
  <si>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</si>
  <si>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</si>
  <si>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</si>
  <si>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</si>
  <si>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</si>
  <si>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</si>
  <si>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</si>
  <si>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</si>
  <si>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</si>
  <si>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</si>
  <si>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</si>
  <si>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</si>
  <si>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</si>
  <si>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</si>
  <si>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</si>
  <si>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</si>
  <si>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</si>
  <si>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</si>
  <si>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</si>
  <si>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</si>
  <si>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</si>
  <si>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</si>
  <si>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</si>
  <si>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</si>
  <si>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</si>
  <si>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</si>
  <si>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</si>
  <si>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</si>
  <si>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</si>
  <si>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</si>
  <si>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</si>
  <si>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</si>
  <si>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</si>
  <si>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</si>
  <si>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</si>
  <si>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</si>
  <si>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</si>
  <si>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</si>
  <si>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</si>
  <si>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</si>
  <si>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</si>
  <si>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</si>
  <si>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</si>
  <si>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</si>
  <si>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</si>
  <si>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</si>
  <si>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</si>
  <si>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</si>
  <si>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</si>
  <si>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</si>
  <si>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</si>
  <si>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</si>
  <si>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</si>
  <si>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</si>
  <si>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</si>
  <si>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</si>
  <si>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</si>
  <si>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</si>
  <si>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</si>
  <si>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</si>
  <si>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</si>
  <si>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</si>
  <si>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</si>
  <si>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</si>
  <si>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</si>
  <si>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</si>
  <si>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</si>
  <si>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</si>
  <si>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</si>
  <si>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</si>
  <si>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</si>
  <si>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</si>
  <si>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</si>
  <si>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</si>
  <si>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</si>
  <si>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</si>
  <si>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</si>
  <si>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</si>
  <si>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</si>
  <si>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</si>
  <si>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</si>
  <si>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</si>
  <si>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</si>
  <si>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</si>
  <si>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</si>
  <si>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</si>
  <si>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</si>
  <si>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</si>
  <si>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</si>
  <si>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</si>
  <si>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</si>
  <si>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</si>
  <si>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</si>
  <si>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</si>
  <si>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</si>
  <si>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</si>
  <si>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</si>
  <si>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</si>
  <si>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</si>
  <si>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</si>
  <si>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</si>
  <si>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</si>
  <si>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</si>
  <si>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</si>
  <si>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</si>
  <si>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</si>
  <si>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</si>
  <si>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</si>
  <si>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</si>
  <si>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</si>
  <si>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</si>
  <si>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</si>
  <si>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</si>
  <si>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</si>
  <si>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</si>
  <si>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</si>
  <si>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</si>
  <si>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</si>
  <si>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</si>
  <si>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</si>
  <si>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</si>
  <si>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</si>
  <si>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</si>
  <si>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</si>
  <si>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</si>
  <si>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</si>
  <si>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</si>
  <si>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</si>
  <si>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</si>
  <si>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</si>
  <si>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</si>
  <si>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</si>
  <si>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</si>
  <si>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</si>
  <si>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</si>
  <si>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</si>
  <si>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</si>
  <si>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</si>
  <si>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</si>
  <si>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</si>
  <si>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</si>
  <si>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</si>
  <si>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</si>
  <si>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</si>
  <si>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</si>
  <si>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</si>
  <si>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</si>
  <si>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</si>
  <si>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</si>
  <si>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</si>
  <si>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</si>
  <si>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</si>
  <si>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</si>
  <si>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</si>
  <si>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</si>
  <si>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</si>
  <si>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</si>
  <si>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</si>
  <si>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</si>
  <si>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</si>
  <si>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</si>
  <si>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</si>
  <si>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</si>
  <si>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</si>
  <si>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</si>
  <si>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</si>
  <si>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</si>
  <si>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</si>
  <si>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</si>
  <si>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</si>
  <si>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</si>
  <si>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</si>
  <si>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</si>
  <si>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</si>
  <si>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</si>
  <si>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</si>
  <si>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</si>
  <si>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</si>
  <si>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</si>
  <si>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</si>
  <si>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</si>
  <si>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</si>
  <si>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</si>
  <si>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</si>
  <si>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</si>
  <si>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</si>
  <si>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</si>
  <si>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</si>
  <si>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</si>
  <si>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</si>
  <si>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</si>
  <si>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</si>
  <si>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</si>
  <si>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</si>
  <si>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</si>
  <si>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</si>
  <si>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</si>
  <si>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</si>
  <si>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</si>
  <si>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</si>
  <si>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</si>
  <si>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</si>
  <si>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</si>
  <si>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</si>
  <si>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</si>
  <si>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</si>
  <si>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</si>
  <si>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</si>
  <si>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</si>
  <si>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</si>
  <si>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</si>
  <si>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</si>
  <si>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</si>
  <si>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</si>
  <si>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</si>
  <si>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</si>
  <si>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</si>
  <si>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</si>
  <si>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</si>
  <si>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</si>
  <si>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</si>
  <si>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</si>
  <si>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</si>
  <si>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</si>
  <si>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</si>
  <si>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</si>
  <si>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</si>
  <si>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</si>
  <si>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</si>
  <si>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</si>
  <si>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</si>
  <si>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</si>
  <si>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</si>
  <si>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</si>
  <si>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</si>
  <si>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</si>
  <si>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</si>
  <si>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</si>
  <si>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</si>
  <si>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</si>
  <si>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</si>
  <si>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</si>
  <si>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</si>
  <si>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</si>
  <si>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</si>
  <si>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</si>
  <si>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</si>
  <si>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</si>
  <si>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</si>
  <si>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</si>
  <si>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</si>
  <si>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</si>
  <si>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</si>
  <si>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</si>
  <si>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</si>
  <si>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</si>
  <si>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</si>
  <si>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</si>
  <si>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</si>
  <si>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</si>
  <si>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</si>
  <si>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</si>
  <si>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</si>
  <si>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</si>
  <si>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</si>
  <si>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</si>
  <si>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</si>
  <si>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</si>
  <si>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</si>
  <si>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</si>
  <si>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</si>
  <si>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</si>
  <si>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</si>
  <si>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</si>
  <si>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</si>
  <si>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</si>
  <si>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</si>
  <si>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</si>
  <si>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</si>
  <si>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</si>
  <si>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</si>
  <si>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</si>
  <si>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</si>
  <si>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</si>
  <si>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</si>
  <si>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</si>
  <si>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</si>
  <si>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</si>
  <si>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</si>
  <si>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</si>
  <si>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</si>
  <si>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</si>
  <si>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</si>
  <si>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</si>
  <si>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</si>
  <si>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</si>
  <si>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</si>
  <si>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</si>
  <si>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</si>
  <si>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</si>
  <si>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</si>
  <si>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</si>
  <si>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</si>
  <si>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</si>
  <si>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</si>
  <si>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</si>
  <si>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</si>
  <si>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</si>
  <si>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</si>
  <si>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</si>
  <si>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</si>
  <si>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</si>
  <si>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</si>
  <si>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</si>
  <si>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</si>
  <si>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</si>
  <si>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</si>
  <si>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</si>
  <si>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</si>
  <si>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</si>
  <si>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</si>
  <si>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</si>
  <si>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</si>
  <si>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</si>
  <si>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</si>
  <si>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</si>
  <si>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</si>
  <si>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</si>
  <si>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</si>
  <si>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</si>
  <si>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</si>
  <si>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</si>
  <si>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</si>
  <si>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</si>
  <si>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</si>
  <si>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</si>
  <si>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</si>
  <si>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</si>
  <si>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</si>
  <si>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</si>
  <si>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</si>
  <si>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</si>
  <si>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</si>
  <si>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</si>
  <si>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</si>
  <si>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</si>
  <si>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</si>
  <si>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</si>
  <si>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</si>
  <si>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</si>
  <si>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</si>
  <si>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</si>
  <si>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</si>
  <si>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</si>
  <si>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</si>
  <si>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</si>
  <si>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</si>
  <si>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</si>
  <si>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</si>
  <si>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</si>
  <si>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</si>
  <si>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</si>
  <si>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</si>
  <si>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</si>
  <si>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</si>
  <si>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</si>
  <si>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</si>
  <si>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</si>
  <si>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</si>
  <si>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</si>
  <si>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</si>
  <si>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</si>
  <si>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</si>
  <si>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</si>
  <si>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</si>
  <si>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</si>
  <si>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</si>
  <si>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</si>
  <si>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</si>
  <si>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</si>
  <si>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</si>
  <si>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</si>
  <si>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</si>
  <si>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</si>
  <si>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</si>
  <si>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</si>
  <si>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</si>
  <si>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</si>
  <si>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</si>
  <si>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</si>
  <si>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</si>
  <si>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</si>
  <si>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</si>
  <si>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</si>
  <si>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</si>
  <si>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</si>
  <si>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</si>
  <si>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</si>
  <si>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</si>
  <si>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</si>
  <si>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</si>
  <si>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</si>
  <si>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</si>
  <si>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</si>
  <si>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</si>
  <si>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</si>
  <si>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</si>
  <si>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</si>
  <si>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</si>
  <si>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</si>
  <si>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</si>
  <si>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</si>
  <si>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</si>
  <si>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</si>
  <si>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</si>
  <si>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</si>
  <si>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</si>
  <si>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</si>
  <si>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</si>
  <si>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</si>
  <si>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</si>
  <si>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</si>
  <si>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</si>
  <si>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</si>
  <si>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</si>
  <si>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</si>
  <si>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</si>
  <si>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</si>
  <si>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</si>
  <si>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</si>
  <si>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</si>
  <si>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</si>
  <si>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</si>
  <si>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</si>
  <si>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</si>
  <si>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</si>
  <si>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</si>
  <si>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</si>
  <si>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</si>
  <si>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</si>
  <si>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</si>
  <si>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</si>
  <si>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</si>
  <si>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</si>
  <si>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</si>
  <si>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</si>
  <si>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</si>
  <si>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</si>
  <si>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</si>
  <si>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</si>
  <si>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</si>
  <si>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</si>
  <si>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</si>
  <si>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</si>
  <si>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</si>
  <si>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</si>
  <si>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</si>
  <si>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</si>
  <si>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</si>
  <si>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</si>
  <si>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</si>
  <si>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</si>
  <si>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</si>
  <si>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</si>
  <si>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</si>
  <si>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</si>
  <si>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</si>
  <si>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</si>
  <si>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</si>
  <si>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</si>
  <si>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</si>
  <si>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</si>
  <si>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</si>
  <si>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</si>
  <si>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</si>
  <si>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</si>
  <si>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</si>
  <si>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</si>
  <si>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</si>
  <si>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</si>
  <si>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</si>
  <si>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</si>
  <si>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</si>
  <si>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</si>
  <si>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</si>
  <si>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</si>
  <si>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</si>
  <si>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</si>
  <si>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</si>
  <si>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</si>
  <si>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</si>
  <si>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</si>
  <si>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</si>
  <si>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</si>
  <si>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</si>
  <si>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</si>
  <si>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</si>
  <si>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</si>
  <si>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</si>
  <si>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</si>
  <si>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</si>
  <si>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</si>
  <si>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</si>
  <si>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</si>
  <si>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</si>
  <si>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</si>
  <si>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</si>
  <si>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</si>
  <si>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</si>
  <si>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</si>
  <si>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</si>
  <si>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</si>
  <si>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</si>
  <si>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</si>
  <si>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</si>
  <si>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</si>
  <si>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</si>
  <si>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</si>
  <si>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</si>
  <si>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</si>
  <si>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</si>
  <si>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</si>
  <si>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</si>
  <si>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</si>
  <si>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</si>
  <si>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</si>
  <si>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</si>
  <si>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</si>
  <si>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</si>
  <si>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</si>
  <si>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</si>
  <si>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</si>
  <si>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</si>
  <si>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</si>
  <si>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</si>
  <si>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</si>
  <si>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</si>
  <si>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</si>
  <si>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</si>
  <si>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</si>
  <si>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</si>
  <si>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</si>
  <si>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</si>
  <si>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</si>
  <si>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</si>
  <si>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</si>
  <si>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</si>
  <si>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</si>
  <si>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</si>
  <si>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</si>
  <si>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</si>
  <si>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</si>
  <si>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</si>
  <si>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</si>
  <si>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</si>
  <si>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</si>
  <si>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</si>
  <si>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</si>
  <si>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</si>
  <si>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</si>
  <si>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</si>
  <si>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</si>
  <si>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</si>
  <si>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</si>
  <si>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</si>
  <si>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</si>
  <si>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</si>
  <si>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</si>
  <si>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</si>
  <si>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</si>
  <si>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</si>
  <si>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</si>
  <si>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</si>
  <si>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</si>
  <si>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</si>
  <si>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</si>
  <si>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</si>
  <si>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</si>
  <si>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</si>
  <si>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</si>
  <si>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</si>
  <si>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</si>
  <si>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</si>
  <si>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</si>
  <si>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</si>
  <si>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</si>
  <si>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</si>
  <si>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</si>
  <si>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</si>
  <si>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</si>
  <si>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</si>
  <si>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</si>
  <si>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</si>
  <si>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</si>
  <si>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</si>
  <si>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</si>
  <si>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</si>
  <si>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</si>
  <si>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</si>
  <si>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</si>
  <si>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</si>
  <si>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</si>
  <si>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</si>
  <si>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</si>
  <si>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</si>
  <si>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</si>
  <si>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</si>
  <si>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</si>
  <si>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</si>
  <si>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</si>
  <si>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</si>
  <si>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</si>
  <si>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</si>
  <si>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</si>
  <si>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</si>
  <si>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</si>
  <si>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</si>
  <si>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</si>
  <si>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</si>
  <si>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</si>
  <si>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</si>
  <si>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</si>
  <si>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</si>
  <si>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</si>
  <si>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</si>
  <si>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</si>
  <si>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</si>
  <si>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</si>
  <si>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</si>
  <si>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</si>
  <si>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</si>
  <si>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</si>
  <si>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</si>
  <si>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</si>
  <si>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</si>
  <si>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</si>
  <si>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</si>
  <si>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</si>
  <si>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</si>
  <si>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</si>
  <si>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</si>
  <si>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</si>
  <si>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</si>
  <si>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</si>
  <si>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</si>
  <si>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</si>
  <si>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</si>
  <si>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</si>
  <si>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</si>
  <si>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</si>
  <si>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</si>
  <si>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</si>
  <si>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</si>
  <si>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</si>
  <si>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</si>
  <si>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</si>
  <si>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</si>
  <si>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</si>
  <si>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</si>
  <si>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</si>
  <si>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</si>
  <si>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</si>
  <si>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</si>
  <si>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</si>
  <si>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</si>
  <si>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</si>
  <si>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</si>
  <si>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</si>
  <si>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</si>
  <si>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</si>
  <si>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</si>
  <si>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</si>
  <si>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</si>
  <si>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</si>
  <si>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</si>
  <si>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</si>
  <si>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</si>
  <si>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</si>
  <si>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</si>
  <si>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</si>
  <si>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</si>
  <si>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</si>
  <si>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</si>
  <si>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</si>
  <si>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</si>
  <si>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</si>
  <si>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</si>
  <si>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</si>
  <si>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</si>
  <si>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</si>
  <si>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</si>
  <si>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</si>
  <si>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</si>
  <si>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</si>
  <si>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</si>
  <si>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</si>
  <si>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</si>
  <si>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</si>
  <si>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</si>
  <si>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</si>
  <si>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</si>
  <si>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</si>
  <si>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</si>
  <si>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</si>
  <si>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</si>
  <si>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</si>
  <si>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</si>
  <si>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</si>
  <si>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</si>
  <si>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</si>
  <si>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</si>
  <si>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</si>
  <si>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</si>
  <si>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</si>
  <si>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</si>
  <si>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</si>
  <si>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</si>
  <si>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</si>
  <si>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</si>
  <si>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</si>
  <si>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</si>
  <si>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</si>
  <si>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</si>
  <si>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</si>
  <si>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</si>
  <si>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</si>
  <si>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</si>
  <si>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</si>
  <si>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</si>
  <si>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</si>
  <si>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</si>
  <si>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</si>
  <si>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</si>
  <si>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</si>
  <si>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</si>
  <si>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</si>
  <si>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</si>
  <si>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</si>
  <si>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</si>
  <si>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</si>
  <si>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</si>
  <si>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</si>
  <si>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</si>
  <si>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</si>
  <si>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</si>
  <si>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</si>
  <si>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</si>
  <si>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</si>
  <si>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</si>
  <si>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</si>
  <si>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</si>
  <si>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</si>
  <si>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</si>
  <si>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</si>
  <si>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</si>
  <si>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</si>
  <si>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</si>
  <si>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</si>
  <si>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</si>
  <si>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</si>
  <si>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</si>
  <si>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</si>
  <si>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</si>
  <si>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</si>
  <si>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</si>
  <si>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</si>
  <si>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</si>
  <si>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</si>
  <si>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</si>
  <si>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</si>
  <si>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</si>
  <si>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</si>
  <si>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</si>
  <si>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</si>
  <si>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</si>
  <si>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</si>
  <si>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</si>
  <si>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</si>
  <si>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</si>
  <si>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</si>
  <si>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</si>
  <si>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</si>
  <si>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</si>
  <si>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</si>
  <si>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</si>
  <si>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</si>
  <si>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</si>
  <si>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</si>
  <si>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</si>
  <si>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</si>
  <si>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</si>
  <si>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</si>
  <si>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</si>
  <si>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</si>
  <si>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</si>
  <si>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</si>
  <si>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</si>
  <si>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</si>
  <si>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</si>
  <si>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</si>
  <si>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</si>
  <si>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</si>
  <si>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</si>
  <si>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</si>
  <si>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</si>
  <si>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</si>
  <si>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</si>
  <si>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</si>
  <si>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</si>
  <si>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</si>
  <si>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</si>
  <si>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</si>
  <si>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</si>
  <si>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</si>
  <si>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</si>
  <si>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</si>
  <si>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</si>
  <si>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</si>
  <si>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</si>
  <si>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</si>
  <si>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</si>
  <si>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</si>
  <si>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</si>
  <si>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</si>
  <si>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</si>
  <si>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</si>
  <si>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</si>
  <si>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</si>
  <si>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</si>
  <si>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</si>
  <si>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</si>
  <si>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</si>
  <si>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</si>
  <si>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</si>
  <si>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</si>
  <si>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</si>
  <si>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</si>
  <si>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</si>
  <si>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</si>
  <si>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</si>
  <si>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</si>
  <si>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</si>
  <si>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</si>
  <si>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</si>
  <si>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</si>
  <si>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</si>
  <si>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</si>
  <si>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</si>
  <si>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</si>
  <si>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</si>
  <si>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</si>
  <si>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</si>
  <si>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</si>
  <si>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</si>
  <si>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</si>
  <si>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</si>
  <si>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</si>
  <si>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</si>
  <si>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</si>
  <si>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</si>
  <si>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</si>
  <si>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</si>
  <si>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</si>
  <si>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</si>
  <si>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</si>
  <si>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</si>
  <si>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</si>
  <si>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</si>
  <si>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</si>
  <si>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</si>
  <si>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</si>
  <si>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</si>
  <si>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</si>
  <si>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</si>
  <si>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</si>
  <si>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</si>
  <si>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</si>
  <si>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</si>
  <si>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</si>
  <si>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</si>
  <si>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</si>
  <si>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</si>
  <si>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</si>
  <si>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</si>
  <si>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</si>
  <si>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</si>
  <si>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</si>
  <si>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</si>
  <si>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</si>
  <si>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</si>
  <si>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</si>
  <si>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</si>
  <si>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</si>
  <si>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</si>
  <si>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</si>
  <si>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</si>
  <si>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</si>
  <si>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</si>
  <si>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</si>
  <si>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</si>
  <si>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</si>
  <si>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</si>
  <si>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</si>
  <si>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</si>
  <si>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</si>
  <si>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</si>
  <si>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</si>
  <si>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</si>
  <si>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</si>
  <si>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</si>
  <si>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</si>
  <si>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</si>
  <si>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</si>
  <si>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</si>
  <si>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</si>
  <si>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</si>
  <si>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</si>
  <si>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</si>
  <si>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</si>
  <si>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</si>
  <si>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</si>
  <si>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</si>
  <si>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</si>
  <si>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</si>
  <si>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</si>
  <si>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</si>
  <si>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</si>
  <si>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</si>
  <si>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</si>
  <si>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</si>
  <si>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</si>
  <si>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</si>
  <si>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</si>
  <si>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</si>
  <si>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</si>
  <si>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</si>
  <si>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</si>
  <si>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</si>
  <si>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</si>
  <si>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</si>
  <si>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</si>
  <si>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</si>
  <si>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</si>
  <si>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</si>
  <si>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</si>
  <si>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</si>
  <si>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</si>
  <si>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</si>
  <si>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</si>
  <si>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</si>
  <si>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</si>
  <si>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</si>
  <si>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</si>
  <si>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</si>
  <si>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</si>
  <si>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</si>
  <si>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</si>
  <si>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</si>
  <si>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</si>
  <si>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</si>
  <si>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</si>
  <si>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</si>
  <si>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</si>
  <si>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</si>
  <si>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</si>
  <si>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</si>
  <si>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</si>
  <si>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</si>
  <si>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</si>
  <si>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</si>
  <si>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</si>
  <si>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</si>
  <si>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</si>
  <si>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</si>
  <si>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</si>
  <si>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</si>
  <si>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</si>
  <si>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</si>
  <si>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</si>
  <si>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</si>
  <si>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</si>
  <si>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</si>
  <si>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</si>
  <si>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</si>
  <si>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</si>
  <si>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</si>
  <si>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</si>
  <si>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</si>
  <si>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</si>
  <si>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</si>
  <si>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</si>
  <si>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</si>
  <si>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</si>
  <si>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</si>
  <si>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</si>
  <si>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</si>
  <si>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</si>
  <si>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</si>
  <si>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</si>
  <si>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</si>
  <si>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</si>
  <si>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</si>
  <si>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</si>
  <si>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</si>
  <si>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</si>
  <si>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</si>
  <si>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</si>
  <si>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</si>
  <si>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</si>
  <si>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</si>
  <si>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</si>
  <si>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</si>
  <si>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</si>
  <si>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</si>
  <si>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</si>
  <si>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</si>
  <si>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</si>
  <si>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</si>
  <si>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</si>
  <si>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</si>
  <si>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</si>
  <si>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</si>
  <si>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</si>
  <si>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</si>
  <si>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</si>
  <si>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</si>
  <si>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</si>
  <si>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</si>
  <si>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</si>
  <si>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</si>
  <si>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</si>
  <si>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</si>
  <si>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</si>
  <si>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</si>
  <si>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</si>
  <si>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</si>
  <si>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</si>
  <si>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</si>
  <si>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</si>
  <si>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</si>
  <si>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</si>
  <si>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</si>
  <si>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</si>
  <si>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</si>
  <si>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</si>
  <si>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</si>
  <si>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</si>
  <si>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</si>
  <si>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</si>
  <si>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</si>
  <si>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</si>
  <si>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</si>
  <si>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</si>
  <si>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</si>
  <si>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</si>
  <si>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</si>
  <si>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</si>
  <si>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</si>
  <si>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</si>
  <si>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</si>
  <si>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</si>
  <si>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</si>
  <si>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</si>
  <si>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</si>
  <si>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</si>
  <si>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</si>
  <si>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</si>
  <si>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</si>
  <si>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</si>
  <si>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</si>
  <si>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</si>
  <si>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</si>
  <si>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</si>
  <si>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</si>
  <si>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</si>
  <si>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</si>
  <si>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</si>
  <si>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</si>
  <si>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</si>
  <si>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</si>
  <si>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Nick Elder</t>
  </si>
  <si>
    <t>nelder@efe.k12.il.us</t>
  </si>
  <si>
    <t>217-355-1382</t>
  </si>
  <si>
    <t>217-355-1396</t>
  </si>
  <si>
    <t>2400 W BRADLEY AVE</t>
  </si>
  <si>
    <t>No applicable contracts paid.</t>
  </si>
  <si>
    <t>Page 13 - Acct #4799 - CTE - Other</t>
  </si>
  <si>
    <t>Col 10 - Educational</t>
  </si>
  <si>
    <t>Perkins Secondary Program Improvement $342,961</t>
  </si>
  <si>
    <t>AUDITCHECK Tab - #13 Contracts Paid Error</t>
  </si>
  <si>
    <t>No applicable contracts paid in current year.</t>
  </si>
  <si>
    <t>Educ for Employment Sys 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</si>
</sst>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8" t="s">
        <v>405</v>
      </c>
      <c r="J1" s="2019"/>
      <c r="K1" s="2019"/>
      <c r="L1" s="2019"/>
      <c r="M1" s="2019"/>
      <c r="N1" s="2019"/>
      <c r="O1" s="2019"/>
      <c r="P1" s="2019"/>
      <c r="Q1" s="2019"/>
      <c r="R1" s="2019"/>
      <c r="S1" s="2019"/>
    </row>
    <row r="2" spans="1:28" ht="12" customHeight="1" x14ac:dyDescent="0.2">
      <c r="A2" s="47" t="s">
        <v>1991</v>
      </c>
      <c r="D2" s="48"/>
      <c r="I2" s="2020" t="s">
        <v>979</v>
      </c>
      <c r="J2" s="2019"/>
      <c r="K2" s="2019"/>
      <c r="L2" s="2019"/>
      <c r="M2" s="2019"/>
      <c r="N2" s="2019"/>
      <c r="O2" s="2019"/>
      <c r="P2" s="2019"/>
      <c r="Q2" s="2019"/>
      <c r="R2" s="2019"/>
      <c r="S2" s="2019"/>
    </row>
    <row r="3" spans="1:28" ht="12" customHeight="1" x14ac:dyDescent="0.2">
      <c r="A3" s="155" t="s">
        <v>1943</v>
      </c>
      <c r="B3" s="156"/>
      <c r="C3" s="156"/>
      <c r="D3" s="157"/>
      <c r="I3" s="2020" t="s">
        <v>52</v>
      </c>
      <c r="J3" s="2019"/>
      <c r="K3" s="2019"/>
      <c r="L3" s="2019"/>
      <c r="M3" s="2019"/>
      <c r="N3" s="2019"/>
      <c r="O3" s="2019"/>
      <c r="P3" s="2019"/>
      <c r="Q3" s="2019"/>
      <c r="R3" s="2019"/>
      <c r="S3" s="2019"/>
    </row>
    <row r="4" spans="1:28" ht="12" customHeight="1" x14ac:dyDescent="0.2">
      <c r="A4" s="37"/>
      <c r="I4" s="2020" t="s">
        <v>524</v>
      </c>
      <c r="J4" s="2019"/>
      <c r="K4" s="2019"/>
      <c r="L4" s="2019"/>
      <c r="M4" s="2019"/>
      <c r="N4" s="2019"/>
      <c r="O4" s="2019"/>
      <c r="P4" s="2019"/>
      <c r="Q4" s="2019"/>
      <c r="R4" s="2019"/>
      <c r="S4" s="2019"/>
    </row>
    <row r="5" spans="1:28" ht="14.1" customHeight="1" x14ac:dyDescent="0.2">
      <c r="B5" s="104"/>
      <c r="C5" s="26" t="s">
        <v>910</v>
      </c>
      <c r="D5" s="84"/>
      <c r="E5" s="84"/>
      <c r="H5" s="38"/>
      <c r="I5" s="2027" t="s">
        <v>680</v>
      </c>
      <c r="J5" s="1971"/>
      <c r="K5" s="1971"/>
      <c r="L5" s="1971"/>
      <c r="M5" s="1971"/>
      <c r="N5" s="1971"/>
      <c r="O5" s="1971"/>
      <c r="P5" s="1971"/>
      <c r="Q5" s="1971"/>
      <c r="R5" s="1971"/>
      <c r="S5" s="1971"/>
    </row>
    <row r="6" spans="1:28" ht="14.1" customHeight="1" x14ac:dyDescent="0.2">
      <c r="B6" s="104" t="s">
        <v>2073</v>
      </c>
      <c r="C6" s="26" t="s">
        <v>911</v>
      </c>
      <c r="D6" s="84"/>
      <c r="E6" s="84"/>
      <c r="I6" s="2026" t="s">
        <v>883</v>
      </c>
      <c r="J6" s="1971"/>
      <c r="K6" s="1971"/>
      <c r="L6" s="1971"/>
      <c r="M6" s="1971"/>
      <c r="N6" s="1971"/>
      <c r="O6" s="1971"/>
      <c r="P6" s="1971"/>
      <c r="Q6" s="1971"/>
      <c r="R6" s="1971"/>
      <c r="S6" s="1971"/>
    </row>
    <row r="7" spans="1:28" ht="12.2" customHeight="1" x14ac:dyDescent="0.2">
      <c r="I7" s="2021">
        <v>43646</v>
      </c>
      <c r="J7" s="2022"/>
      <c r="K7" s="2022"/>
      <c r="L7" s="2022"/>
      <c r="M7" s="2022"/>
      <c r="N7" s="2022"/>
      <c r="O7" s="2022"/>
      <c r="P7" s="2022"/>
      <c r="Q7" s="2022"/>
      <c r="R7" s="2022"/>
      <c r="S7" s="202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3" t="s">
        <v>674</v>
      </c>
      <c r="J9" s="2024"/>
      <c r="K9" s="2024"/>
      <c r="L9" s="2024"/>
      <c r="M9" s="2024"/>
      <c r="N9" s="2024"/>
      <c r="O9" s="2024"/>
      <c r="P9" s="2024"/>
      <c r="Q9" s="2024"/>
      <c r="R9" s="2024"/>
      <c r="S9" s="2025"/>
      <c r="T9" s="1967" t="s">
        <v>533</v>
      </c>
      <c r="U9" s="1968"/>
      <c r="V9" s="1968"/>
      <c r="W9" s="1968"/>
      <c r="X9" s="1968"/>
      <c r="Y9" s="1968"/>
      <c r="Z9" s="1968"/>
      <c r="AA9" s="1969"/>
    </row>
    <row r="10" spans="1:28" ht="13.5" customHeight="1" x14ac:dyDescent="0.2">
      <c r="A10" s="1976" t="s">
        <v>675</v>
      </c>
      <c r="B10" s="1977"/>
      <c r="C10" s="1977"/>
      <c r="D10" s="1977"/>
      <c r="E10" s="1977"/>
      <c r="F10" s="1977"/>
      <c r="G10" s="1977"/>
      <c r="H10" s="1978"/>
      <c r="I10" s="29"/>
      <c r="J10" s="30"/>
      <c r="K10" s="28"/>
      <c r="R10" s="30"/>
      <c r="S10" s="30"/>
      <c r="T10" s="1970"/>
      <c r="U10" s="1971"/>
      <c r="V10" s="1971"/>
      <c r="W10" s="1971"/>
      <c r="X10" s="1971"/>
      <c r="Y10" s="1971"/>
      <c r="Z10" s="1971"/>
      <c r="AA10" s="1972"/>
    </row>
    <row r="11" spans="1:28" ht="14.25" customHeight="1" x14ac:dyDescent="0.2">
      <c r="A11" s="1979" t="s">
        <v>955</v>
      </c>
      <c r="B11" s="1980"/>
      <c r="C11" s="1980"/>
      <c r="D11" s="1980"/>
      <c r="E11" s="1980"/>
      <c r="F11" s="1980"/>
      <c r="G11" s="1980"/>
      <c r="H11" s="1981"/>
      <c r="I11" s="27"/>
      <c r="J11" s="74"/>
      <c r="K11" s="27"/>
      <c r="O11" s="148" t="s">
        <v>2073</v>
      </c>
      <c r="P11" s="100" t="s">
        <v>201</v>
      </c>
      <c r="Q11" s="30"/>
      <c r="R11" s="28"/>
      <c r="S11" s="27"/>
      <c r="T11" s="1973"/>
      <c r="U11" s="1974"/>
      <c r="V11" s="1974"/>
      <c r="W11" s="1974"/>
      <c r="X11" s="1974"/>
      <c r="Y11" s="1974"/>
      <c r="Z11" s="1974"/>
      <c r="AA11" s="1975"/>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7">
        <v>9010008046</v>
      </c>
      <c r="B13" s="1988"/>
      <c r="C13" s="1988"/>
      <c r="D13" s="1988"/>
      <c r="E13" s="1988"/>
      <c r="F13" s="1988"/>
      <c r="G13" s="1988"/>
      <c r="H13" s="1989"/>
      <c r="I13" s="31"/>
      <c r="J13" s="30"/>
      <c r="K13" s="28"/>
      <c r="L13" s="30"/>
      <c r="M13" s="30"/>
      <c r="N13" s="30"/>
      <c r="O13" s="30"/>
      <c r="P13" s="30"/>
      <c r="Q13" s="30"/>
      <c r="R13" s="30"/>
      <c r="S13" s="30"/>
      <c r="T13" s="1992" t="s">
        <v>2065</v>
      </c>
      <c r="U13" s="1993"/>
      <c r="V13" s="1993"/>
      <c r="W13" s="1993"/>
      <c r="X13" s="1993"/>
      <c r="Y13" s="1994"/>
      <c r="Z13" s="1994"/>
      <c r="AA13" s="199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5" t="s">
        <v>2076</v>
      </c>
      <c r="B15" s="1990"/>
      <c r="C15" s="1990"/>
      <c r="D15" s="1990"/>
      <c r="E15" s="1990"/>
      <c r="F15" s="1990"/>
      <c r="G15" s="1990"/>
      <c r="H15" s="1991"/>
      <c r="T15" s="1953" t="s">
        <v>2066</v>
      </c>
      <c r="U15" s="1954"/>
      <c r="V15" s="1954"/>
      <c r="W15" s="1954"/>
      <c r="X15" s="1954"/>
      <c r="Y15" s="1996"/>
      <c r="Z15" s="1996"/>
      <c r="AA15" s="199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5" t="s">
        <v>2088</v>
      </c>
      <c r="B17" s="2016"/>
      <c r="C17" s="2016"/>
      <c r="D17" s="2016"/>
      <c r="E17" s="2016"/>
      <c r="F17" s="2016"/>
      <c r="G17" s="2016"/>
      <c r="H17" s="2017"/>
      <c r="T17" s="2002" t="s">
        <v>2067</v>
      </c>
      <c r="U17" s="2003"/>
      <c r="V17" s="2003"/>
      <c r="W17" s="2003"/>
      <c r="X17" s="2003"/>
      <c r="Y17" s="2003"/>
      <c r="Z17" s="2003"/>
      <c r="AA17" s="2004"/>
    </row>
    <row r="18" spans="1:27" ht="13.5" customHeight="1" x14ac:dyDescent="0.2">
      <c r="A18" s="85" t="s">
        <v>530</v>
      </c>
      <c r="B18" s="76"/>
      <c r="C18" s="72"/>
      <c r="D18" s="76"/>
      <c r="E18" s="76"/>
      <c r="F18" s="76"/>
      <c r="G18" s="76"/>
      <c r="H18" s="56"/>
      <c r="I18" s="2012" t="s">
        <v>676</v>
      </c>
      <c r="J18" s="2013"/>
      <c r="K18" s="2013"/>
      <c r="L18" s="2013"/>
      <c r="M18" s="2013"/>
      <c r="N18" s="2013"/>
      <c r="O18" s="2013"/>
      <c r="P18" s="2013"/>
      <c r="Q18" s="2013"/>
      <c r="R18" s="2013"/>
      <c r="S18" s="2014"/>
      <c r="T18" s="85" t="s">
        <v>711</v>
      </c>
      <c r="U18" s="51"/>
      <c r="V18" s="72"/>
      <c r="W18" s="50"/>
      <c r="X18" s="85" t="s">
        <v>266</v>
      </c>
      <c r="Y18" s="81"/>
      <c r="Z18" s="159" t="s">
        <v>677</v>
      </c>
      <c r="AA18" s="46"/>
    </row>
    <row r="19" spans="1:27" ht="13.5" customHeight="1" x14ac:dyDescent="0.2">
      <c r="A19" s="1985" t="s">
        <v>2081</v>
      </c>
      <c r="B19" s="1986"/>
      <c r="C19" s="1986"/>
      <c r="D19" s="1986"/>
      <c r="E19" s="1986"/>
      <c r="F19" s="1986"/>
      <c r="G19" s="1986"/>
      <c r="H19" s="1984"/>
      <c r="I19" s="30"/>
      <c r="J19" s="99"/>
      <c r="K19" s="40"/>
      <c r="L19" s="38"/>
      <c r="M19" s="112" t="s">
        <v>315</v>
      </c>
      <c r="P19" s="27"/>
      <c r="Q19" s="27"/>
      <c r="R19" s="27"/>
      <c r="S19" s="31"/>
      <c r="T19" s="1985" t="s">
        <v>2068</v>
      </c>
      <c r="U19" s="1983"/>
      <c r="V19" s="1983"/>
      <c r="W19" s="1984"/>
      <c r="X19" s="2000" t="s">
        <v>2069</v>
      </c>
      <c r="Y19" s="2001"/>
      <c r="Z19" s="1998">
        <v>60942</v>
      </c>
      <c r="AA19" s="199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2" t="s">
        <v>2076</v>
      </c>
      <c r="B21" s="1983"/>
      <c r="C21" s="1983"/>
      <c r="D21" s="1983"/>
      <c r="E21" s="1983"/>
      <c r="F21" s="1983"/>
      <c r="G21" s="1983"/>
      <c r="H21" s="1984"/>
      <c r="I21" s="2008" t="s">
        <v>678</v>
      </c>
      <c r="J21" s="1971"/>
      <c r="K21" s="1971"/>
      <c r="L21" s="1971"/>
      <c r="M21" s="1971"/>
      <c r="N21" s="1971"/>
      <c r="O21" s="1971"/>
      <c r="P21" s="1971"/>
      <c r="Q21" s="1971"/>
      <c r="R21" s="1971"/>
      <c r="S21" s="1972"/>
      <c r="T21" s="1950" t="s">
        <v>2070</v>
      </c>
      <c r="U21" s="1951"/>
      <c r="V21" s="1951"/>
      <c r="W21" s="1951"/>
      <c r="X21" s="1964" t="s">
        <v>2071</v>
      </c>
      <c r="Y21" s="1965"/>
      <c r="Z21" s="1965"/>
      <c r="AA21" s="1966"/>
    </row>
    <row r="22" spans="1:27" ht="13.5" customHeight="1" x14ac:dyDescent="0.2">
      <c r="A22" s="87" t="s">
        <v>531</v>
      </c>
      <c r="B22" s="59"/>
      <c r="C22" s="59"/>
      <c r="D22" s="59"/>
      <c r="E22" s="59"/>
      <c r="F22" s="59"/>
      <c r="G22" s="59"/>
      <c r="H22" s="60"/>
      <c r="I22" s="2009" t="s">
        <v>1429</v>
      </c>
      <c r="J22" s="2010"/>
      <c r="K22" s="2010"/>
      <c r="L22" s="2010"/>
      <c r="M22" s="2010"/>
      <c r="N22" s="2010"/>
      <c r="O22" s="2010"/>
      <c r="P22" s="2010"/>
      <c r="Q22" s="2010"/>
      <c r="R22" s="2010"/>
      <c r="S22" s="2011"/>
      <c r="T22" s="85" t="s">
        <v>1516</v>
      </c>
      <c r="U22" s="51"/>
      <c r="V22" s="72"/>
      <c r="W22" s="51"/>
      <c r="X22" s="160" t="s">
        <v>1318</v>
      </c>
      <c r="Z22" s="45"/>
      <c r="AA22" s="46"/>
    </row>
    <row r="23" spans="1:27" ht="13.5" customHeight="1" x14ac:dyDescent="0.2">
      <c r="A23" s="2005"/>
      <c r="B23" s="2006"/>
      <c r="C23" s="2006"/>
      <c r="D23" s="2006"/>
      <c r="E23" s="2006"/>
      <c r="F23" s="2006"/>
      <c r="G23" s="2006"/>
      <c r="H23" s="2007"/>
      <c r="T23" s="1945" t="s">
        <v>2074</v>
      </c>
      <c r="U23" s="1946"/>
      <c r="V23" s="1946"/>
      <c r="W23" s="1946"/>
      <c r="X23" s="1961">
        <v>44469</v>
      </c>
      <c r="Y23" s="1962"/>
      <c r="Z23" s="1962"/>
      <c r="AA23" s="1963"/>
    </row>
    <row r="24" spans="1:27" ht="14.1" customHeight="1" x14ac:dyDescent="0.2">
      <c r="A24" s="88" t="s">
        <v>677</v>
      </c>
      <c r="B24" s="49"/>
      <c r="C24" s="49"/>
      <c r="D24" s="49"/>
      <c r="E24" s="49"/>
      <c r="F24" s="49"/>
      <c r="G24" s="49"/>
      <c r="H24" s="61"/>
      <c r="J24" s="2048" t="str">
        <f>IF(B5="x",IF(AUDITCHECK!D29="AFR form Incomplete.","",IF(AUDITCHECK!D29="Deficit reduction plan is required.","School District must complete a deficit reduction plan in the 2019-2020 Budget",)),"")</f>
        <v/>
      </c>
      <c r="K24" s="2048"/>
      <c r="L24" s="2048"/>
      <c r="M24" s="2048"/>
      <c r="N24" s="2048"/>
      <c r="O24" s="2048"/>
      <c r="P24" s="2048"/>
      <c r="Q24" s="2048"/>
      <c r="R24" s="2048"/>
      <c r="S24" s="2049"/>
      <c r="T24" s="105" t="s">
        <v>531</v>
      </c>
      <c r="U24" s="106"/>
      <c r="V24" s="106"/>
      <c r="W24" s="106"/>
      <c r="X24" s="107"/>
      <c r="Y24" s="107"/>
      <c r="Z24" s="107"/>
      <c r="AA24" s="108"/>
    </row>
    <row r="25" spans="1:27" ht="14.1" customHeight="1" x14ac:dyDescent="0.2">
      <c r="A25" s="1982">
        <v>61821</v>
      </c>
      <c r="B25" s="1983"/>
      <c r="C25" s="1983"/>
      <c r="D25" s="1983"/>
      <c r="E25" s="1983"/>
      <c r="F25" s="1983"/>
      <c r="G25" s="1983"/>
      <c r="H25" s="1984"/>
      <c r="I25" s="113"/>
      <c r="J25" s="2050"/>
      <c r="K25" s="2050"/>
      <c r="L25" s="2050"/>
      <c r="M25" s="2050"/>
      <c r="N25" s="2050"/>
      <c r="O25" s="2050"/>
      <c r="P25" s="2050"/>
      <c r="Q25" s="2050"/>
      <c r="R25" s="2050"/>
      <c r="S25" s="2051"/>
      <c r="T25" s="1942" t="s">
        <v>2072</v>
      </c>
      <c r="U25" s="1943"/>
      <c r="V25" s="1943"/>
      <c r="W25" s="1943"/>
      <c r="X25" s="1943"/>
      <c r="Y25" s="1943"/>
      <c r="Z25" s="1943"/>
      <c r="AA25" s="19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1" t="s">
        <v>1511</v>
      </c>
      <c r="J27" s="2013"/>
      <c r="K27" s="2013"/>
      <c r="L27" s="2013"/>
      <c r="M27" s="2013"/>
      <c r="N27" s="2013"/>
      <c r="O27" s="2013"/>
      <c r="P27" s="2013"/>
      <c r="Q27" s="2013"/>
      <c r="R27" s="2013"/>
      <c r="S27" s="201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6"/>
      <c r="Q35" s="1983"/>
      <c r="R35" s="198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5" t="s">
        <v>2077</v>
      </c>
      <c r="B38" s="2016"/>
      <c r="C38" s="2016"/>
      <c r="D38" s="2016"/>
      <c r="E38" s="2016"/>
      <c r="F38" s="1983"/>
      <c r="G38" s="1983"/>
      <c r="H38" s="1984"/>
      <c r="I38" s="2035"/>
      <c r="J38" s="1954"/>
      <c r="K38" s="1954"/>
      <c r="L38" s="1954"/>
      <c r="M38" s="1954"/>
      <c r="N38" s="1954"/>
      <c r="O38" s="1954"/>
      <c r="P38" s="1955"/>
      <c r="Q38" s="1955"/>
      <c r="R38" s="1955"/>
      <c r="S38" s="1956"/>
      <c r="T38" s="1953"/>
      <c r="U38" s="1954"/>
      <c r="V38" s="1954"/>
      <c r="W38" s="1954"/>
      <c r="X38" s="1955"/>
      <c r="Y38" s="1955"/>
      <c r="Z38" s="1955"/>
      <c r="AA38" s="1956"/>
    </row>
    <row r="39" spans="1:27" ht="12" customHeight="1" x14ac:dyDescent="0.2">
      <c r="A39" s="2039" t="s">
        <v>531</v>
      </c>
      <c r="B39" s="2040"/>
      <c r="C39" s="72"/>
      <c r="D39" s="69"/>
      <c r="E39" s="69"/>
      <c r="F39" s="79"/>
      <c r="G39" s="69"/>
      <c r="H39" s="56"/>
      <c r="I39" s="2039" t="s">
        <v>531</v>
      </c>
      <c r="J39" s="2040"/>
      <c r="K39" s="2040"/>
      <c r="L39" s="2040"/>
      <c r="M39" s="2040"/>
      <c r="N39" s="67"/>
      <c r="O39" s="72"/>
      <c r="P39" s="72"/>
      <c r="Q39" s="78"/>
      <c r="R39" s="72"/>
      <c r="S39" s="56"/>
      <c r="T39" s="72" t="s">
        <v>531</v>
      </c>
      <c r="U39" s="51"/>
      <c r="V39" s="72"/>
      <c r="W39" s="50"/>
      <c r="X39" s="78"/>
      <c r="Y39" s="45"/>
      <c r="Z39" s="45"/>
      <c r="AA39" s="46"/>
    </row>
    <row r="40" spans="1:27" ht="13.5" customHeight="1" x14ac:dyDescent="0.2">
      <c r="A40" s="2042" t="s">
        <v>2078</v>
      </c>
      <c r="B40" s="2043"/>
      <c r="C40" s="2044"/>
      <c r="D40" s="2044"/>
      <c r="E40" s="2044"/>
      <c r="F40" s="2045"/>
      <c r="G40" s="2045"/>
      <c r="H40" s="2046"/>
      <c r="I40" s="1957"/>
      <c r="J40" s="1959"/>
      <c r="K40" s="1959"/>
      <c r="L40" s="1959"/>
      <c r="M40" s="1959"/>
      <c r="N40" s="1959"/>
      <c r="O40" s="1959"/>
      <c r="P40" s="1959"/>
      <c r="Q40" s="1959"/>
      <c r="R40" s="1959"/>
      <c r="S40" s="1960"/>
      <c r="T40" s="1957"/>
      <c r="U40" s="1958"/>
      <c r="V40" s="1959"/>
      <c r="W40" s="1959"/>
      <c r="X40" s="1959"/>
      <c r="Y40" s="1959"/>
      <c r="Z40" s="1959"/>
      <c r="AA40" s="196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2" t="s">
        <v>2079</v>
      </c>
      <c r="B42" s="2033"/>
      <c r="C42" s="2034"/>
      <c r="D42" s="2047" t="s">
        <v>2080</v>
      </c>
      <c r="E42" s="2033"/>
      <c r="F42" s="2033"/>
      <c r="G42" s="2033"/>
      <c r="H42" s="2034"/>
      <c r="I42" s="1952"/>
      <c r="J42" s="1948"/>
      <c r="K42" s="1948"/>
      <c r="L42" s="1948"/>
      <c r="M42" s="1948"/>
      <c r="N42" s="1948"/>
      <c r="O42" s="1949"/>
      <c r="P42" s="1947"/>
      <c r="Q42" s="1948"/>
      <c r="R42" s="1948"/>
      <c r="S42" s="1949"/>
      <c r="T42" s="1952"/>
      <c r="U42" s="1948"/>
      <c r="V42" s="1948"/>
      <c r="W42" s="1949"/>
      <c r="X42" s="1947"/>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6"/>
      <c r="B44" s="2037"/>
      <c r="C44" s="2037"/>
      <c r="D44" s="2037"/>
      <c r="E44" s="2037"/>
      <c r="F44" s="2037"/>
      <c r="G44" s="2037"/>
      <c r="H44" s="2038"/>
      <c r="I44" s="2028"/>
      <c r="J44" s="2030"/>
      <c r="K44" s="2030"/>
      <c r="L44" s="2030"/>
      <c r="M44" s="2030"/>
      <c r="N44" s="2030"/>
      <c r="O44" s="2030"/>
      <c r="P44" s="2030"/>
      <c r="Q44" s="2030"/>
      <c r="R44" s="2030"/>
      <c r="S44" s="2031"/>
      <c r="T44" s="2028"/>
      <c r="U44" s="2029"/>
      <c r="V44" s="2029"/>
      <c r="W44" s="2029"/>
      <c r="X44" s="2029"/>
      <c r="Y44" s="2029"/>
      <c r="Z44" s="2030"/>
      <c r="AA44" s="2031"/>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2075</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1211718</v>
      </c>
      <c r="E16" s="356"/>
      <c r="F16" s="1733">
        <f>SUM('Acct Summary 7-8'!C17,'Acct Summary 7-8'!D17,'Acct Summary 7-8'!F17)</f>
        <v>1150957</v>
      </c>
      <c r="G16" s="356"/>
      <c r="H16" s="1733">
        <f>SUM(D16-F16)</f>
        <v>60761</v>
      </c>
      <c r="I16" s="222"/>
      <c r="J16" s="1733">
        <f>SUM('Acct Summary 7-8'!C81,'Acct Summary 7-8'!D81,'Acct Summary 7-8'!F81,'Acct Summary 7-8'!I81)</f>
        <v>240663</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Educ for Employment Sys 330</v>
      </c>
      <c r="E7" s="391"/>
      <c r="G7" s="252"/>
      <c r="H7" s="387"/>
      <c r="I7" s="387"/>
      <c r="J7" s="387"/>
      <c r="K7" s="387"/>
      <c r="L7" s="329"/>
      <c r="M7" s="329"/>
      <c r="N7" s="329"/>
      <c r="O7" s="329"/>
      <c r="P7" s="329"/>
    </row>
    <row r="8" spans="1:18" ht="12.75" x14ac:dyDescent="0.2">
      <c r="A8" s="329"/>
      <c r="B8" s="329"/>
      <c r="C8" s="389" t="s">
        <v>1125</v>
      </c>
      <c r="D8" s="392">
        <f>COVER!A13</f>
        <v>9010008046</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240663</v>
      </c>
      <c r="I12" s="404"/>
      <c r="J12" s="404"/>
      <c r="K12" s="405">
        <f>TRUNC((H12/H13*100000),5)/100000</f>
        <v>0.19861304359999998</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1211718</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1150957</v>
      </c>
      <c r="I17" s="404"/>
      <c r="J17" s="416"/>
      <c r="K17" s="405">
        <f>TRUNC((H17/H18*100000),5)/100000</f>
        <v>0.94985549440000006</v>
      </c>
      <c r="L17" s="406"/>
      <c r="M17" s="417" t="s">
        <v>1171</v>
      </c>
      <c r="O17" s="418" t="str">
        <f>IF(AND(O16="2", J20 &gt; 2),"1",IF(AND(O16 = "1", J20 &gt; 2),"2",IF(AND(O16="1", J20 &gt;1),"1","0")))</f>
        <v>0</v>
      </c>
      <c r="P17" s="218"/>
    </row>
    <row r="18" spans="1:18" s="408" customFormat="1" ht="11.25" x14ac:dyDescent="0.2">
      <c r="A18" s="218"/>
      <c r="B18" s="401"/>
      <c r="C18" s="2103" t="s">
        <v>1317</v>
      </c>
      <c r="D18" s="2104"/>
      <c r="E18" s="218"/>
      <c r="F18" s="419" t="s">
        <v>794</v>
      </c>
      <c r="G18" s="402"/>
      <c r="H18" s="403">
        <f>SUM('Acct Summary 7-8'!C8+'Acct Summary 7-8'!D8+'Acct Summary 7-8'!F8+'Acct Summary 7-8'!I8)+H19</f>
        <v>1211718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240663</v>
      </c>
      <c r="I24" s="422"/>
      <c r="J24" s="422"/>
      <c r="K24" s="423">
        <f>TRUNC(((H24/H25*100000)/100000),2)</f>
        <v>75.27</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3197.1027800000002</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240663</v>
      </c>
      <c r="D4" s="466"/>
      <c r="E4" s="466"/>
      <c r="F4" s="466"/>
      <c r="G4" s="466"/>
      <c r="H4" s="466"/>
      <c r="I4" s="466"/>
      <c r="J4" s="467"/>
      <c r="K4" s="466"/>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240663</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0</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c r="N16" s="484"/>
    </row>
    <row r="17" spans="1:14" s="485" customFormat="1" ht="12.75" customHeight="1" x14ac:dyDescent="0.2">
      <c r="A17" s="482" t="s">
        <v>1403</v>
      </c>
      <c r="B17" s="483">
        <v>230</v>
      </c>
      <c r="C17" s="477"/>
      <c r="D17" s="477"/>
      <c r="E17" s="477"/>
      <c r="F17" s="477"/>
      <c r="G17" s="477"/>
      <c r="H17" s="477"/>
      <c r="I17" s="477"/>
      <c r="J17" s="477"/>
      <c r="K17" s="477"/>
      <c r="L17" s="477"/>
      <c r="M17" s="467"/>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1489669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1489669</v>
      </c>
      <c r="N23" s="1688">
        <f>SUM(N21:N22)</f>
        <v>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0</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240663</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1489669</v>
      </c>
      <c r="N40" s="497"/>
    </row>
    <row r="41" spans="1:14" ht="13.5" customHeight="1" thickBot="1" x14ac:dyDescent="0.25">
      <c r="A41" s="1736" t="s">
        <v>655</v>
      </c>
      <c r="B41" s="1706"/>
      <c r="C41" s="1688">
        <f>(SUM(C34,C37,C38,C39))</f>
        <v>240663</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0</v>
      </c>
      <c r="M41" s="1688">
        <f>SUM(M40)</f>
        <v>1489669</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
      <selection pane="bottomLeft"/>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313421</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555336</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342961</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1211718</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73756</v>
      </c>
      <c r="D9" s="516"/>
      <c r="E9" s="481"/>
      <c r="F9" s="481"/>
      <c r="G9" s="517"/>
      <c r="H9" s="481"/>
      <c r="I9" s="509" t="s">
        <v>1169</v>
      </c>
      <c r="J9" s="478"/>
      <c r="K9" s="481"/>
      <c r="L9" s="347"/>
    </row>
    <row r="10" spans="1:13" s="519" customFormat="1" ht="13.5" thickBot="1" x14ac:dyDescent="0.25">
      <c r="A10" s="1736" t="s">
        <v>1173</v>
      </c>
      <c r="B10" s="1709"/>
      <c r="C10" s="1688">
        <f>SUM(C8:C9)</f>
        <v>1285474</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216307</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330276</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604374</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1150957</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73756</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1224713</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28" t="s">
        <v>1655</v>
      </c>
      <c r="B20" s="2129"/>
      <c r="C20" s="1746">
        <f>C8-C17</f>
        <v>60761</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60761</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1947</v>
      </c>
      <c r="B79" s="534"/>
      <c r="C79" s="478">
        <v>179902</v>
      </c>
      <c r="D79" s="535"/>
      <c r="E79" s="535"/>
      <c r="F79" s="535"/>
      <c r="G79" s="535"/>
      <c r="H79" s="535"/>
      <c r="I79" s="535"/>
      <c r="J79" s="535"/>
      <c r="K79" s="535"/>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240663</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60761</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0.25247337563314676</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79"/>
  <sheetViews>
    <sheetView showGridLines="0" defaultGridColor="0" colorId="8" zoomScale="110" zoomScaleNormal="110" zoomScaleSheetLayoutView="75" workbookViewId="0">
      <pane ySplit="2" topLeftCell="A3" activePane="bottomLeft" state="frozen"/>
      <selection pane="bottomLeft" activeCell="C29" sqref="C29"/>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v>266346</v>
      </c>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266346</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373</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373</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46702</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c r="D107" s="466"/>
      <c r="E107" s="466"/>
      <c r="F107" s="466"/>
      <c r="G107" s="466"/>
      <c r="H107" s="466"/>
      <c r="I107" s="466"/>
      <c r="J107" s="467"/>
      <c r="K107" s="466"/>
    </row>
    <row r="108" spans="1:12" ht="12.75" customHeight="1" thickBot="1" x14ac:dyDescent="0.25">
      <c r="A108" s="1708" t="s">
        <v>487</v>
      </c>
      <c r="B108" s="1712"/>
      <c r="C108" s="1707">
        <f>SUM(C95:C107)</f>
        <v>46702</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313421</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0</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0</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555336</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555336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555336</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555336</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342961</v>
      </c>
      <c r="D220" s="466"/>
      <c r="E220" s="468"/>
      <c r="F220" s="468"/>
      <c r="G220" s="466"/>
      <c r="H220" s="468"/>
      <c r="I220" s="468"/>
      <c r="J220" s="468"/>
      <c r="K220" s="468"/>
    </row>
    <row r="221" spans="1:11" ht="12.75" customHeight="1" thickBot="1" x14ac:dyDescent="0.25">
      <c r="A221" s="1723" t="s">
        <v>1085</v>
      </c>
      <c r="B221" s="1724"/>
      <c r="C221" s="1707">
        <f>SUM(C219:C220)</f>
        <v>342961</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342961</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342961</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1211718</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pane="bottomLeft"/>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8"/>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4" t="s">
        <v>297</v>
      </c>
      <c r="B3" s="2165"/>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c r="D8" s="466"/>
      <c r="E8" s="466"/>
      <c r="F8" s="466"/>
      <c r="G8" s="466"/>
      <c r="H8" s="466"/>
      <c r="I8" s="467"/>
      <c r="J8" s="467"/>
      <c r="K8" s="1671">
        <f t="shared" si="0"/>
        <v>0</v>
      </c>
      <c r="L8" s="466"/>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v>376</v>
      </c>
      <c r="E13" s="466">
        <v>20510</v>
      </c>
      <c r="F13" s="466">
        <v>84107</v>
      </c>
      <c r="G13" s="466">
        <v>54389</v>
      </c>
      <c r="H13" s="466"/>
      <c r="I13" s="467">
        <v>56925</v>
      </c>
      <c r="J13" s="467"/>
      <c r="K13" s="1671">
        <f t="shared" si="0"/>
        <v>216307</v>
      </c>
      <c r="L13" s="466">
        <v>199747</v>
      </c>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0</v>
      </c>
      <c r="D33" s="1670">
        <f t="shared" ref="D33:L33" si="1">SUM(D5:D32)</f>
        <v>376</v>
      </c>
      <c r="E33" s="1670">
        <f t="shared" si="1"/>
        <v>20510</v>
      </c>
      <c r="F33" s="1670">
        <f t="shared" si="1"/>
        <v>84107</v>
      </c>
      <c r="G33" s="1670">
        <f t="shared" si="1"/>
        <v>54389</v>
      </c>
      <c r="H33" s="1670">
        <f t="shared" si="1"/>
        <v>0</v>
      </c>
      <c r="I33" s="1670">
        <f t="shared" si="1"/>
        <v>56925</v>
      </c>
      <c r="J33" s="1670">
        <f t="shared" si="1"/>
        <v>0</v>
      </c>
      <c r="K33" s="1670">
        <f t="shared" si="1"/>
        <v>216307</v>
      </c>
      <c r="L33" s="1670">
        <f t="shared" si="1"/>
        <v>199747</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4950</v>
      </c>
      <c r="D37" s="466">
        <v>710</v>
      </c>
      <c r="E37" s="466">
        <v>23416</v>
      </c>
      <c r="F37" s="466">
        <v>2097</v>
      </c>
      <c r="G37" s="466"/>
      <c r="H37" s="466"/>
      <c r="I37" s="467"/>
      <c r="J37" s="467"/>
      <c r="K37" s="1671">
        <f t="shared" si="2"/>
        <v>31173</v>
      </c>
      <c r="L37" s="466">
        <v>38856</v>
      </c>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4950</v>
      </c>
      <c r="D42" s="1670">
        <f t="shared" ref="D42:L42" si="3">SUM(D36:D41)</f>
        <v>710</v>
      </c>
      <c r="E42" s="1670">
        <f t="shared" si="3"/>
        <v>23416</v>
      </c>
      <c r="F42" s="1670">
        <f t="shared" si="3"/>
        <v>2097</v>
      </c>
      <c r="G42" s="1670">
        <f t="shared" si="3"/>
        <v>0</v>
      </c>
      <c r="H42" s="1670">
        <f t="shared" si="3"/>
        <v>0</v>
      </c>
      <c r="I42" s="1670">
        <f t="shared" si="3"/>
        <v>0</v>
      </c>
      <c r="J42" s="1670">
        <f t="shared" si="3"/>
        <v>0</v>
      </c>
      <c r="K42" s="1670">
        <f t="shared" si="3"/>
        <v>31173</v>
      </c>
      <c r="L42" s="1670">
        <f t="shared" si="3"/>
        <v>38856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142644</v>
      </c>
      <c r="D44" s="481">
        <v>31096</v>
      </c>
      <c r="E44" s="481">
        <v>19605</v>
      </c>
      <c r="F44" s="481">
        <v>3000</v>
      </c>
      <c r="G44" s="481"/>
      <c r="H44" s="481"/>
      <c r="I44" s="467">
        <v>812</v>
      </c>
      <c r="J44" s="467"/>
      <c r="K44" s="1672">
        <f>SUM(C44:J44)</f>
        <v>197157</v>
      </c>
      <c r="L44" s="481">
        <v>192663</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c r="D46" s="466"/>
      <c r="E46" s="466">
        <v>4125</v>
      </c>
      <c r="F46" s="466"/>
      <c r="G46" s="466"/>
      <c r="H46" s="466"/>
      <c r="I46" s="467"/>
      <c r="J46" s="467"/>
      <c r="K46" s="1672">
        <f>SUM(C46:J46)</f>
        <v>4125</v>
      </c>
      <c r="L46" s="466">
        <v>1000</v>
      </c>
    </row>
    <row r="47" spans="1:14" ht="12.75" customHeight="1" thickBot="1" x14ac:dyDescent="0.25">
      <c r="A47" s="1668" t="s">
        <v>561</v>
      </c>
      <c r="B47" s="1669" t="s">
        <v>32</v>
      </c>
      <c r="C47" s="1670">
        <f>SUM(C44:C46)</f>
        <v>142644</v>
      </c>
      <c r="D47" s="1670">
        <f t="shared" ref="D47:K47" si="4">SUM(D44:D46)</f>
        <v>31096</v>
      </c>
      <c r="E47" s="1670">
        <f t="shared" si="4"/>
        <v>23730</v>
      </c>
      <c r="F47" s="1670">
        <f t="shared" si="4"/>
        <v>3000</v>
      </c>
      <c r="G47" s="1670">
        <f t="shared" si="4"/>
        <v>0</v>
      </c>
      <c r="H47" s="1670">
        <f t="shared" si="4"/>
        <v>0</v>
      </c>
      <c r="I47" s="1670">
        <f t="shared" si="4"/>
        <v>812</v>
      </c>
      <c r="J47" s="1670">
        <f t="shared" si="4"/>
        <v>0</v>
      </c>
      <c r="K47" s="1670">
        <f t="shared" si="4"/>
        <v>201282</v>
      </c>
      <c r="L47" s="1670">
        <f>SUM(L44:L46)</f>
        <v>193663</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c r="D50" s="466"/>
      <c r="E50" s="466"/>
      <c r="F50" s="466"/>
      <c r="G50" s="466"/>
      <c r="H50" s="466"/>
      <c r="I50" s="467"/>
      <c r="J50" s="467"/>
      <c r="K50" s="1672">
        <f>SUM(C50:J50)</f>
        <v>0</v>
      </c>
      <c r="L50" s="466"/>
    </row>
    <row r="51" spans="1:14" x14ac:dyDescent="0.2">
      <c r="A51" s="1504" t="s">
        <v>42</v>
      </c>
      <c r="B51" s="614">
        <v>2330</v>
      </c>
      <c r="C51" s="466">
        <v>58569</v>
      </c>
      <c r="D51" s="466">
        <v>10864</v>
      </c>
      <c r="E51" s="466">
        <v>13979</v>
      </c>
      <c r="F51" s="466">
        <v>373</v>
      </c>
      <c r="G51" s="466"/>
      <c r="H51" s="466">
        <v>950</v>
      </c>
      <c r="I51" s="467"/>
      <c r="J51" s="467">
        <v>4646</v>
      </c>
      <c r="K51" s="1672">
        <f>SUM(C51:J51)</f>
        <v>89381</v>
      </c>
      <c r="L51" s="466">
        <v>96462</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58569</v>
      </c>
      <c r="D53" s="1670">
        <f t="shared" ref="D53:L53" si="5">SUM(D49:D52)</f>
        <v>10864</v>
      </c>
      <c r="E53" s="1670">
        <f t="shared" si="5"/>
        <v>13979</v>
      </c>
      <c r="F53" s="1670">
        <f t="shared" si="5"/>
        <v>373</v>
      </c>
      <c r="G53" s="1670">
        <f t="shared" si="5"/>
        <v>0</v>
      </c>
      <c r="H53" s="1670">
        <f t="shared" si="5"/>
        <v>950</v>
      </c>
      <c r="I53" s="1670">
        <f t="shared" si="5"/>
        <v>0</v>
      </c>
      <c r="J53" s="1670">
        <f t="shared" si="5"/>
        <v>4646</v>
      </c>
      <c r="K53" s="1670">
        <f t="shared" si="5"/>
        <v>89381</v>
      </c>
      <c r="L53" s="1670">
        <f t="shared" si="5"/>
        <v>96462</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3907</v>
      </c>
      <c r="D60" s="466">
        <v>299</v>
      </c>
      <c r="E60" s="466">
        <v>2540</v>
      </c>
      <c r="F60" s="466">
        <v>1010</v>
      </c>
      <c r="G60" s="466"/>
      <c r="H60" s="466"/>
      <c r="I60" s="467"/>
      <c r="J60" s="467"/>
      <c r="K60" s="1672">
        <f t="shared" si="7"/>
        <v>7756</v>
      </c>
      <c r="L60" s="466">
        <v>6441</v>
      </c>
      <c r="M60" s="609"/>
      <c r="N60" s="609"/>
    </row>
    <row r="61" spans="1:14" s="343" customFormat="1" x14ac:dyDescent="0.2">
      <c r="A61" s="1504" t="s">
        <v>197</v>
      </c>
      <c r="B61" s="614">
        <v>2540</v>
      </c>
      <c r="C61" s="466"/>
      <c r="D61" s="466"/>
      <c r="E61" s="466">
        <v>684</v>
      </c>
      <c r="F61" s="466"/>
      <c r="G61" s="466"/>
      <c r="H61" s="466"/>
      <c r="I61" s="467"/>
      <c r="J61" s="467"/>
      <c r="K61" s="1672">
        <f t="shared" si="7"/>
        <v>684</v>
      </c>
      <c r="L61" s="466">
        <v>1684</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c r="F63" s="466"/>
      <c r="G63" s="466"/>
      <c r="H63" s="466"/>
      <c r="I63" s="467"/>
      <c r="J63" s="467"/>
      <c r="K63" s="1672">
        <f t="shared" si="7"/>
        <v>0</v>
      </c>
      <c r="L63" s="466"/>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3907</v>
      </c>
      <c r="D65" s="1670">
        <f t="shared" ref="D65:L65" si="8">SUM(D59:D64)</f>
        <v>299</v>
      </c>
      <c r="E65" s="1670">
        <f t="shared" si="8"/>
        <v>3224</v>
      </c>
      <c r="F65" s="1670">
        <f t="shared" si="8"/>
        <v>1010</v>
      </c>
      <c r="G65" s="1670">
        <f t="shared" si="8"/>
        <v>0</v>
      </c>
      <c r="H65" s="1670">
        <f t="shared" si="8"/>
        <v>0</v>
      </c>
      <c r="I65" s="1670">
        <f t="shared" si="8"/>
        <v>0</v>
      </c>
      <c r="J65" s="1670">
        <f t="shared" si="8"/>
        <v>0</v>
      </c>
      <c r="K65" s="1670">
        <f t="shared" si="8"/>
        <v>8440</v>
      </c>
      <c r="L65" s="1670">
        <f t="shared" si="8"/>
        <v>8125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210070</v>
      </c>
      <c r="D74" s="1677">
        <f t="shared" ref="D74:K74" si="10">SUM(D42,D47,D53,D57,D65,D72,D73)</f>
        <v>42969</v>
      </c>
      <c r="E74" s="1677">
        <f t="shared" si="10"/>
        <v>64349</v>
      </c>
      <c r="F74" s="1677">
        <f t="shared" si="10"/>
        <v>6480</v>
      </c>
      <c r="G74" s="1677">
        <f t="shared" si="10"/>
        <v>0</v>
      </c>
      <c r="H74" s="1677">
        <f t="shared" si="10"/>
        <v>950</v>
      </c>
      <c r="I74" s="1677">
        <f t="shared" si="10"/>
        <v>812</v>
      </c>
      <c r="J74" s="1677">
        <f t="shared" si="10"/>
        <v>4646</v>
      </c>
      <c r="K74" s="1677">
        <f t="shared" si="10"/>
        <v>330276</v>
      </c>
      <c r="L74" s="1677">
        <f>SUM(L42,L47,L53,L57,L65,L72,L73)</f>
        <v>337106</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c r="I79" s="477"/>
      <c r="J79" s="477"/>
      <c r="K79" s="1671">
        <f t="shared" si="11"/>
        <v>0</v>
      </c>
      <c r="L79" s="466"/>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36087</v>
      </c>
      <c r="F81" s="616"/>
      <c r="G81" s="616"/>
      <c r="H81" s="466">
        <v>311350</v>
      </c>
      <c r="I81" s="477"/>
      <c r="J81" s="477"/>
      <c r="K81" s="1671">
        <f t="shared" si="11"/>
        <v>347437</v>
      </c>
      <c r="L81" s="466">
        <v>400409</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36087</v>
      </c>
      <c r="F84" s="616"/>
      <c r="G84" s="616"/>
      <c r="H84" s="1670">
        <f>SUM(H78:H83)</f>
        <v>311350</v>
      </c>
      <c r="I84" s="477"/>
      <c r="J84" s="477"/>
      <c r="K84" s="1670">
        <f>SUM(K78:K83)</f>
        <v>347437</v>
      </c>
      <c r="L84" s="1670">
        <f>SUM(L78:L83)</f>
        <v>400409</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v>256937</v>
      </c>
      <c r="I89" s="477"/>
      <c r="J89" s="477"/>
      <c r="K89" s="1677">
        <f t="shared" si="12"/>
        <v>256937</v>
      </c>
      <c r="L89" s="530">
        <v>300000</v>
      </c>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256937</v>
      </c>
      <c r="I92" s="477"/>
      <c r="J92" s="477"/>
      <c r="K92" s="1677">
        <f t="shared" si="12"/>
        <v>256937</v>
      </c>
      <c r="L92" s="1670">
        <f>SUM(L85:L91)</f>
        <v>300000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36087</v>
      </c>
      <c r="F102" s="616"/>
      <c r="G102" s="616"/>
      <c r="H102" s="1677">
        <f>SUM(H84,H92,H100,H101)</f>
        <v>568287</v>
      </c>
      <c r="I102" s="477"/>
      <c r="J102" s="477"/>
      <c r="K102" s="1677">
        <f>SUM(K84,K92,K100,K101)</f>
        <v>604374</v>
      </c>
      <c r="L102" s="1677">
        <f>SUM(L84,L92,L100,L101)</f>
        <v>700409</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210070</v>
      </c>
      <c r="D114" s="1670">
        <f t="shared" ref="D114:K114" si="13">SUM(D33,D74,D75,D102,D112,D113)</f>
        <v>43345</v>
      </c>
      <c r="E114" s="1670">
        <f t="shared" si="13"/>
        <v>120946</v>
      </c>
      <c r="F114" s="1670">
        <f t="shared" si="13"/>
        <v>90587</v>
      </c>
      <c r="G114" s="1670">
        <f t="shared" si="13"/>
        <v>54389</v>
      </c>
      <c r="H114" s="1670">
        <f>SUM(H33,H74,H75,H102,H112,H113)</f>
        <v>569237</v>
      </c>
      <c r="I114" s="1670">
        <f t="shared" si="13"/>
        <v>57737</v>
      </c>
      <c r="J114" s="1670">
        <f t="shared" si="13"/>
        <v>4646</v>
      </c>
      <c r="K114" s="1670">
        <f t="shared" si="13"/>
        <v>1150957</v>
      </c>
      <c r="L114" s="1670">
        <f>SUM(L33,L74,L75,L102,L112,L113)</f>
        <v>1237262</v>
      </c>
    </row>
    <row r="115" spans="1:14" ht="13.5" thickTop="1" x14ac:dyDescent="0.2">
      <c r="A115" s="2183" t="s">
        <v>996</v>
      </c>
      <c r="B115" s="2184"/>
      <c r="C115" s="618"/>
      <c r="D115" s="618"/>
      <c r="E115" s="618"/>
      <c r="F115" s="618"/>
      <c r="G115" s="618"/>
      <c r="H115" s="618"/>
      <c r="I115" s="618"/>
      <c r="J115" s="618"/>
      <c r="K115" s="1684">
        <f>'Revenues 9-14'!C268-'Expenditures 15-22'!K114</f>
        <v>60761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1" t="s">
        <v>296</v>
      </c>
      <c r="B117" s="2162"/>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3" t="s">
        <v>620</v>
      </c>
      <c r="B151" s="2155"/>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76" t="s">
        <v>1178</v>
      </c>
      <c r="B152" s="2177"/>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1" t="s">
        <v>621</v>
      </c>
      <c r="B154" s="2163"/>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3" t="s">
        <v>996</v>
      </c>
      <c r="B175" s="2184"/>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3" t="s">
        <v>996</v>
      </c>
      <c r="B211" s="2184"/>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8" t="s">
        <v>965</v>
      </c>
      <c r="B213" s="2179"/>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4" t="s">
        <v>505</v>
      </c>
      <c r="B295" s="2175"/>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3" t="s">
        <v>996</v>
      </c>
      <c r="B296" s="2184"/>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6" t="s">
        <v>143</v>
      </c>
      <c r="B298" s="2160"/>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1" t="s">
        <v>277</v>
      </c>
      <c r="B312" s="2172"/>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7" t="s">
        <v>996</v>
      </c>
      <c r="B313" s="2168"/>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0" t="s">
        <v>149</v>
      </c>
      <c r="B315" s="2181"/>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2" t="s">
        <v>898</v>
      </c>
      <c r="B317" s="2181"/>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SUM(L330,L334,L340,L341)</f>
        <v>0</v>
      </c>
    </row>
    <row r="343" spans="1:14" ht="12.75" customHeight="1" thickTop="1" x14ac:dyDescent="0.2">
      <c r="A343" s="2169" t="s">
        <v>996</v>
      </c>
      <c r="B343" s="2170"/>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9" t="s">
        <v>966</v>
      </c>
      <c r="B345" s="2160"/>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3" t="s">
        <v>996</v>
      </c>
      <c r="B368" s="2184"/>
      <c r="C368" s="654"/>
      <c r="D368" s="654"/>
      <c r="E368" s="626"/>
      <c r="F368" s="626"/>
      <c r="G368" s="626"/>
      <c r="H368" s="626"/>
      <c r="I368" s="626"/>
      <c r="J368" s="623"/>
      <c r="K368" s="1671">
        <f>'Revenues 9-14'!K268-'Expenditures 15-22'!K367</f>
        <v>0</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1" t="s">
        <v>629</v>
      </c>
      <c r="B1" s="2192"/>
      <c r="C1" s="721"/>
    </row>
    <row r="2" spans="1:7" ht="33.75" x14ac:dyDescent="0.2">
      <c r="A2" s="2200" t="s">
        <v>1802</v>
      </c>
      <c r="B2" s="2201"/>
      <c r="C2" s="1884" t="s">
        <v>1954</v>
      </c>
      <c r="D2" s="723" t="s">
        <v>1955</v>
      </c>
      <c r="E2" s="723" t="s">
        <v>1956</v>
      </c>
      <c r="F2" s="1884" t="s">
        <v>1957</v>
      </c>
    </row>
    <row r="3" spans="1:7" ht="15.75" customHeight="1" x14ac:dyDescent="0.2">
      <c r="A3" s="2204" t="s">
        <v>1114</v>
      </c>
      <c r="B3" s="2205"/>
      <c r="C3" s="2193"/>
      <c r="D3" s="2194"/>
      <c r="E3" s="2194"/>
      <c r="F3" s="2195"/>
    </row>
    <row r="4" spans="1:7" ht="12.75" customHeight="1" thickBot="1" x14ac:dyDescent="0.25">
      <c r="A4" s="2202" t="s">
        <v>630</v>
      </c>
      <c r="B4" s="2203"/>
      <c r="C4" s="581"/>
      <c r="D4" s="581"/>
      <c r="E4" s="581"/>
      <c r="F4" s="1755">
        <f>SUM(C4+D4)-E4</f>
        <v>0</v>
      </c>
    </row>
    <row r="5" spans="1:7" ht="15.75" customHeight="1" thickTop="1" x14ac:dyDescent="0.2">
      <c r="A5" s="2187" t="s">
        <v>1110</v>
      </c>
      <c r="B5" s="2188"/>
      <c r="C5" s="2196"/>
      <c r="D5" s="2197"/>
      <c r="E5" s="2197"/>
      <c r="F5" s="2198"/>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9" t="s">
        <v>631</v>
      </c>
      <c r="B15" s="2190"/>
      <c r="C15" s="1755">
        <f>SUM(C6:C14)</f>
        <v>0</v>
      </c>
      <c r="D15" s="1755">
        <f>SUM(D6:D14)</f>
        <v>0</v>
      </c>
      <c r="E15" s="1755">
        <f>SUM(E6:E14)</f>
        <v>0</v>
      </c>
      <c r="F15" s="1755">
        <f>SUM(F6:F14)</f>
        <v>0</v>
      </c>
      <c r="G15" s="552"/>
    </row>
    <row r="16" spans="1:7" s="202" customFormat="1" ht="15.75" customHeight="1" thickTop="1" x14ac:dyDescent="0.2">
      <c r="A16" s="2199" t="s">
        <v>1111</v>
      </c>
      <c r="B16" s="2188"/>
      <c r="C16" s="2196"/>
      <c r="D16" s="2197"/>
      <c r="E16" s="2197"/>
      <c r="F16" s="2198"/>
    </row>
    <row r="17" spans="1:11" ht="12.75" customHeight="1" thickBot="1" x14ac:dyDescent="0.25">
      <c r="A17" s="2212" t="s">
        <v>64</v>
      </c>
      <c r="B17" s="2213"/>
      <c r="C17" s="726"/>
      <c r="D17" s="585"/>
      <c r="E17" s="726"/>
      <c r="F17" s="1755">
        <f>SUM(C17+D17)-E17</f>
        <v>0</v>
      </c>
    </row>
    <row r="18" spans="1:11" ht="12.75" customHeight="1" thickTop="1" thickBot="1" x14ac:dyDescent="0.25">
      <c r="A18" s="2212" t="s">
        <v>6</v>
      </c>
      <c r="B18" s="2213"/>
      <c r="C18" s="726"/>
      <c r="D18" s="585"/>
      <c r="E18" s="726"/>
      <c r="F18" s="1755">
        <f>SUM(C18+D18)-E18</f>
        <v>0</v>
      </c>
    </row>
    <row r="19" spans="1:11" ht="12.75" customHeight="1" thickTop="1" thickBot="1" x14ac:dyDescent="0.25">
      <c r="A19" s="2212" t="s">
        <v>388</v>
      </c>
      <c r="B19" s="2213"/>
      <c r="C19" s="726"/>
      <c r="D19" s="585"/>
      <c r="E19" s="726"/>
      <c r="F19" s="1755">
        <f>SUM(C19+D19)-E19</f>
        <v>0</v>
      </c>
    </row>
    <row r="20" spans="1:11" ht="12.75" customHeight="1" thickTop="1" thickBot="1" x14ac:dyDescent="0.25">
      <c r="A20" s="2212" t="s">
        <v>448</v>
      </c>
      <c r="B20" s="2213"/>
      <c r="C20" s="726"/>
      <c r="D20" s="585"/>
      <c r="E20" s="726"/>
      <c r="F20" s="1755">
        <f>SUM(C20+D20)-E20</f>
        <v>0</v>
      </c>
    </row>
    <row r="21" spans="1:11" ht="14.25" thickTop="1" thickBot="1" x14ac:dyDescent="0.25">
      <c r="A21" s="2189" t="s">
        <v>632</v>
      </c>
      <c r="B21" s="2190"/>
      <c r="C21" s="1755">
        <f>SUM(C17:C20)</f>
        <v>0</v>
      </c>
      <c r="D21" s="1755">
        <f>SUM(D17:D20)</f>
        <v>0</v>
      </c>
      <c r="E21" s="1755">
        <f>SUM(E17:E20)</f>
        <v>0</v>
      </c>
      <c r="F21" s="1755">
        <f>SUM(F17:F20)</f>
        <v>0</v>
      </c>
      <c r="G21" s="552"/>
    </row>
    <row r="22" spans="1:11" ht="15.75" customHeight="1" thickTop="1" x14ac:dyDescent="0.2">
      <c r="A22" s="2214" t="s">
        <v>1112</v>
      </c>
      <c r="B22" s="2188"/>
      <c r="C22" s="2196"/>
      <c r="D22" s="2197"/>
      <c r="E22" s="2197"/>
      <c r="F22" s="2198"/>
    </row>
    <row r="23" spans="1:11" ht="13.5" thickBot="1" x14ac:dyDescent="0.25">
      <c r="A23" s="2202" t="s">
        <v>633</v>
      </c>
      <c r="B23" s="2203"/>
      <c r="C23" s="581"/>
      <c r="D23" s="581"/>
      <c r="E23" s="581"/>
      <c r="F23" s="1755">
        <f>SUM(C23+D23)-E23</f>
        <v>0</v>
      </c>
      <c r="G23" s="552"/>
    </row>
    <row r="24" spans="1:11" ht="15.75" customHeight="1" thickTop="1" x14ac:dyDescent="0.2">
      <c r="A24" s="2214" t="s">
        <v>1113</v>
      </c>
      <c r="B24" s="2188"/>
      <c r="C24" s="2196"/>
      <c r="D24" s="2197"/>
      <c r="E24" s="2197"/>
      <c r="F24" s="2198"/>
    </row>
    <row r="25" spans="1:11" ht="13.5" thickBot="1" x14ac:dyDescent="0.25">
      <c r="A25" s="2202" t="s">
        <v>634</v>
      </c>
      <c r="B25" s="2203"/>
      <c r="C25" s="581"/>
      <c r="D25" s="581"/>
      <c r="E25" s="581"/>
      <c r="F25" s="1755">
        <f>SUM(C25+D25)-E25</f>
        <v>0</v>
      </c>
      <c r="G25" s="552"/>
    </row>
    <row r="26" spans="1:11" ht="15.75" customHeight="1" thickTop="1" x14ac:dyDescent="0.2">
      <c r="A26" s="2187" t="s">
        <v>657</v>
      </c>
      <c r="B26" s="2188"/>
      <c r="C26" s="727"/>
      <c r="D26" s="727"/>
      <c r="E26" s="727"/>
      <c r="F26" s="728"/>
    </row>
    <row r="27" spans="1:11" ht="13.5" thickBot="1" x14ac:dyDescent="0.25">
      <c r="A27" s="2189" t="s">
        <v>1070</v>
      </c>
      <c r="B27" s="2190"/>
      <c r="C27" s="585"/>
      <c r="D27" s="585"/>
      <c r="E27" s="585"/>
      <c r="F27" s="1755">
        <f>SUM(C27+D27)-E27</f>
        <v>0</v>
      </c>
      <c r="G27" s="552"/>
    </row>
    <row r="28" spans="1:11" ht="7.5" customHeight="1" thickTop="1" x14ac:dyDescent="0.2">
      <c r="A28" s="593"/>
    </row>
    <row r="29" spans="1:11" ht="23.25" customHeight="1" x14ac:dyDescent="0.2">
      <c r="A29" s="2215" t="s">
        <v>582</v>
      </c>
      <c r="B29" s="2192"/>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6" t="s">
        <v>584</v>
      </c>
      <c r="C52" s="2207"/>
      <c r="D52" s="2207"/>
      <c r="E52" s="749" t="s">
        <v>845</v>
      </c>
      <c r="F52" s="2208"/>
      <c r="G52" s="2209"/>
      <c r="H52" s="736"/>
      <c r="I52" s="736"/>
      <c r="J52" s="746"/>
    </row>
    <row r="53" spans="1:11" ht="11.25" customHeight="1" x14ac:dyDescent="0.2">
      <c r="A53" s="750" t="s">
        <v>913</v>
      </c>
      <c r="B53" s="751" t="s">
        <v>951</v>
      </c>
      <c r="C53" s="746"/>
      <c r="D53" s="737"/>
      <c r="E53" s="749" t="s">
        <v>497</v>
      </c>
      <c r="F53" s="2210"/>
      <c r="G53" s="2211"/>
      <c r="H53" s="736"/>
      <c r="I53" s="736"/>
      <c r="J53" s="746"/>
    </row>
    <row r="54" spans="1:11" ht="11.25" customHeight="1" x14ac:dyDescent="0.2">
      <c r="A54" s="752" t="s">
        <v>914</v>
      </c>
      <c r="B54" s="747" t="s">
        <v>952</v>
      </c>
      <c r="C54" s="746"/>
      <c r="D54" s="737"/>
      <c r="E54" s="749" t="s">
        <v>498</v>
      </c>
      <c r="F54" s="2210"/>
      <c r="G54" s="2211"/>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0" t="s">
        <v>856</v>
      </c>
      <c r="B1" s="2241"/>
      <c r="C1" s="2241"/>
      <c r="D1" s="2241"/>
      <c r="E1" s="2241"/>
      <c r="F1" s="2241"/>
      <c r="G1" s="2242"/>
      <c r="H1" s="1530"/>
      <c r="I1" s="760"/>
      <c r="J1" s="433"/>
    </row>
    <row r="2" spans="1:11" ht="26.25" x14ac:dyDescent="0.2">
      <c r="A2" s="2219" t="s">
        <v>1677</v>
      </c>
      <c r="B2" s="2220"/>
      <c r="C2" s="2220"/>
      <c r="D2" s="2220"/>
      <c r="E2" s="2221"/>
      <c r="F2" s="761" t="s">
        <v>904</v>
      </c>
      <c r="G2" s="762" t="s">
        <v>1674</v>
      </c>
      <c r="H2" s="762" t="s">
        <v>410</v>
      </c>
      <c r="I2" s="762" t="s">
        <v>1158</v>
      </c>
      <c r="J2" s="762" t="s">
        <v>1812</v>
      </c>
      <c r="K2" s="762" t="s">
        <v>138</v>
      </c>
    </row>
    <row r="3" spans="1:11" x14ac:dyDescent="0.2">
      <c r="A3" s="2222" t="s">
        <v>1962</v>
      </c>
      <c r="B3" s="2223"/>
      <c r="C3" s="2223"/>
      <c r="D3" s="2223"/>
      <c r="E3" s="2224"/>
      <c r="F3" s="763"/>
      <c r="G3" s="764"/>
      <c r="H3" s="764"/>
      <c r="I3" s="764"/>
      <c r="J3" s="765"/>
      <c r="K3" s="765"/>
    </row>
    <row r="4" spans="1:11" x14ac:dyDescent="0.2">
      <c r="A4" s="2225" t="s">
        <v>369</v>
      </c>
      <c r="B4" s="2226"/>
      <c r="C4" s="2226"/>
      <c r="D4" s="2226"/>
      <c r="E4" s="2207"/>
      <c r="F4" s="766"/>
      <c r="G4" s="767"/>
      <c r="H4" s="768"/>
      <c r="I4" s="767"/>
      <c r="J4" s="769"/>
      <c r="K4" s="769"/>
    </row>
    <row r="5" spans="1:11" x14ac:dyDescent="0.2">
      <c r="A5" s="2243" t="s">
        <v>1069</v>
      </c>
      <c r="B5" s="2216"/>
      <c r="C5" s="2216"/>
      <c r="D5" s="2216"/>
      <c r="E5" s="2244"/>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3" t="s">
        <v>1813</v>
      </c>
      <c r="B10" s="2216"/>
      <c r="C10" s="2216"/>
      <c r="D10" s="2216"/>
      <c r="E10" s="2245"/>
      <c r="F10" s="783" t="s">
        <v>862</v>
      </c>
      <c r="G10" s="782"/>
      <c r="H10" s="784"/>
      <c r="I10" s="764"/>
      <c r="J10" s="765"/>
      <c r="K10" s="765"/>
    </row>
    <row r="11" spans="1:11" x14ac:dyDescent="0.2">
      <c r="A11" s="2243" t="s">
        <v>160</v>
      </c>
      <c r="B11" s="2216"/>
      <c r="C11" s="2216"/>
      <c r="D11" s="2216"/>
      <c r="E11" s="2244"/>
      <c r="F11" s="770" t="s">
        <v>852</v>
      </c>
      <c r="G11" s="771"/>
      <c r="H11" s="764"/>
      <c r="I11" s="764"/>
      <c r="J11" s="765"/>
      <c r="K11" s="773"/>
    </row>
    <row r="12" spans="1:11" ht="13.5" thickBot="1" x14ac:dyDescent="0.25">
      <c r="A12" s="2233" t="s">
        <v>905</v>
      </c>
      <c r="B12" s="2234"/>
      <c r="C12" s="2234"/>
      <c r="D12" s="2234"/>
      <c r="E12" s="2235"/>
      <c r="F12" s="1757"/>
      <c r="G12" s="1758">
        <f>SUM(G5:G11)</f>
        <v>0</v>
      </c>
      <c r="H12" s="1758">
        <f>SUM(H5:H11)</f>
        <v>0</v>
      </c>
      <c r="I12" s="1758">
        <f>SUM(I5:I11)</f>
        <v>0</v>
      </c>
      <c r="J12" s="1758">
        <f>SUM(J5:J11)</f>
        <v>0</v>
      </c>
      <c r="K12" s="1758">
        <f>SUM(K5:K11)</f>
        <v>0</v>
      </c>
    </row>
    <row r="13" spans="1:11" ht="13.5" thickTop="1" x14ac:dyDescent="0.2">
      <c r="A13" s="2227" t="s">
        <v>370</v>
      </c>
      <c r="B13" s="2228"/>
      <c r="C13" s="2228"/>
      <c r="D13" s="2228"/>
      <c r="E13" s="2229"/>
      <c r="F13" s="785"/>
      <c r="G13" s="786"/>
      <c r="H13" s="787"/>
      <c r="I13" s="788"/>
      <c r="J13" s="788"/>
      <c r="K13" s="788"/>
    </row>
    <row r="14" spans="1:11" x14ac:dyDescent="0.2">
      <c r="A14" s="2249" t="s">
        <v>456</v>
      </c>
      <c r="B14" s="2249"/>
      <c r="C14" s="2249"/>
      <c r="D14" s="2249"/>
      <c r="E14" s="2250"/>
      <c r="F14" s="789" t="s">
        <v>854</v>
      </c>
      <c r="G14" s="782"/>
      <c r="H14" s="764"/>
      <c r="I14" s="771"/>
      <c r="J14" s="773"/>
      <c r="K14" s="765"/>
    </row>
    <row r="15" spans="1:11" x14ac:dyDescent="0.2">
      <c r="A15" s="2216" t="s">
        <v>4</v>
      </c>
      <c r="B15" s="2216"/>
      <c r="C15" s="2216"/>
      <c r="D15" s="2216"/>
      <c r="E15" s="2244"/>
      <c r="F15" s="789" t="s">
        <v>855</v>
      </c>
      <c r="G15" s="771"/>
      <c r="H15" s="764"/>
      <c r="I15" s="764"/>
      <c r="J15" s="765"/>
      <c r="K15" s="765"/>
    </row>
    <row r="16" spans="1:11" x14ac:dyDescent="0.2">
      <c r="A16" s="2216" t="s">
        <v>298</v>
      </c>
      <c r="B16" s="2216"/>
      <c r="C16" s="2216"/>
      <c r="D16" s="2216"/>
      <c r="E16" s="2244"/>
      <c r="F16" s="789" t="s">
        <v>923</v>
      </c>
      <c r="G16" s="772"/>
      <c r="H16" s="767"/>
      <c r="I16" s="767"/>
      <c r="J16" s="769"/>
      <c r="K16" s="769"/>
    </row>
    <row r="17" spans="1:11" x14ac:dyDescent="0.2">
      <c r="A17" s="2238" t="s">
        <v>935</v>
      </c>
      <c r="B17" s="2238"/>
      <c r="C17" s="2238"/>
      <c r="D17" s="2238"/>
      <c r="E17" s="2239"/>
      <c r="F17" s="790"/>
      <c r="G17" s="791"/>
      <c r="H17" s="792"/>
      <c r="I17" s="792"/>
      <c r="J17" s="793"/>
      <c r="K17" s="794"/>
    </row>
    <row r="18" spans="1:11" x14ac:dyDescent="0.2">
      <c r="A18" s="2230" t="s">
        <v>368</v>
      </c>
      <c r="B18" s="2231"/>
      <c r="C18" s="2231"/>
      <c r="D18" s="2231"/>
      <c r="E18" s="2232"/>
      <c r="F18" s="789" t="s">
        <v>932</v>
      </c>
      <c r="G18" s="782"/>
      <c r="H18" s="782"/>
      <c r="I18" s="782"/>
      <c r="J18" s="765"/>
      <c r="K18" s="795"/>
    </row>
    <row r="19" spans="1:11" ht="21.75" customHeight="1" x14ac:dyDescent="0.2">
      <c r="A19" s="2251" t="s">
        <v>1809</v>
      </c>
      <c r="B19" s="2251"/>
      <c r="C19" s="2251"/>
      <c r="D19" s="2251"/>
      <c r="E19" s="2252"/>
      <c r="F19" s="789" t="s">
        <v>933</v>
      </c>
      <c r="G19" s="782"/>
      <c r="H19" s="782"/>
      <c r="I19" s="782"/>
      <c r="J19" s="765"/>
      <c r="K19" s="795"/>
    </row>
    <row r="20" spans="1:11" x14ac:dyDescent="0.2">
      <c r="A20" s="2230" t="s">
        <v>1814</v>
      </c>
      <c r="B20" s="2231"/>
      <c r="C20" s="2231"/>
      <c r="D20" s="2231"/>
      <c r="E20" s="2232"/>
      <c r="F20" s="789" t="s">
        <v>934</v>
      </c>
      <c r="G20" s="782"/>
      <c r="H20" s="782"/>
      <c r="I20" s="782"/>
      <c r="J20" s="765"/>
      <c r="K20" s="795"/>
    </row>
    <row r="21" spans="1:11" ht="13.5" thickBot="1" x14ac:dyDescent="0.25">
      <c r="A21" s="2236" t="s">
        <v>638</v>
      </c>
      <c r="B21" s="2236"/>
      <c r="C21" s="2236"/>
      <c r="D21" s="2236"/>
      <c r="E21" s="2236"/>
      <c r="F21" s="1759"/>
      <c r="G21" s="792"/>
      <c r="H21" s="796"/>
      <c r="I21" s="796"/>
      <c r="J21" s="1760">
        <f>SUM(J18:J20)</f>
        <v>0</v>
      </c>
      <c r="K21" s="793"/>
    </row>
    <row r="22" spans="1:11" ht="13.5" thickTop="1" x14ac:dyDescent="0.2">
      <c r="A22" s="2216" t="s">
        <v>1815</v>
      </c>
      <c r="B22" s="2216"/>
      <c r="C22" s="2216"/>
      <c r="D22" s="2216"/>
      <c r="E22" s="2244"/>
      <c r="F22" s="789" t="s">
        <v>862</v>
      </c>
      <c r="G22" s="782"/>
      <c r="H22" s="764"/>
      <c r="I22" s="764"/>
      <c r="J22" s="797"/>
      <c r="K22" s="765"/>
    </row>
    <row r="23" spans="1:11" ht="13.5" thickBot="1" x14ac:dyDescent="0.25">
      <c r="A23" s="2237" t="s">
        <v>906</v>
      </c>
      <c r="B23" s="2236"/>
      <c r="C23" s="2236"/>
      <c r="D23" s="2236"/>
      <c r="E23" s="2236"/>
      <c r="F23" s="1761"/>
      <c r="G23" s="1758">
        <f>SUM(G14:G16,G21,G22)</f>
        <v>0</v>
      </c>
      <c r="H23" s="1758">
        <f>SUM(H14:H16,H21,H22)</f>
        <v>0</v>
      </c>
      <c r="I23" s="1758">
        <f>SUM(I14:I16,I21,I22)</f>
        <v>0</v>
      </c>
      <c r="J23" s="1758">
        <f>SUM(J14:J16,J21,J22)</f>
        <v>0</v>
      </c>
      <c r="K23" s="1758">
        <f>SUM(K14:K16,K21,K22)</f>
        <v>0</v>
      </c>
    </row>
    <row r="24" spans="1:11" ht="14.25" thickTop="1" thickBot="1" x14ac:dyDescent="0.25">
      <c r="A24" s="2237" t="s">
        <v>1963</v>
      </c>
      <c r="B24" s="2236"/>
      <c r="C24" s="2236"/>
      <c r="D24" s="2236"/>
      <c r="E24" s="223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6"/>
      <c r="I31" s="2247"/>
      <c r="J31" s="2247"/>
      <c r="K31" s="2247"/>
    </row>
    <row r="32" spans="1:11" x14ac:dyDescent="0.2">
      <c r="A32" s="809"/>
      <c r="B32" s="237"/>
      <c r="C32" s="237"/>
      <c r="D32" s="237"/>
      <c r="E32" s="805"/>
      <c r="F32" s="811" t="s">
        <v>540</v>
      </c>
      <c r="G32" s="764"/>
      <c r="H32" s="2248"/>
      <c r="I32" s="2247"/>
      <c r="J32" s="2247"/>
      <c r="K32" s="2247"/>
    </row>
    <row r="33" spans="1:11" ht="1.5" customHeight="1" x14ac:dyDescent="0.2">
      <c r="A33" s="812" t="s">
        <v>1169</v>
      </c>
      <c r="B33" s="364"/>
      <c r="C33" s="364"/>
      <c r="D33" s="364"/>
      <c r="E33" s="364"/>
      <c r="F33" s="364"/>
      <c r="G33" s="813"/>
      <c r="H33" s="2248"/>
      <c r="I33" s="2247"/>
      <c r="J33" s="2247"/>
      <c r="K33" s="2247"/>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6" t="s">
        <v>541</v>
      </c>
      <c r="B41" s="2217"/>
      <c r="C41" s="2217"/>
      <c r="D41" s="2217"/>
      <c r="E41" s="2217"/>
      <c r="F41" s="2218"/>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c r="D5" s="841"/>
      <c r="E5" s="841"/>
      <c r="F5" s="1760">
        <f>(C5+D5)-E5</f>
        <v>0</v>
      </c>
      <c r="G5" s="837"/>
      <c r="H5" s="842"/>
      <c r="I5" s="842"/>
      <c r="J5" s="842"/>
      <c r="K5" s="793"/>
      <c r="L5" s="1769">
        <f>F5-K5</f>
        <v>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c r="D8" s="844"/>
      <c r="E8" s="844"/>
      <c r="F8" s="1760">
        <f>(C8+D8)-E8</f>
        <v>0</v>
      </c>
      <c r="G8" s="843">
        <v>50</v>
      </c>
      <c r="H8" s="765"/>
      <c r="I8" s="765"/>
      <c r="J8" s="765"/>
      <c r="K8" s="1769">
        <f>(H8+I8)-J8</f>
        <v>0</v>
      </c>
      <c r="L8" s="1769">
        <f>F8-K8</f>
        <v>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1435280</v>
      </c>
      <c r="D12" s="844">
        <v>54389</v>
      </c>
      <c r="E12" s="844"/>
      <c r="F12" s="1760">
        <f>(C12+D12)-E12</f>
        <v>1489669</v>
      </c>
      <c r="G12" s="843">
        <v>10</v>
      </c>
      <c r="H12" s="765">
        <v>1290007</v>
      </c>
      <c r="I12" s="765">
        <v>55079</v>
      </c>
      <c r="J12" s="765"/>
      <c r="K12" s="1769">
        <f>(H12+I12)-J12</f>
        <v>1345086</v>
      </c>
      <c r="L12" s="1769">
        <f>F12-K12</f>
        <v>144583</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1435280</v>
      </c>
      <c r="D16" s="1760">
        <f>SUM(D3,D5:D6,D8:D10,D12:D15)</f>
        <v>54389</v>
      </c>
      <c r="E16" s="1760">
        <f>SUM(E3,E5:E6,E8:E10,E12:E15)</f>
        <v>0</v>
      </c>
      <c r="F16" s="1760">
        <f>SUM(F3,F5:F6,F8:F10,F12:F15)</f>
        <v>1489669</v>
      </c>
      <c r="G16" s="843"/>
      <c r="H16" s="1760">
        <f>SUM(H3,H6,H8:H10,H12:H14,)</f>
        <v>1290007</v>
      </c>
      <c r="I16" s="1760">
        <f>SUM(I3,I6,I8:I10,I12:I14,)</f>
        <v>55079</v>
      </c>
      <c r="J16" s="1760">
        <f>SUM(J3,J6,J8:J10,J12:J14,)</f>
        <v>0</v>
      </c>
      <c r="K16" s="1760">
        <f>(H16+I16)-J16</f>
        <v>1345086</v>
      </c>
      <c r="L16" s="1760">
        <f>F16-K16</f>
        <v>144583</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57737</v>
      </c>
      <c r="G17" s="837">
        <v>10</v>
      </c>
      <c r="H17" s="769"/>
      <c r="I17" s="1769">
        <f>F17/G17</f>
        <v>5773.7</v>
      </c>
      <c r="J17" s="769"/>
      <c r="K17" s="795"/>
      <c r="L17" s="795"/>
    </row>
    <row r="18" spans="1:12" ht="14.25" thickTop="1" thickBot="1" x14ac:dyDescent="0.25">
      <c r="A18" s="1767" t="s">
        <v>685</v>
      </c>
      <c r="B18" s="1768"/>
      <c r="C18" s="771"/>
      <c r="D18" s="771"/>
      <c r="E18" s="771"/>
      <c r="F18" s="850"/>
      <c r="G18" s="851"/>
      <c r="H18" s="773"/>
      <c r="I18" s="1760">
        <f>SUM(I16,I17)</f>
        <v>60852.7</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2"/>
  <sheetViews>
    <sheetView showGridLines="0" defaultGridColor="0" colorId="8" zoomScale="110" zoomScaleNormal="110" workbookViewId="0">
      <pane ySplit="5" topLeftCell="A6" activePane="bottomLeft" state="frozen"/>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1150957</v>
      </c>
      <c r="G8" s="865"/>
    </row>
    <row r="9" spans="1:7" x14ac:dyDescent="0.2">
      <c r="A9" s="869" t="s">
        <v>460</v>
      </c>
      <c r="B9" s="870" t="s">
        <v>1876</v>
      </c>
      <c r="C9" s="871"/>
      <c r="D9" s="869" t="s">
        <v>501</v>
      </c>
      <c r="E9" s="868"/>
      <c r="F9" s="1909">
        <f>'Expenditures 15-22'!K151</f>
        <v>0</v>
      </c>
      <c r="G9" s="872"/>
    </row>
    <row r="10" spans="1:7" x14ac:dyDescent="0.2">
      <c r="A10" s="869" t="s">
        <v>499</v>
      </c>
      <c r="B10" s="870" t="s">
        <v>1877</v>
      </c>
      <c r="C10" s="871"/>
      <c r="D10" s="869" t="s">
        <v>501</v>
      </c>
      <c r="E10" s="868"/>
      <c r="F10" s="1909">
        <f>'Expenditures 15-22'!K174</f>
        <v>0</v>
      </c>
      <c r="G10" s="872"/>
    </row>
    <row r="11" spans="1:7" x14ac:dyDescent="0.2">
      <c r="A11" s="869" t="s">
        <v>461</v>
      </c>
      <c r="B11" s="870" t="s">
        <v>1878</v>
      </c>
      <c r="C11" s="871"/>
      <c r="D11" s="869" t="s">
        <v>501</v>
      </c>
      <c r="E11" s="868"/>
      <c r="F11" s="1909">
        <f>'Expenditures 15-22'!K210</f>
        <v>0</v>
      </c>
      <c r="G11" s="872"/>
    </row>
    <row r="12" spans="1:7" x14ac:dyDescent="0.2">
      <c r="A12" s="869" t="s">
        <v>462</v>
      </c>
      <c r="B12" s="870" t="s">
        <v>1879</v>
      </c>
      <c r="C12" s="871"/>
      <c r="D12" s="869" t="s">
        <v>501</v>
      </c>
      <c r="E12" s="868"/>
      <c r="F12" s="1909">
        <f>'Expenditures 15-22'!K295</f>
        <v>0</v>
      </c>
      <c r="G12" s="872"/>
    </row>
    <row r="13" spans="1:7" x14ac:dyDescent="0.2">
      <c r="A13" s="869" t="s">
        <v>106</v>
      </c>
      <c r="B13" s="870" t="s">
        <v>1880</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1150957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604374</v>
      </c>
      <c r="G53" s="865"/>
    </row>
    <row r="54" spans="1:7" x14ac:dyDescent="0.2">
      <c r="A54" s="869" t="s">
        <v>459</v>
      </c>
      <c r="B54" s="869" t="s">
        <v>1476</v>
      </c>
      <c r="C54" s="889" t="s">
        <v>982</v>
      </c>
      <c r="D54" s="885" t="s">
        <v>1095</v>
      </c>
      <c r="E54" s="868"/>
      <c r="F54" s="1913">
        <f>'Expenditures 15-22'!G114</f>
        <v>54389</v>
      </c>
      <c r="G54" s="865"/>
    </row>
    <row r="55" spans="1:7" x14ac:dyDescent="0.2">
      <c r="A55" s="869" t="s">
        <v>459</v>
      </c>
      <c r="B55" s="869" t="s">
        <v>1477</v>
      </c>
      <c r="C55" s="889" t="s">
        <v>982</v>
      </c>
      <c r="D55" s="885" t="s">
        <v>291</v>
      </c>
      <c r="E55" s="868"/>
      <c r="F55" s="1913">
        <f>'Expenditures 15-22'!I114</f>
        <v>57737</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716500</v>
      </c>
      <c r="G76" s="865"/>
    </row>
    <row r="77" spans="1:8" s="893" customFormat="1" ht="12" customHeight="1" thickTop="1" thickBot="1" x14ac:dyDescent="0.25">
      <c r="A77" s="1779"/>
      <c r="B77" s="1776"/>
      <c r="C77" s="1772"/>
      <c r="D77" s="1777" t="s">
        <v>1899</v>
      </c>
      <c r="E77" s="1774"/>
      <c r="F77" s="1780">
        <f>(F14-F76)</f>
        <v>434457</v>
      </c>
      <c r="G77" s="869"/>
    </row>
    <row r="78" spans="1:8" s="893" customFormat="1" ht="12" customHeight="1" thickTop="1" x14ac:dyDescent="0.2">
      <c r="A78" s="1781"/>
      <c r="B78" s="1776"/>
      <c r="C78" s="1772"/>
      <c r="D78" s="1777" t="s">
        <v>2060</v>
      </c>
      <c r="E78" s="1774"/>
      <c r="F78" s="898">
        <v>0</v>
      </c>
      <c r="G78" s="899"/>
      <c r="H78" s="869"/>
    </row>
    <row r="79" spans="1:8" s="893" customFormat="1" ht="12" customHeight="1" thickBot="1" x14ac:dyDescent="0.25">
      <c r="A79" s="1782"/>
      <c r="B79" s="1776"/>
      <c r="C79" s="1772"/>
      <c r="D79" s="1777" t="s">
        <v>1900</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46702</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0</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555336</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0</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0</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342961</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944999</v>
      </c>
    </row>
    <row r="175" spans="1:7" ht="12" customHeight="1" x14ac:dyDescent="0.2">
      <c r="A175" s="1770"/>
      <c r="B175" s="1784"/>
      <c r="C175" s="1785"/>
      <c r="D175" s="1786" t="s">
        <v>2055</v>
      </c>
      <c r="E175" s="1787"/>
      <c r="F175" s="1789">
        <f>'PCTC-OEPP 27-28'!F77-F174</f>
        <v>-510542</v>
      </c>
    </row>
    <row r="176" spans="1:7" ht="12" customHeight="1" x14ac:dyDescent="0.2">
      <c r="A176" s="1770"/>
      <c r="B176" s="1784"/>
      <c r="C176" s="1785"/>
      <c r="D176" s="1786" t="s">
        <v>1817</v>
      </c>
      <c r="E176" s="1787"/>
      <c r="F176" s="1789">
        <f>'Cap Outlay Deprec 26'!I18</f>
        <v>60852.7</v>
      </c>
    </row>
    <row r="177" spans="1:7" ht="12" customHeight="1" x14ac:dyDescent="0.2">
      <c r="A177" s="1770"/>
      <c r="B177" s="1784"/>
      <c r="C177" s="1785"/>
      <c r="D177" s="1786" t="s">
        <v>2056</v>
      </c>
      <c r="E177" s="1787"/>
      <c r="F177" s="1789">
        <f>F175+F176</f>
        <v>-449689.3</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2057</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2082</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104993</v>
      </c>
      <c r="F19" s="1799"/>
      <c r="G19" s="1801">
        <f>'Expenditures 15-22'!K33-SUM('Expenditures 15-22'!G33,'Expenditures 15-22'!I33)+'Expenditures 15-22'!D229</f>
        <v>104993</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31173</v>
      </c>
      <c r="F21" s="1802"/>
      <c r="G21" s="1805">
        <f>'Expenditures 15-22'!K42-SUM('Expenditures 15-22'!G42,'Expenditures 15-22'!I42)+'Expenditures 15-22'!K120-SUM('Expenditures 15-22'!G120,'Expenditures 15-22'!I120)+'Expenditures 15-22'!K180-SUM('Expenditures 15-22'!G180,'Expenditures 15-22'!I180)+'Expenditures 15-22'!D238</f>
        <v>31173</v>
      </c>
      <c r="H21" s="987"/>
      <c r="I21" s="162"/>
    </row>
    <row r="22" spans="1:9" s="668" customFormat="1" ht="12" customHeight="1" x14ac:dyDescent="0.2">
      <c r="A22" s="994" t="s">
        <v>564</v>
      </c>
      <c r="B22" s="995"/>
      <c r="C22" s="993">
        <v>2200</v>
      </c>
      <c r="D22" s="1802"/>
      <c r="E22" s="1804">
        <f>'Expenditures 15-22'!K47-SUM('Expenditures 15-22'!G47,'Expenditures 15-22'!I47)+'Expenditures 15-22'!D243</f>
        <v>200470</v>
      </c>
      <c r="F22" s="1802"/>
      <c r="G22" s="1805">
        <f>'Expenditures 15-22'!K47-SUM('Expenditures 15-22'!G47,'Expenditures 15-22'!I47)+'Expenditures 15-22'!D243</f>
        <v>200470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89381</v>
      </c>
      <c r="F23" s="1802"/>
      <c r="G23" s="1804">
        <f>'Expenditures 15-22'!K53-SUM('Expenditures 15-22'!G53,'Expenditures 15-22'!I53)+'Expenditures 15-22'!D257+'Expenditures 15-22'!K330-SUM('Expenditures 15-22'!G330,'Expenditures 15-22'!I330)</f>
        <v>89381</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7756</v>
      </c>
      <c r="E27" s="1804">
        <f>E8</f>
        <v>0</v>
      </c>
      <c r="F27" s="1804">
        <f>'Expenditures 15-22'!K60-SUM('Expenditures 15-22'!G60,'Expenditures 15-22'!I60)+'Expenditures 15-22'!D264-E8</f>
        <v>7756</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684</v>
      </c>
      <c r="F28" s="1806">
        <f>'Expenditures 15-22'!K61-SUM('Expenditures 15-22'!G61,'Expenditures 15-22'!I61)+'Expenditures 15-22'!K124-SUM('Expenditures 15-22'!G124,'Expenditures 15-22'!I124)+'Expenditures 15-22'!D266-E9</f>
        <v>684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0</v>
      </c>
      <c r="F30" s="1802"/>
      <c r="G30" s="1804">
        <f>'Expenditures 15-22'!K63-SUM('Expenditures 15-22'!G63,'Expenditures 15-22'!I63)+'Expenditures 15-22'!D268-E10</f>
        <v>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7756</v>
      </c>
      <c r="E41" s="1806">
        <f>SUM(E19:E40)</f>
        <v>426701</v>
      </c>
      <c r="F41" s="1806">
        <f>SUM(F19:F39)</f>
        <v>8440</v>
      </c>
      <c r="G41" s="1806">
        <f>SUM(G19:G40)</f>
        <v>426017</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7756</v>
      </c>
      <c r="F43" s="1807" t="s">
        <v>473</v>
      </c>
      <c r="G43" s="1808">
        <f>F41</f>
        <v>8440</v>
      </c>
    </row>
    <row r="44" spans="1:7" ht="12" customHeight="1" x14ac:dyDescent="0.2">
      <c r="A44" s="987"/>
      <c r="B44" s="162"/>
      <c r="C44" s="1001"/>
      <c r="D44" s="1807" t="s">
        <v>474</v>
      </c>
      <c r="E44" s="1808">
        <f>E41</f>
        <v>426701</v>
      </c>
      <c r="F44" s="1807" t="s">
        <v>474</v>
      </c>
      <c r="G44" s="1808">
        <f>G41</f>
        <v>426017</v>
      </c>
    </row>
    <row r="45" spans="1:7" ht="12" customHeight="1" x14ac:dyDescent="0.2">
      <c r="A45" s="987"/>
      <c r="B45" s="162"/>
      <c r="C45" s="162"/>
      <c r="D45" s="1809" t="s">
        <v>1006</v>
      </c>
      <c r="E45" s="1810">
        <f>(E43/E44)</f>
        <v>1.8176662346701788E-2</v>
      </c>
      <c r="F45" s="1809" t="s">
        <v>1006</v>
      </c>
      <c r="G45" s="1810">
        <f>(G43/G44)</f>
        <v>1.981141597635775E-2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5" t="s">
        <v>1379</v>
      </c>
      <c r="B1" s="2295"/>
      <c r="C1" s="2295"/>
      <c r="D1" s="2295"/>
      <c r="E1" s="2295"/>
      <c r="F1" s="2295"/>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296" t="s">
        <v>1546</v>
      </c>
      <c r="B5" s="2297"/>
      <c r="C5" s="2298"/>
      <c r="D5" s="2298"/>
      <c r="E5" s="2298"/>
      <c r="F5" s="2298"/>
    </row>
    <row r="6" spans="1:10" ht="12" customHeight="1" x14ac:dyDescent="0.25">
      <c r="A6" s="1850"/>
      <c r="B6" s="1851"/>
      <c r="C6" s="2299" t="str">
        <f>COVER!A17</f>
        <v>Educ for Employment Sys 330</v>
      </c>
      <c r="D6" s="2299"/>
      <c r="E6" s="2299"/>
      <c r="F6" s="1852"/>
    </row>
    <row r="7" spans="1:10" ht="11.25" customHeight="1" thickBot="1" x14ac:dyDescent="0.3">
      <c r="A7" s="1850"/>
      <c r="B7" s="1851"/>
      <c r="C7" s="2300">
        <f>COVER!A13</f>
        <v>9010008046</v>
      </c>
      <c r="D7" s="2300"/>
      <c r="E7" s="2300"/>
      <c r="F7" s="1852"/>
    </row>
    <row r="8" spans="1:10" ht="25.5" customHeight="1" thickBot="1" x14ac:dyDescent="0.25">
      <c r="A8" s="1893" t="s">
        <v>1907</v>
      </c>
      <c r="B8" s="1853" t="s">
        <v>2073</v>
      </c>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c r="D26" s="1865"/>
      <c r="E26" s="1868"/>
      <c r="F26" s="1867"/>
      <c r="H26" s="1878">
        <f t="shared" si="0"/>
        <v>0</v>
      </c>
      <c r="I26" s="1878">
        <f t="shared" si="1"/>
        <v>0</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0</v>
      </c>
      <c r="I34" s="1878">
        <f>SUM(I11:I32)</f>
        <v>0</v>
      </c>
      <c r="J34" s="1878">
        <f>SUM(J11:J32)</f>
        <v>0</v>
      </c>
      <c r="K34" s="1878">
        <f>SUM(H34:J34)</f>
        <v>0</v>
      </c>
    </row>
    <row r="35" spans="1:11" ht="12" customHeight="1" x14ac:dyDescent="0.2">
      <c r="A35" s="1871" t="s">
        <v>1392</v>
      </c>
      <c r="B35" s="1872"/>
      <c r="C35" s="2301"/>
      <c r="D35" s="2301"/>
      <c r="E35" s="2301"/>
      <c r="F35" s="2302"/>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306"/>
      <c r="B38" s="2307"/>
      <c r="C38" s="2307"/>
      <c r="D38" s="2307"/>
      <c r="E38" s="2307"/>
      <c r="F38" s="2308"/>
    </row>
    <row r="39" spans="1:11" ht="4.5" hidden="1" customHeight="1" x14ac:dyDescent="0.2">
      <c r="A39" s="1873"/>
      <c r="B39" s="1873"/>
      <c r="C39" s="1873"/>
      <c r="D39" s="1873"/>
      <c r="E39" s="1873"/>
      <c r="F39" s="1873"/>
    </row>
    <row r="40" spans="1:11" s="1870" customFormat="1" ht="12" customHeight="1" x14ac:dyDescent="0.25">
      <c r="A40" s="1874" t="s">
        <v>1391</v>
      </c>
      <c r="B40" s="1875"/>
      <c r="C40" s="2309"/>
      <c r="D40" s="2309"/>
      <c r="E40" s="2309"/>
      <c r="F40" s="2310"/>
      <c r="H40" s="1879"/>
      <c r="I40" s="1879"/>
      <c r="J40" s="1879"/>
      <c r="K40" s="1879"/>
    </row>
    <row r="41" spans="1:11" s="1870" customFormat="1" ht="12" customHeight="1" x14ac:dyDescent="0.25">
      <c r="A41" s="2311"/>
      <c r="B41" s="2312"/>
      <c r="C41" s="2312"/>
      <c r="D41" s="2312"/>
      <c r="E41" s="2312"/>
      <c r="F41" s="2313"/>
      <c r="H41" s="1879"/>
      <c r="I41" s="1879"/>
      <c r="J41" s="1879"/>
      <c r="K41" s="1879"/>
    </row>
    <row r="42" spans="1:11" s="1870" customFormat="1" ht="12" customHeight="1" x14ac:dyDescent="0.25">
      <c r="A42" s="2311"/>
      <c r="B42" s="2312"/>
      <c r="C42" s="2312"/>
      <c r="D42" s="2312"/>
      <c r="E42" s="2312"/>
      <c r="F42" s="2313"/>
      <c r="H42" s="1879"/>
      <c r="I42" s="1879"/>
      <c r="J42" s="1879"/>
      <c r="K42" s="1879"/>
    </row>
    <row r="43" spans="1:11" s="1870" customFormat="1" ht="15" x14ac:dyDescent="0.25">
      <c r="A43" s="2303"/>
      <c r="B43" s="2304"/>
      <c r="C43" s="2304"/>
      <c r="D43" s="2304"/>
      <c r="E43" s="2304"/>
      <c r="F43" s="2305"/>
      <c r="H43" s="1879"/>
      <c r="I43" s="1879"/>
      <c r="J43" s="1879"/>
      <c r="K43" s="1879"/>
    </row>
    <row r="44" spans="1:11" s="1870" customFormat="1" ht="12" hidden="1" customHeight="1" x14ac:dyDescent="0.25">
      <c r="A44" s="2303"/>
      <c r="B44" s="2304"/>
      <c r="C44" s="2304"/>
      <c r="D44" s="2304"/>
      <c r="E44" s="2304"/>
      <c r="F44" s="2305"/>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Educ for Employment Sys 330</v>
      </c>
      <c r="J6" s="2320"/>
      <c r="Q6" s="1664"/>
    </row>
    <row r="7" spans="1:17" x14ac:dyDescent="0.2">
      <c r="A7" s="2321" t="s">
        <v>869</v>
      </c>
      <c r="B7" s="2322"/>
      <c r="C7" s="2322"/>
      <c r="D7" s="2322"/>
      <c r="E7" s="2323"/>
      <c r="F7" s="1017"/>
      <c r="G7" s="1009"/>
      <c r="H7" s="1016" t="s">
        <v>372</v>
      </c>
      <c r="I7" s="2324">
        <f>COVER!A13</f>
        <v>9010008046</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0</v>
      </c>
      <c r="F12" s="1039"/>
      <c r="G12" s="1811">
        <f t="shared" ref="G12:G18" si="0">SUM(E12:F12)</f>
        <v>0</v>
      </c>
      <c r="H12" s="1040"/>
      <c r="I12" s="1039"/>
      <c r="J12" s="1811">
        <f t="shared" ref="J12:J18" si="1">SUM(H12:I12)</f>
        <v>0</v>
      </c>
    </row>
    <row r="13" spans="1:17" ht="15" customHeight="1" x14ac:dyDescent="0.2">
      <c r="A13" s="1035">
        <v>2</v>
      </c>
      <c r="B13" s="1036" t="s">
        <v>42</v>
      </c>
      <c r="C13" s="1037"/>
      <c r="D13" s="1038">
        <v>2330</v>
      </c>
      <c r="E13" s="1811">
        <f>'Expenditures 15-22'!K51</f>
        <v>89381</v>
      </c>
      <c r="F13" s="1039"/>
      <c r="G13" s="1811">
        <f t="shared" si="0"/>
        <v>89381</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89381</v>
      </c>
      <c r="F19" s="1813">
        <f t="shared" si="2"/>
        <v>0</v>
      </c>
      <c r="G19" s="1813">
        <f t="shared" si="2"/>
        <v>89381</v>
      </c>
      <c r="H19" s="1813">
        <f t="shared" si="2"/>
        <v>0</v>
      </c>
      <c r="I19" s="1813">
        <f t="shared" si="2"/>
        <v>0</v>
      </c>
      <c r="J19" s="1813">
        <f t="shared" si="2"/>
        <v>0</v>
      </c>
    </row>
    <row r="20" spans="1:10" ht="13.5" thickTop="1" x14ac:dyDescent="0.2">
      <c r="A20" s="1035">
        <v>9</v>
      </c>
      <c r="B20" s="2331" t="s">
        <v>1979</v>
      </c>
      <c r="C20" s="2331"/>
      <c r="D20" s="2332"/>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2083</v>
      </c>
    </row>
    <row r="6" spans="1:2" x14ac:dyDescent="0.2">
      <c r="A6" s="1068"/>
      <c r="B6" s="329" t="s">
        <v>2084</v>
      </c>
    </row>
    <row r="7" spans="1:2" x14ac:dyDescent="0.2">
      <c r="A7" s="1068"/>
      <c r="B7" s="329" t="s">
        <v>2085</v>
      </c>
    </row>
    <row r="8" spans="1:2" x14ac:dyDescent="0.2">
      <c r="A8" s="1068"/>
    </row>
    <row r="9" spans="1:2" x14ac:dyDescent="0.2">
      <c r="A9" s="1069">
        <v>2</v>
      </c>
      <c r="B9" s="329" t="s">
        <v>2086</v>
      </c>
    </row>
    <row r="10" spans="1:2" x14ac:dyDescent="0.2">
      <c r="A10" s="1069"/>
      <c r="B10" s="329" t="s">
        <v>2087</v>
      </c>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Educ for Employment Sys 330</v>
      </c>
    </row>
    <row r="65" spans="2:2" x14ac:dyDescent="0.2">
      <c r="B65" s="1070">
        <f>COVER!A13</f>
        <v>9010008046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1211718</v>
      </c>
      <c r="C8" s="1815">
        <f>'Acct Summary 7-8'!D8</f>
        <v>0</v>
      </c>
      <c r="D8" s="1815">
        <f>'Acct Summary 7-8'!F8</f>
        <v>0</v>
      </c>
      <c r="E8" s="1815">
        <f>'Acct Summary 7-8'!I8</f>
        <v>0</v>
      </c>
      <c r="F8" s="1815">
        <f>SUM(B8:E8)</f>
        <v>1211718</v>
      </c>
    </row>
    <row r="9" spans="1:8" s="1079" customFormat="1" ht="14.25" customHeight="1" thickBot="1" x14ac:dyDescent="0.25">
      <c r="A9" s="1078" t="s">
        <v>1369</v>
      </c>
      <c r="B9" s="1816">
        <f>'Acct Summary 7-8'!C17</f>
        <v>1150957</v>
      </c>
      <c r="C9" s="1816">
        <f>'Acct Summary 7-8'!D17</f>
        <v>0</v>
      </c>
      <c r="D9" s="1816">
        <f>'Acct Summary 7-8'!F17</f>
        <v>0</v>
      </c>
      <c r="E9" s="1815"/>
      <c r="F9" s="1815">
        <f>SUM(B9:E9)</f>
        <v>1150957</v>
      </c>
    </row>
    <row r="10" spans="1:8" s="1079" customFormat="1" ht="14.25" thickTop="1" thickBot="1" x14ac:dyDescent="0.25">
      <c r="A10" s="1080" t="s">
        <v>1370</v>
      </c>
      <c r="B10" s="1817">
        <f>(B8-B9)</f>
        <v>60761</v>
      </c>
      <c r="C10" s="1817">
        <f>(C8-C9)</f>
        <v>0</v>
      </c>
      <c r="D10" s="1817">
        <f>(D8-D9)</f>
        <v>0</v>
      </c>
      <c r="E10" s="1816">
        <f>(E8-E9)</f>
        <v>0</v>
      </c>
      <c r="F10" s="1818">
        <f>SUM(F8-F9)</f>
        <v>60761</v>
      </c>
    </row>
    <row r="11" spans="1:8" s="1079" customFormat="1" ht="14.25" thickTop="1" thickBot="1" x14ac:dyDescent="0.25">
      <c r="A11" s="1081" t="s">
        <v>1983</v>
      </c>
      <c r="B11" s="1819">
        <f>'Acct Summary 7-8'!C81</f>
        <v>240663</v>
      </c>
      <c r="C11" s="1819">
        <f>'Acct Summary 7-8'!D81</f>
        <v>0</v>
      </c>
      <c r="D11" s="1819">
        <f>'Acct Summary 7-8'!F81</f>
        <v>0</v>
      </c>
      <c r="E11" s="1819">
        <f>'Acct Summary 7-8'!I81</f>
        <v>0</v>
      </c>
      <c r="F11" s="1820">
        <f>SUM(B11:E11)</f>
        <v>240663</v>
      </c>
    </row>
    <row r="12" spans="1:8" ht="16.5" customHeight="1" thickTop="1" x14ac:dyDescent="0.2">
      <c r="A12" s="1082"/>
      <c r="B12" s="1083"/>
      <c r="C12" s="2343" t="str">
        <f>IF(AND(F10&lt;0,F11&gt;=0,ABS(F10*3)&gt;ABS(F11)),A16,IF(AND(F10&lt;0,F11&gt;0,ABS(F10*3)&lt;=ABS(F11)),A17,IF(AND(F10&lt;0,F11&lt;0),A16,IF(F11=0,A19,A18))))</f>
        <v>Balanced - no deficit reduction plan is required.</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38"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9010008046</v>
      </c>
    </row>
    <row r="3" spans="1:2" x14ac:dyDescent="0.2">
      <c r="A3" t="s">
        <v>956</v>
      </c>
      <c r="B3" s="138" t="str">
        <f>COVER!A15</f>
        <v>CHAMPAIGN</v>
      </c>
    </row>
    <row r="4" spans="1:2" x14ac:dyDescent="0.2">
      <c r="A4" t="s">
        <v>1007</v>
      </c>
      <c r="B4" s="138" t="str">
        <f>COVER!A17</f>
        <v>Educ for Employment Sys 330</v>
      </c>
    </row>
    <row r="5" spans="1:2" x14ac:dyDescent="0.2">
      <c r="A5" t="s">
        <v>704</v>
      </c>
      <c r="B5" s="138" t="str">
        <f>COVER!A38</f>
        <v>Nick Elder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240663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240663</v>
      </c>
      <c r="D92" s="2" t="str">
        <f t="shared" si="0"/>
        <v>Error?</v>
      </c>
    </row>
    <row r="93" spans="1:4" x14ac:dyDescent="0.2">
      <c r="A93" s="5">
        <v>32</v>
      </c>
      <c r="B93" s="138">
        <f>'Assets-Liab 5-6'!C41</f>
        <v>240663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1489669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1489669</v>
      </c>
      <c r="C279" s="2" t="s">
        <v>573</v>
      </c>
      <c r="D279" s="2" t="str">
        <f t="shared" si="3"/>
        <v>Error?</v>
      </c>
    </row>
    <row r="280" spans="1:4" x14ac:dyDescent="0.2">
      <c r="A280" s="5">
        <v>219</v>
      </c>
      <c r="B280" s="138">
        <f>'Assets-Liab 5-6'!M40</f>
        <v>1489669</v>
      </c>
      <c r="D280" s="2" t="str">
        <f t="shared" si="3"/>
        <v>Error?</v>
      </c>
    </row>
    <row r="281" spans="1:4" x14ac:dyDescent="0.2">
      <c r="A281" s="5">
        <v>220</v>
      </c>
      <c r="B281" s="138">
        <f>'Assets-Liab 5-6'!M41</f>
        <v>1489669</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4950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4950</v>
      </c>
      <c r="C727" s="2" t="s">
        <v>573</v>
      </c>
      <c r="D727" s="2" t="str">
        <f t="shared" si="10"/>
        <v>Error?</v>
      </c>
    </row>
    <row r="728" spans="1:4" x14ac:dyDescent="0.2">
      <c r="A728" s="5">
        <v>667</v>
      </c>
      <c r="B728" s="138">
        <f>'Expenditures 15-22'!C44</f>
        <v>142644</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142644</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58569</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3907</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3907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210070</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210070</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376</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376</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710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710</v>
      </c>
      <c r="C785" s="2" t="s">
        <v>573</v>
      </c>
      <c r="D785" s="2" t="str">
        <f t="shared" si="11"/>
        <v>Error?</v>
      </c>
    </row>
    <row r="786" spans="1:4" x14ac:dyDescent="0.2">
      <c r="A786" s="5">
        <v>725</v>
      </c>
      <c r="B786" s="138">
        <f>'Expenditures 15-22'!D44</f>
        <v>31096</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31096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10864</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299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42969</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43345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20510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20510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23416</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23416</v>
      </c>
      <c r="C843" s="2" t="s">
        <v>573</v>
      </c>
      <c r="D843" s="2" t="str">
        <f t="shared" si="12"/>
        <v>Error?</v>
      </c>
    </row>
    <row r="844" spans="1:4" x14ac:dyDescent="0.2">
      <c r="A844" s="5">
        <v>783</v>
      </c>
      <c r="B844" s="138">
        <f>'Expenditures 15-22'!E44</f>
        <v>19605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4125</v>
      </c>
      <c r="D846" s="2" t="str">
        <f t="shared" si="12"/>
        <v>Error?</v>
      </c>
    </row>
    <row r="847" spans="1:4" x14ac:dyDescent="0.2">
      <c r="A847" s="5">
        <v>786</v>
      </c>
      <c r="B847" s="138">
        <f>'Expenditures 15-22'!E47</f>
        <v>23730</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13979</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2540</v>
      </c>
      <c r="D855" s="2" t="str">
        <f t="shared" si="12"/>
        <v>Error?</v>
      </c>
    </row>
    <row r="856" spans="1:4" x14ac:dyDescent="0.2">
      <c r="A856" s="5">
        <v>795</v>
      </c>
      <c r="B856" s="138">
        <f>'Expenditures 15-22'!E61</f>
        <v>684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3224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64349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120946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84107</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84107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2097</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2097</v>
      </c>
      <c r="C901" s="2" t="s">
        <v>573</v>
      </c>
      <c r="D901" s="2" t="str">
        <f t="shared" si="13"/>
        <v>Error?</v>
      </c>
    </row>
    <row r="902" spans="1:4" x14ac:dyDescent="0.2">
      <c r="A902" s="5">
        <v>841</v>
      </c>
      <c r="B902" s="138">
        <f>'Expenditures 15-22'!F44</f>
        <v>3000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3000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373</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1010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1010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6480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90587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54389</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54389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54389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950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950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568287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569237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216307</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216307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31173</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31173</v>
      </c>
      <c r="C1115" s="2" t="s">
        <v>573</v>
      </c>
      <c r="D1115" s="2" t="str">
        <f t="shared" si="16"/>
        <v>Error?</v>
      </c>
    </row>
    <row r="1116" spans="1:4" x14ac:dyDescent="0.2">
      <c r="A1116" s="5">
        <v>1055</v>
      </c>
      <c r="B1116" s="138">
        <f>'Expenditures 15-22'!K44</f>
        <v>197157</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4125</v>
      </c>
      <c r="C1118" s="2" t="s">
        <v>573</v>
      </c>
      <c r="D1118" s="2" t="str">
        <f t="shared" si="16"/>
        <v>Error?</v>
      </c>
    </row>
    <row r="1119" spans="1:4" x14ac:dyDescent="0.2">
      <c r="A1119" s="5">
        <v>1058</v>
      </c>
      <c r="B1119" s="138">
        <f>'Expenditures 15-22'!K47</f>
        <v>201282</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89381</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7756</v>
      </c>
      <c r="C1127" s="2" t="s">
        <v>573</v>
      </c>
      <c r="D1127" s="2" t="str">
        <f t="shared" si="16"/>
        <v>Error?</v>
      </c>
    </row>
    <row r="1128" spans="1:4" x14ac:dyDescent="0.2">
      <c r="A1128" s="5">
        <v>1067</v>
      </c>
      <c r="B1128" s="138">
        <f>'Expenditures 15-22'!K61</f>
        <v>684</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8440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330276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604374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1150957</v>
      </c>
      <c r="C1152" s="2" t="s">
        <v>573</v>
      </c>
      <c r="D1152" s="2" t="str">
        <f t="shared" si="17"/>
        <v>Error?</v>
      </c>
    </row>
    <row r="1153" spans="1:4" x14ac:dyDescent="0.2">
      <c r="A1153" s="5">
        <v>1092</v>
      </c>
      <c r="B1153" s="138">
        <f>'Expenditures 15-22'!K115</f>
        <v>60761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179902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240663</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1435280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1435280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54389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54389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1489669</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1489669</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1290007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1290007</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55079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55079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1345086</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1345086</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144583</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144583</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311350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347437</v>
      </c>
      <c r="C2088" s="2" t="s">
        <v>573</v>
      </c>
      <c r="D2088" s="2" t="str">
        <f t="shared" si="31"/>
        <v>Error?</v>
      </c>
    </row>
    <row r="2089" spans="1:4" x14ac:dyDescent="0.2">
      <c r="A2089" s="5">
        <v>2028</v>
      </c>
      <c r="B2089" s="138">
        <f>'Expenditures 15-22'!K92</f>
        <v>256937</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313421</v>
      </c>
      <c r="C2551" s="2" t="s">
        <v>573</v>
      </c>
      <c r="D2551" s="2" t="str">
        <f t="shared" si="38"/>
        <v>Error?</v>
      </c>
    </row>
    <row r="2552" spans="1:4" x14ac:dyDescent="0.2">
      <c r="A2552" s="10">
        <v>2491</v>
      </c>
      <c r="D2552" s="2" t="str">
        <f t="shared" si="38"/>
        <v>OK</v>
      </c>
    </row>
    <row r="2553" spans="1:4" x14ac:dyDescent="0.2">
      <c r="A2553" s="5">
        <v>2492</v>
      </c>
      <c r="B2553" s="138">
        <f>'Acct Summary 7-8'!C6</f>
        <v>555336</v>
      </c>
      <c r="C2553" s="2" t="s">
        <v>573</v>
      </c>
      <c r="D2553" s="2" t="str">
        <f t="shared" si="38"/>
        <v>Error?</v>
      </c>
    </row>
    <row r="2554" spans="1:4" x14ac:dyDescent="0.2">
      <c r="A2554" s="5">
        <v>2493</v>
      </c>
      <c r="B2554" s="138">
        <f>'Acct Summary 7-8'!C7</f>
        <v>342961</v>
      </c>
      <c r="C2554" s="2" t="s">
        <v>573</v>
      </c>
      <c r="D2554" s="2" t="str">
        <f t="shared" si="38"/>
        <v>Error?</v>
      </c>
    </row>
    <row r="2555" spans="1:4" x14ac:dyDescent="0.2">
      <c r="A2555" s="5">
        <v>2494</v>
      </c>
      <c r="B2555" s="138">
        <f>'Acct Summary 7-8'!C8</f>
        <v>1211718</v>
      </c>
      <c r="C2555" s="2" t="s">
        <v>573</v>
      </c>
      <c r="D2555" s="2" t="str">
        <f t="shared" si="38"/>
        <v>Error?</v>
      </c>
    </row>
    <row r="2556" spans="1:4" x14ac:dyDescent="0.2">
      <c r="A2556" s="5">
        <v>2495</v>
      </c>
      <c r="B2556" s="138">
        <f>'Acct Summary 7-8'!C12</f>
        <v>216307</v>
      </c>
      <c r="C2556" s="2" t="s">
        <v>573</v>
      </c>
      <c r="D2556" s="2" t="str">
        <f t="shared" si="38"/>
        <v>Error?</v>
      </c>
    </row>
    <row r="2557" spans="1:4" x14ac:dyDescent="0.2">
      <c r="A2557" s="5">
        <v>2496</v>
      </c>
      <c r="B2557" s="138">
        <f>'Acct Summary 7-8'!C13</f>
        <v>330276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604374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1150957</v>
      </c>
      <c r="C2561" s="2" t="s">
        <v>573</v>
      </c>
      <c r="D2561" s="2" t="str">
        <f t="shared" si="39"/>
        <v>Error?</v>
      </c>
    </row>
    <row r="2562" spans="1:4" x14ac:dyDescent="0.2">
      <c r="A2562" s="5">
        <v>2501</v>
      </c>
      <c r="B2562" s="138">
        <f>'Acct Summary 7-8'!C20</f>
        <v>60761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58569</v>
      </c>
      <c r="D2718" s="2" t="str">
        <f t="shared" si="41"/>
        <v>Error?</v>
      </c>
    </row>
    <row r="2719" spans="1:4" x14ac:dyDescent="0.2">
      <c r="A2719" s="5">
        <v>2658</v>
      </c>
      <c r="B2719" s="138">
        <f>'Expenditures 15-22'!D51</f>
        <v>10864</v>
      </c>
      <c r="D2719" s="2" t="str">
        <f t="shared" si="41"/>
        <v>Error?</v>
      </c>
    </row>
    <row r="2720" spans="1:4" x14ac:dyDescent="0.2">
      <c r="A2720" s="5">
        <v>2659</v>
      </c>
      <c r="B2720" s="138">
        <f>'Expenditures 15-22'!E51</f>
        <v>13979</v>
      </c>
      <c r="D2720" s="2" t="str">
        <f t="shared" si="41"/>
        <v>Error?</v>
      </c>
    </row>
    <row r="2721" spans="1:4" x14ac:dyDescent="0.2">
      <c r="A2721" s="5">
        <v>2660</v>
      </c>
      <c r="B2721" s="138">
        <f>'Expenditures 15-22'!F51</f>
        <v>373</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950</v>
      </c>
      <c r="D2723" s="2" t="str">
        <f t="shared" si="41"/>
        <v>Error?</v>
      </c>
    </row>
    <row r="2724" spans="1:4" x14ac:dyDescent="0.2">
      <c r="A2724" s="5">
        <v>2663</v>
      </c>
      <c r="B2724" s="138">
        <f>'Expenditures 15-22'!K51</f>
        <v>89381</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36087</v>
      </c>
      <c r="C2789" s="2" t="s">
        <v>573</v>
      </c>
      <c r="D2789" s="2" t="str">
        <f t="shared" si="42"/>
        <v>Error?</v>
      </c>
    </row>
    <row r="2790" spans="1:4" x14ac:dyDescent="0.2">
      <c r="A2790" s="5">
        <v>2729</v>
      </c>
      <c r="B2790" s="138">
        <f>'Expenditures 15-22'!E102</f>
        <v>36087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36087</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311350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347437</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60761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240663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73756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1285474</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73756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1224713</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240663</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342961</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46702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266346</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266346</v>
      </c>
      <c r="C5087" s="2" t="s">
        <v>573</v>
      </c>
      <c r="D5087" s="2" t="str">
        <f t="shared" si="78"/>
        <v>Error?</v>
      </c>
    </row>
    <row r="5088" spans="1:4" x14ac:dyDescent="0.2">
      <c r="A5088" s="5">
        <v>5027</v>
      </c>
      <c r="B5088" s="138">
        <f>'Revenues 9-14'!C65</f>
        <v>373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373</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46702</v>
      </c>
      <c r="C5120" s="2" t="s">
        <v>573</v>
      </c>
      <c r="D5120" s="2" t="str">
        <f t="shared" si="79"/>
        <v>Error?</v>
      </c>
    </row>
    <row r="5121" spans="1:4" x14ac:dyDescent="0.2">
      <c r="A5121" s="5">
        <v>5060</v>
      </c>
      <c r="B5121" s="138">
        <f>'Revenues 9-14'!C109</f>
        <v>313421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555336</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555336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555336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555336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342961</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342961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342961</v>
      </c>
      <c r="C5326" s="2" t="s">
        <v>573</v>
      </c>
      <c r="D5326" s="2" t="str">
        <f t="shared" si="82"/>
        <v>Error?</v>
      </c>
    </row>
    <row r="5327" spans="1:5" x14ac:dyDescent="0.2">
      <c r="A5327" s="5">
        <v>5266</v>
      </c>
      <c r="B5327" s="138">
        <f>'Revenues 9-14'!C268</f>
        <v>1211718</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60761</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0.25247337563314676</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56925</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56925</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812</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812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4646</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4646</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812</v>
      </c>
      <c r="D6977" s="2" t="str">
        <f t="shared" si="108"/>
        <v>Error?</v>
      </c>
    </row>
    <row r="6978" spans="1:4" x14ac:dyDescent="0.2">
      <c r="A6978">
        <v>6917</v>
      </c>
      <c r="B6978" s="138">
        <f>'Expenditures 15-22'!J74</f>
        <v>4646</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256937</v>
      </c>
      <c r="D6989" s="2" t="str">
        <f t="shared" si="108"/>
        <v>Error?</v>
      </c>
    </row>
    <row r="6990" spans="1:4" x14ac:dyDescent="0.2">
      <c r="A6990">
        <v>6929</v>
      </c>
      <c r="B6990" s="138">
        <f>'Expenditures 15-22'!K89</f>
        <v>256937</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256937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57737</v>
      </c>
      <c r="D7020" s="2" t="str">
        <f t="shared" si="108"/>
        <v>Error?</v>
      </c>
    </row>
    <row r="7021" spans="1:4" x14ac:dyDescent="0.2">
      <c r="A7021">
        <v>6960</v>
      </c>
      <c r="B7021" s="138">
        <f>'Expenditures 15-22'!J114</f>
        <v>4646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57737</v>
      </c>
      <c r="D7624" s="2" t="str">
        <f t="shared" si="124"/>
        <v>Error?</v>
      </c>
      <c r="E7624" s="2" t="s">
        <v>19</v>
      </c>
    </row>
    <row r="7625" spans="1:5" x14ac:dyDescent="0.2">
      <c r="A7625">
        <f t="shared" si="123"/>
        <v>7564</v>
      </c>
      <c r="B7625" s="138">
        <f>'Cap Outlay Deprec 26'!I17</f>
        <v>5773.7</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60852.7</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3" t="s">
        <v>1191</v>
      </c>
      <c r="B2" s="2383"/>
      <c r="C2" s="2383"/>
      <c r="D2" s="2383"/>
      <c r="E2" s="2383"/>
      <c r="F2" s="2383"/>
      <c r="G2" s="2383"/>
      <c r="H2" s="2383"/>
      <c r="I2" s="2383"/>
      <c r="J2" s="2383"/>
      <c r="K2" s="2383"/>
      <c r="L2" s="2383"/>
    </row>
    <row r="3" spans="1:29" ht="13.5" customHeight="1" x14ac:dyDescent="0.2">
      <c r="A3" s="2414" t="s">
        <v>1190</v>
      </c>
      <c r="B3" s="2414"/>
      <c r="C3" s="2414"/>
      <c r="D3" s="2414"/>
      <c r="E3" s="2414"/>
      <c r="F3" s="2414"/>
      <c r="G3" s="2414"/>
      <c r="H3" s="2414"/>
      <c r="I3" s="2414"/>
      <c r="J3" s="2414"/>
      <c r="K3" s="2414"/>
      <c r="L3" s="2414"/>
    </row>
    <row r="4" spans="1:29" ht="13.5" customHeight="1" x14ac:dyDescent="0.2">
      <c r="A4" s="2383" t="s">
        <v>1987</v>
      </c>
      <c r="B4" s="2404"/>
      <c r="C4" s="2404"/>
      <c r="D4" s="2404"/>
      <c r="E4" s="2404"/>
      <c r="F4" s="2404"/>
      <c r="G4" s="2404"/>
      <c r="H4" s="2404"/>
      <c r="I4" s="2404"/>
      <c r="J4" s="2404"/>
      <c r="K4" s="2404"/>
      <c r="L4" s="2404"/>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5" t="str">
        <f>COVER!A17</f>
        <v>Educ for Employment Sys 330</v>
      </c>
      <c r="B7" s="2406"/>
      <c r="C7" s="2406"/>
      <c r="D7" s="2407"/>
      <c r="E7" s="2408">
        <f>COVER!A13</f>
        <v>9010008046</v>
      </c>
      <c r="F7" s="2409"/>
      <c r="G7" s="2415" t="str">
        <f>COVER!T23</f>
        <v>065.018319</v>
      </c>
      <c r="H7" s="2416"/>
      <c r="I7" s="2416"/>
      <c r="J7" s="2416"/>
      <c r="K7" s="2416"/>
      <c r="L7" s="241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8"/>
      <c r="B9" s="2419"/>
      <c r="C9" s="2419"/>
      <c r="D9" s="2419"/>
      <c r="E9" s="2419"/>
      <c r="F9" s="2420"/>
      <c r="G9" s="2389" t="str">
        <f>COVER!T13</f>
        <v>RUSSELL LEIGH &amp; ASSOCIATES LLC</v>
      </c>
      <c r="H9" s="2421"/>
      <c r="I9" s="2421"/>
      <c r="J9" s="2421"/>
      <c r="K9" s="2421"/>
      <c r="L9" s="2422"/>
    </row>
    <row r="10" spans="1:29" ht="13.5" customHeight="1" x14ac:dyDescent="0.2">
      <c r="A10" s="2395" t="str">
        <f>COVER!A38</f>
        <v>Nick Elder</v>
      </c>
      <c r="B10" s="2396"/>
      <c r="C10" s="2396"/>
      <c r="D10" s="2396"/>
      <c r="E10" s="2396"/>
      <c r="F10" s="2397"/>
      <c r="G10" s="2389" t="str">
        <f>COVER!T17</f>
        <v>228 E MAIN ST</v>
      </c>
      <c r="H10" s="2390"/>
      <c r="I10" s="2390"/>
      <c r="J10" s="2390"/>
      <c r="K10" s="2390"/>
      <c r="L10" s="2391"/>
    </row>
    <row r="11" spans="1:29" ht="13.5" customHeight="1" x14ac:dyDescent="0.2">
      <c r="A11" s="1184" t="s">
        <v>1519</v>
      </c>
      <c r="B11" s="1185"/>
      <c r="C11" s="1186"/>
      <c r="D11" s="1191"/>
      <c r="E11" s="1186"/>
      <c r="F11" s="1190"/>
      <c r="G11" s="2389" t="str">
        <f>COVER!T19</f>
        <v>HOOPESTON</v>
      </c>
      <c r="H11" s="2390"/>
      <c r="I11" s="2390"/>
      <c r="J11" s="2390"/>
      <c r="K11" s="2390"/>
      <c r="L11" s="2391"/>
    </row>
    <row r="12" spans="1:29" ht="13.5" customHeight="1" x14ac:dyDescent="0.2">
      <c r="A12" s="2398" t="s">
        <v>1518</v>
      </c>
      <c r="B12" s="2399"/>
      <c r="C12" s="2399"/>
      <c r="D12" s="2399"/>
      <c r="E12" s="2399"/>
      <c r="F12" s="2400"/>
      <c r="G12" s="2392"/>
      <c r="H12" s="2393"/>
      <c r="I12" s="2393"/>
      <c r="J12" s="2393"/>
      <c r="K12" s="2393"/>
      <c r="L12" s="2394"/>
    </row>
    <row r="13" spans="1:29" ht="13.5" customHeight="1" x14ac:dyDescent="0.2">
      <c r="A13" s="2389"/>
      <c r="B13" s="2390"/>
      <c r="C13" s="2390"/>
      <c r="D13" s="2390"/>
      <c r="E13" s="2390"/>
      <c r="F13" s="2391"/>
      <c r="G13" s="2384" t="s">
        <v>1520</v>
      </c>
      <c r="H13" s="2385"/>
      <c r="I13" s="2401" t="str">
        <f>COVER!T25</f>
        <v>admin@russleigh.com</v>
      </c>
      <c r="J13" s="2402"/>
      <c r="K13" s="2402"/>
      <c r="L13" s="2403"/>
    </row>
    <row r="14" spans="1:29" ht="13.5" customHeight="1" x14ac:dyDescent="0.2">
      <c r="A14" s="2389" t="str">
        <f>COVER!A19</f>
        <v>2400 W BRADLEY AVE</v>
      </c>
      <c r="B14" s="2390"/>
      <c r="C14" s="2390"/>
      <c r="D14" s="2390"/>
      <c r="E14" s="2390"/>
      <c r="F14" s="2391"/>
      <c r="G14" s="1195" t="s">
        <v>1185</v>
      </c>
      <c r="H14" s="1193"/>
      <c r="I14" s="1193"/>
      <c r="J14" s="1193"/>
      <c r="K14" s="1193"/>
      <c r="L14" s="1194"/>
    </row>
    <row r="15" spans="1:29" ht="13.5" customHeight="1" x14ac:dyDescent="0.2">
      <c r="A15" s="2389" t="str">
        <f>COVER!A21</f>
        <v>CHAMPAIGN</v>
      </c>
      <c r="B15" s="2390"/>
      <c r="C15" s="2390"/>
      <c r="D15" s="2390"/>
      <c r="E15" s="2390"/>
      <c r="F15" s="2391"/>
      <c r="G15" s="2386" t="str">
        <f>COVER!T15</f>
        <v>RUSS LEIGH</v>
      </c>
      <c r="H15" s="2387"/>
      <c r="I15" s="2387"/>
      <c r="J15" s="2387"/>
      <c r="K15" s="2387"/>
      <c r="L15" s="2388"/>
    </row>
    <row r="16" spans="1:29" ht="12.2" customHeight="1" x14ac:dyDescent="0.2">
      <c r="A16" s="2411">
        <f>COVER!A25</f>
        <v>61821</v>
      </c>
      <c r="B16" s="2412"/>
      <c r="C16" s="2412"/>
      <c r="D16" s="2412"/>
      <c r="E16" s="2412"/>
      <c r="F16" s="2413"/>
      <c r="G16" s="2423"/>
      <c r="H16" s="2424"/>
      <c r="I16" s="2424"/>
      <c r="J16" s="2424"/>
      <c r="K16" s="2424"/>
      <c r="L16" s="2425"/>
    </row>
    <row r="17" spans="1:13" ht="12.2" customHeight="1" x14ac:dyDescent="0.2">
      <c r="A17" s="2426"/>
      <c r="B17" s="2412"/>
      <c r="C17" s="2412"/>
      <c r="D17" s="2412"/>
      <c r="E17" s="2412"/>
      <c r="F17" s="2413"/>
      <c r="G17" s="1195" t="s">
        <v>1184</v>
      </c>
      <c r="H17" s="1193"/>
      <c r="I17" s="1193"/>
      <c r="J17" s="1193"/>
      <c r="K17" s="1197" t="s">
        <v>1183</v>
      </c>
      <c r="L17" s="1190"/>
      <c r="M17" s="1183"/>
    </row>
    <row r="18" spans="1:13" ht="12.2" customHeight="1" x14ac:dyDescent="0.2">
      <c r="A18" s="2395"/>
      <c r="B18" s="2396"/>
      <c r="C18" s="2396"/>
      <c r="D18" s="2396"/>
      <c r="E18" s="2396"/>
      <c r="F18" s="2397"/>
      <c r="G18" s="2405" t="str">
        <f>COVER!T21</f>
        <v>217-283-9336</v>
      </c>
      <c r="H18" s="2406"/>
      <c r="I18" s="2406"/>
      <c r="J18" s="2406"/>
      <c r="K18" s="2405" t="str">
        <f>COVER!X21</f>
        <v>217-283-9736</v>
      </c>
      <c r="L18" s="241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Educ for Employment Sys 330</v>
      </c>
      <c r="B1" s="2404"/>
      <c r="C1" s="2404"/>
      <c r="D1" s="2404"/>
    </row>
    <row r="2" spans="1:11" s="1212" customFormat="1" ht="12.75" x14ac:dyDescent="0.2">
      <c r="A2" s="2428">
        <f>'Single Audit Cover'!E7</f>
        <v>9010008046</v>
      </c>
      <c r="B2" s="2429"/>
      <c r="C2" s="2429"/>
      <c r="D2" s="2429"/>
    </row>
    <row r="3" spans="1:11" s="1212" customFormat="1" ht="12.75" x14ac:dyDescent="0.2">
      <c r="A3" s="2427" t="s">
        <v>1513</v>
      </c>
      <c r="B3" s="2404"/>
      <c r="C3" s="2404"/>
      <c r="D3" s="2404"/>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Educ for Employment Sys 330</v>
      </c>
      <c r="B1" s="2431"/>
      <c r="C1" s="2431"/>
      <c r="D1" s="2431"/>
      <c r="E1" s="2431"/>
    </row>
    <row r="2" spans="1:5" x14ac:dyDescent="0.2">
      <c r="A2" s="2432">
        <f>'Single Audit Cover'!E7</f>
        <v>9010008046</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342961</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342961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342961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342961</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4" t="str">
        <f>'Single Audit Cover'!A7</f>
        <v>Educ for Employment Sys 330</v>
      </c>
      <c r="C1" s="2435"/>
      <c r="D1" s="2435"/>
      <c r="E1" s="2435"/>
      <c r="F1" s="2435"/>
      <c r="G1" s="2435"/>
      <c r="H1" s="2435"/>
      <c r="I1" s="2435"/>
      <c r="J1" s="2435"/>
      <c r="K1" s="2435"/>
      <c r="L1" s="2435"/>
      <c r="M1" s="2435"/>
    </row>
    <row r="2" spans="2:14" ht="15" x14ac:dyDescent="0.2">
      <c r="B2" s="2436">
        <f>'Single Audit Cover'!E7</f>
        <v>9010008046</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8" t="str">
        <f>'Single Audit Cover'!A7</f>
        <v>Educ for Employment Sys 330</v>
      </c>
      <c r="B1" s="2448"/>
      <c r="C1" s="2448"/>
      <c r="D1" s="2448"/>
      <c r="E1" s="2448"/>
      <c r="F1" s="2448"/>
    </row>
    <row r="2" spans="1:7" ht="13.5" customHeight="1" x14ac:dyDescent="0.2">
      <c r="A2" s="2436">
        <f>'Single Audit Cover'!E7</f>
        <v>9010008046</v>
      </c>
      <c r="B2" s="2436"/>
      <c r="C2" s="2436"/>
      <c r="D2" s="2436"/>
      <c r="E2" s="2436"/>
      <c r="F2" s="2436"/>
      <c r="G2" s="1272"/>
    </row>
    <row r="3" spans="1:7" ht="15.75" customHeight="1" x14ac:dyDescent="0.2">
      <c r="A3" s="2449" t="s">
        <v>1271</v>
      </c>
      <c r="B3" s="2449"/>
      <c r="C3" s="2449"/>
      <c r="D3" s="2449"/>
      <c r="E3" s="2449"/>
      <c r="F3" s="2449"/>
    </row>
    <row r="4" spans="1:7" ht="13.5" customHeight="1" x14ac:dyDescent="0.2">
      <c r="A4" s="2450" t="str">
        <f>'Single Audit Cover'!A4</f>
        <v>Year Ending June 30, 2019</v>
      </c>
      <c r="B4" s="2450"/>
      <c r="C4" s="2450"/>
      <c r="D4" s="2450"/>
      <c r="E4" s="2450"/>
      <c r="F4" s="2450"/>
    </row>
    <row r="5" spans="1:7" ht="8.25" customHeight="1" x14ac:dyDescent="0.2">
      <c r="C5" s="317"/>
      <c r="D5" s="317"/>
    </row>
    <row r="6" spans="1:7" ht="13.5" customHeight="1" x14ac:dyDescent="0.2">
      <c r="A6" s="1273" t="s">
        <v>1728</v>
      </c>
      <c r="C6" s="317"/>
      <c r="D6" s="317"/>
    </row>
    <row r="7" spans="1:7" ht="60.95" customHeight="1" x14ac:dyDescent="0.2">
      <c r="A7" s="2447" t="s">
        <v>1729</v>
      </c>
      <c r="B7" s="2447"/>
      <c r="C7" s="2447"/>
      <c r="D7" s="2447"/>
      <c r="E7" s="2447"/>
      <c r="F7" s="2447"/>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7" t="s">
        <v>1731</v>
      </c>
      <c r="B13" s="2447"/>
      <c r="C13" s="2447"/>
      <c r="D13" s="2447"/>
      <c r="E13" s="2447"/>
      <c r="F13" s="2447"/>
    </row>
    <row r="14" spans="1:7" ht="9.75" customHeight="1" x14ac:dyDescent="0.2">
      <c r="C14" s="1257"/>
      <c r="D14" s="1257"/>
    </row>
    <row r="15" spans="1:7" ht="13.5" customHeight="1" x14ac:dyDescent="0.2">
      <c r="C15" s="1846" t="s">
        <v>1270</v>
      </c>
      <c r="D15" s="2445" t="s">
        <v>1269</v>
      </c>
      <c r="E15" s="2445"/>
      <c r="F15" s="2445"/>
    </row>
    <row r="16" spans="1:7" ht="13.5" customHeight="1" x14ac:dyDescent="0.2">
      <c r="A16" s="1279"/>
      <c r="B16" s="1273" t="s">
        <v>1268</v>
      </c>
      <c r="C16" s="1846" t="s">
        <v>1267</v>
      </c>
      <c r="D16" s="2446" t="s">
        <v>1588</v>
      </c>
      <c r="E16" s="2446"/>
      <c r="F16" s="2446"/>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1" t="s">
        <v>1732</v>
      </c>
      <c r="B32" s="2441"/>
      <c r="C32" s="2441"/>
      <c r="D32" s="2441"/>
      <c r="E32" s="2441"/>
      <c r="F32" s="2441"/>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2">
        <f>+C33+C34</f>
        <v>0</v>
      </c>
      <c r="F34" s="2443"/>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4" t="s">
        <v>1590</v>
      </c>
      <c r="C49" s="2444"/>
      <c r="D49" s="2444"/>
      <c r="E49" s="1396"/>
    </row>
    <row r="50" spans="1:5" s="1297" customFormat="1" ht="3.75" customHeight="1" x14ac:dyDescent="0.2">
      <c r="A50" s="1296"/>
      <c r="B50" s="1845"/>
      <c r="C50" s="1845"/>
      <c r="D50" s="1845"/>
      <c r="E50" s="1396"/>
    </row>
    <row r="51" spans="1:5" s="1297" customFormat="1" ht="20.25" customHeight="1" x14ac:dyDescent="0.2">
      <c r="A51" s="1298">
        <v>6</v>
      </c>
      <c r="B51" s="2439" t="s">
        <v>1551</v>
      </c>
      <c r="C51" s="2439"/>
      <c r="D51" s="2439"/>
    </row>
    <row r="52" spans="1:5" ht="14.25" customHeight="1" x14ac:dyDescent="0.2">
      <c r="A52" s="1298"/>
      <c r="B52" s="2439"/>
      <c r="C52" s="2439"/>
      <c r="D52" s="2439"/>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Educ for Employment Sys 330</v>
      </c>
      <c r="C1" s="2463"/>
      <c r="D1" s="2463"/>
      <c r="E1" s="2463"/>
      <c r="F1" s="2463"/>
      <c r="G1" s="2463"/>
      <c r="H1" s="2463"/>
      <c r="I1" s="2463"/>
      <c r="J1" s="1406"/>
    </row>
    <row r="2" spans="2:10" s="317" customFormat="1" ht="12.75" customHeight="1" x14ac:dyDescent="0.2">
      <c r="B2" s="2464">
        <f>'Single Audit Cover'!E7</f>
        <v>9010008046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c r="D11" s="246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c r="E29" s="2469"/>
      <c r="F29" s="2469"/>
      <c r="G29" s="2469"/>
      <c r="H29" s="2469"/>
      <c r="I29" s="246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70" t="s">
        <v>1751</v>
      </c>
      <c r="D37" s="2471"/>
      <c r="E37" s="2471"/>
      <c r="F37" s="2472"/>
      <c r="G37" s="2470" t="s">
        <v>1592</v>
      </c>
      <c r="H37" s="2471"/>
      <c r="I37" s="2472"/>
    </row>
    <row r="38" spans="2:9" ht="16.5" customHeight="1" x14ac:dyDescent="0.2">
      <c r="B38" s="1428"/>
      <c r="C38" s="2458"/>
      <c r="D38" s="2459"/>
      <c r="E38" s="2459"/>
      <c r="F38" s="2460"/>
      <c r="G38" s="2473"/>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51" t="s">
        <v>1593</v>
      </c>
      <c r="D43" s="2452"/>
      <c r="E43" s="2452"/>
      <c r="F43" s="2453"/>
      <c r="G43" s="2454">
        <f>SUM(G38:I42)</f>
        <v>0</v>
      </c>
      <c r="H43" s="2454"/>
      <c r="I43" s="2454"/>
    </row>
    <row r="44" spans="2:9" ht="12.75" customHeight="1" x14ac:dyDescent="0.2"/>
    <row r="45" spans="2:9" ht="12.75" customHeight="1" x14ac:dyDescent="0.2">
      <c r="B45" s="1419" t="s">
        <v>2062</v>
      </c>
      <c r="D45" s="2455">
        <v>0</v>
      </c>
      <c r="E45" s="245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7"/>
      <c r="F49" s="2457"/>
      <c r="G49" s="245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Educ for Employment Sys 330</v>
      </c>
      <c r="C1" s="2462"/>
      <c r="D1" s="2462"/>
      <c r="E1" s="2462"/>
      <c r="F1" s="2462"/>
      <c r="G1" s="2462"/>
      <c r="H1" s="2462"/>
      <c r="I1" s="2462"/>
      <c r="J1" s="2462"/>
      <c r="K1" s="2462"/>
      <c r="L1" s="1371"/>
      <c r="M1" s="1371"/>
    </row>
    <row r="2" spans="1:13" ht="12" customHeight="1" x14ac:dyDescent="0.2">
      <c r="B2" s="2464">
        <f>'Single Audit Cover'!E7</f>
        <v>9010008046</v>
      </c>
      <c r="C2" s="2464"/>
      <c r="D2" s="2464"/>
      <c r="E2" s="2464"/>
      <c r="F2" s="2464"/>
      <c r="G2" s="2464"/>
      <c r="H2" s="2464"/>
      <c r="I2" s="2464"/>
      <c r="J2" s="2464"/>
      <c r="K2" s="2464"/>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Educ for Employment Sys 330</v>
      </c>
      <c r="C1" s="2485"/>
      <c r="D1" s="2485"/>
      <c r="E1" s="2485"/>
      <c r="F1" s="2485"/>
      <c r="G1" s="2485"/>
      <c r="H1" s="2485"/>
      <c r="I1" s="2485"/>
      <c r="J1" s="2485"/>
      <c r="K1" s="2485"/>
      <c r="L1" s="1449"/>
    </row>
    <row r="2" spans="1:12" ht="12.75" customHeight="1" x14ac:dyDescent="0.2">
      <c r="B2" s="2486">
        <f>'Single Audit Cover'!E7</f>
        <v>9010008046</v>
      </c>
      <c r="C2" s="2486"/>
      <c r="D2" s="2486"/>
      <c r="E2" s="2486"/>
      <c r="F2" s="2486"/>
      <c r="G2" s="2486"/>
      <c r="H2" s="2486"/>
      <c r="I2" s="2486"/>
      <c r="J2" s="2486"/>
      <c r="K2" s="2486"/>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7" t="s">
        <v>1308</v>
      </c>
      <c r="C6" s="2487"/>
      <c r="D6" s="2487"/>
      <c r="E6" s="2487"/>
      <c r="F6" s="2487"/>
      <c r="G6" s="2487"/>
      <c r="H6" s="2487"/>
      <c r="I6" s="2487"/>
      <c r="J6" s="2487"/>
      <c r="K6" s="2487"/>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Educ for Employment Sys 330</v>
      </c>
      <c r="C1" s="2462"/>
      <c r="D1" s="2462"/>
      <c r="E1" s="1469"/>
    </row>
    <row r="2" spans="2:5" s="1279" customFormat="1" ht="12.75" customHeight="1" x14ac:dyDescent="0.2">
      <c r="B2" s="2464">
        <f>'Single Audit Cover'!E7</f>
        <v>9010008046</v>
      </c>
      <c r="C2" s="2464"/>
      <c r="D2" s="2464"/>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d21dc803-237d-4c68-8692-8d731fd29118"/>
    <ds:schemaRef ds:uri="http://purl.org/dc/dcmitype/"/>
    <ds:schemaRef ds:uri="http://purl.org/dc/elements/1.1/"/>
    <ds:schemaRef ds:uri="http://schemas.microsoft.com/sharepoint/v3"/>
    <ds:schemaRef ds:uri="6ce3111e-7420-4802-b50a-75d4e9a0b980"/>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2019-10-14T15:19:29Z</cp:lastPrinted>
  <dcterms:created xsi:type="dcterms:W3CDTF">2003-10-29T19:06:34Z</dcterms:created>
  <dcterms:modified xsi:type="dcterms:W3CDTF">2019-12-23T20:51:47Z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