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E6FD0995-BD42-475F-84CA-6773D9746406}" xr6:coauthVersionLast="36" xr6:coauthVersionMax="36" xr10:uidLastSave="{00000000-0000-0000-0000-000000000000}"/>
  <bookViews>
    <workbookView xWindow="20370" yWindow="-3555"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D27" i="108"/>
  <c r="E27" i="108"/>
  <c r="F27" i="108"/>
  <c r="G27"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22" i="37"/>
  <c r="J22" i="37"/>
  <c r="L22" i="37"/>
  <c r="L5" i="11"/>
  <c r="B2056" i="106" s="1"/>
  <c r="D2056" i="106" s="1"/>
  <c r="D9" i="7"/>
  <c r="B1767" i="106" s="1"/>
  <c r="D1767" i="106" s="1"/>
  <c r="H33" i="118" l="1"/>
  <c r="F28" i="108"/>
  <c r="E28" i="108"/>
  <c r="F26" i="108"/>
  <c r="I24" i="12"/>
  <c r="B1996" i="106" s="1"/>
  <c r="D1996" i="106" s="1"/>
  <c r="H342" i="29"/>
  <c r="F77" i="4"/>
  <c r="B3255" i="106" s="1"/>
  <c r="D3255" i="106" s="1"/>
  <c r="J41" i="3"/>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C151" i="29" s="1"/>
  <c r="B1226" i="106" s="1"/>
  <c r="D1226"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C114" i="29"/>
  <c r="B757" i="106" s="1"/>
  <c r="D757"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L16" i="11" l="1"/>
  <c r="B2061" i="106" s="1"/>
  <c r="D2061" i="106" s="1"/>
  <c r="B1381" i="106"/>
  <c r="D1381" i="106" s="1"/>
  <c r="B1225" i="106"/>
  <c r="D1225" i="106" s="1"/>
  <c r="D7251" i="106"/>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<sst xmlns="http://schemas.openxmlformats.org/spreadsheetml/2006/main" count="5066" uniqueCount="2095">
  <si>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</si>
  <si>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</si>
  <si>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</si>
  <si>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</si>
  <si>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</si>
  <si>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</si>
  <si>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</si>
  <si>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</si>
  <si>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</si>
  <si>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</si>
  <si>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</si>
  <si>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</si>
  <si>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</si>
  <si>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</si>
  <si>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</si>
  <si>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</si>
  <si>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</si>
  <si>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</si>
  <si>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</si>
  <si>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</si>
  <si>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</si>
  <si>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</si>
  <si>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</si>
  <si>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</si>
  <si>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</si>
  <si>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</si>
  <si>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</si>
  <si>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</si>
  <si>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</si>
  <si>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</si>
  <si>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</si>
  <si>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</si>
  <si>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</si>
  <si>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</si>
  <si>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</si>
  <si>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</si>
  <si>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</si>
  <si>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</si>
  <si>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</si>
  <si>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</si>
  <si>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</si>
  <si>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</si>
  <si>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</si>
  <si>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</si>
  <si>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</si>
  <si>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</si>
  <si>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</si>
  <si>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</si>
  <si>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</si>
  <si>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</si>
  <si>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</si>
  <si>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</si>
  <si>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</si>
  <si>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</si>
  <si>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</si>
  <si>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</si>
  <si>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</si>
  <si>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</si>
  <si>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</si>
  <si>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</si>
  <si>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</si>
  <si>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</si>
  <si>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</si>
  <si>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</si>
  <si>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</si>
  <si>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</si>
  <si>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</si>
  <si>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</si>
  <si>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</si>
  <si>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</si>
  <si>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</si>
  <si>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</si>
  <si>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</si>
  <si>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</si>
  <si>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</si>
  <si>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</si>
  <si>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</si>
  <si>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</si>
  <si>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</si>
  <si>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</si>
  <si>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</si>
  <si>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</si>
  <si>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</si>
  <si>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</si>
  <si>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</si>
  <si>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</si>
  <si>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</si>
  <si>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</si>
  <si>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</si>
  <si>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</si>
  <si>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</si>
  <si>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</si>
  <si>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</si>
  <si>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</si>
  <si>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</si>
  <si>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</si>
  <si>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</si>
  <si>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</si>
  <si>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</si>
  <si>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</si>
  <si>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</si>
  <si>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</si>
  <si>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</si>
  <si>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</si>
  <si>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</si>
  <si>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</si>
  <si>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</si>
  <si>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</si>
  <si>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</si>
  <si>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</si>
  <si>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</si>
  <si>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</si>
  <si>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</si>
  <si>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</si>
  <si>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</si>
  <si>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</si>
  <si>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</si>
  <si>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</si>
  <si>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</si>
  <si>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</si>
  <si>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</si>
  <si>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</si>
  <si>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</si>
  <si>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</si>
  <si>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</si>
  <si>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</si>
  <si>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</si>
  <si>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</si>
  <si>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</si>
  <si>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</si>
  <si>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</si>
  <si>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</si>
  <si>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</si>
  <si>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</si>
  <si>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</si>
  <si>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</si>
  <si>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</si>
  <si>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</si>
  <si>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</si>
  <si>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</si>
  <si>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</si>
  <si>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</si>
  <si>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</si>
  <si>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</si>
  <si>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</si>
  <si>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</si>
  <si>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</si>
  <si>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</si>
  <si>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</si>
  <si>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</si>
  <si>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</si>
  <si>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</si>
  <si>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</si>
  <si>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</si>
  <si>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</si>
  <si>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</si>
  <si>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</si>
  <si>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</si>
  <si>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</si>
  <si>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</si>
  <si>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</si>
  <si>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</si>
  <si>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</si>
  <si>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</si>
  <si>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</si>
  <si>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</si>
  <si>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</si>
  <si>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</si>
  <si>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</si>
  <si>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</si>
  <si>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</si>
  <si>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</si>
  <si>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</si>
  <si>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</si>
  <si>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</si>
  <si>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</si>
  <si>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</si>
  <si>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</si>
  <si>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</si>
  <si>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</si>
  <si>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</si>
  <si>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</si>
  <si>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</si>
  <si>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</si>
  <si>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</si>
  <si>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</si>
  <si>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</si>
  <si>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</si>
  <si>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</si>
  <si>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</si>
  <si>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</si>
  <si>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</si>
  <si>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</si>
  <si>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</si>
  <si>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</si>
  <si>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</si>
  <si>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</si>
  <si>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</si>
  <si>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</si>
  <si>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</si>
  <si>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</si>
  <si>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</si>
  <si>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</si>
  <si>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</si>
  <si>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</si>
  <si>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</si>
  <si>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</si>
  <si>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</si>
  <si>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</si>
  <si>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</si>
  <si>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</si>
  <si>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</si>
  <si>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</si>
  <si>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</si>
  <si>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</si>
  <si>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</si>
  <si>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</si>
  <si>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</si>
  <si>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</si>
  <si>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</si>
  <si>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</si>
  <si>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</si>
  <si>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</si>
  <si>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</si>
  <si>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</si>
  <si>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</si>
  <si>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</si>
  <si>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</si>
  <si>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</si>
  <si>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</si>
  <si>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</si>
  <si>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</si>
  <si>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</si>
  <si>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</si>
  <si>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</si>
  <si>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</si>
  <si>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</si>
  <si>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</si>
  <si>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</si>
  <si>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</si>
  <si>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</si>
  <si>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</si>
  <si>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</si>
  <si>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</si>
  <si>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</si>
  <si>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</si>
  <si>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</si>
  <si>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</si>
  <si>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</si>
  <si>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</si>
  <si>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</si>
  <si>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</si>
  <si>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</si>
  <si>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</si>
  <si>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</si>
  <si>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</si>
  <si>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</si>
  <si>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</si>
  <si>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</si>
  <si>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</si>
  <si>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</si>
  <si>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</si>
  <si>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</si>
  <si>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</si>
  <si>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</si>
  <si>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</si>
  <si>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</si>
  <si>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</si>
  <si>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</si>
  <si>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</si>
  <si>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</si>
  <si>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</si>
  <si>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</si>
  <si>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</si>
  <si>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</si>
  <si>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</si>
  <si>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</si>
  <si>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</si>
  <si>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</si>
  <si>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</si>
  <si>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</si>
  <si>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</si>
  <si>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</si>
  <si>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</si>
  <si>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</si>
  <si>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</si>
  <si>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</si>
  <si>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</si>
  <si>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</si>
  <si>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</si>
  <si>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</si>
  <si>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</si>
  <si>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</si>
  <si>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</si>
  <si>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</si>
  <si>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</si>
  <si>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</si>
  <si>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</si>
  <si>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</si>
  <si>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</si>
  <si>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</si>
  <si>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</si>
  <si>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</si>
  <si>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</si>
  <si>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</si>
  <si>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</si>
  <si>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</si>
  <si>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</si>
  <si>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</si>
  <si>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</si>
  <si>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</si>
  <si>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</si>
  <si>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</si>
  <si>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</si>
  <si>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</si>
  <si>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</si>
  <si>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</si>
  <si>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</si>
  <si>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</si>
  <si>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</si>
  <si>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</si>
  <si>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</si>
  <si>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</si>
  <si>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</si>
  <si>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</si>
  <si>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</si>
  <si>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</si>
  <si>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</si>
  <si>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</si>
  <si>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</si>
  <si>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</si>
  <si>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</si>
  <si>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</si>
  <si>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</si>
  <si>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</si>
  <si>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</si>
  <si>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</si>
  <si>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</si>
  <si>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</si>
  <si>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</si>
  <si>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</si>
  <si>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</si>
  <si>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</si>
  <si>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</si>
  <si>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</si>
  <si>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</si>
  <si>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</si>
  <si>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</si>
  <si>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</si>
  <si>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</si>
  <si>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</si>
  <si>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</si>
  <si>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</si>
  <si>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</si>
  <si>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</si>
  <si>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</si>
  <si>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</si>
  <si>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</si>
  <si>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</si>
  <si>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</si>
  <si>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</si>
  <si>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</si>
  <si>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</si>
  <si>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</si>
  <si>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</si>
  <si>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</si>
  <si>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</si>
  <si>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</si>
  <si>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</si>
  <si>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</si>
  <si>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</si>
  <si>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</si>
  <si>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</si>
  <si>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</si>
  <si>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</si>
  <si>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</si>
  <si>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</si>
  <si>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</si>
  <si>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</si>
  <si>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</si>
  <si>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</si>
  <si>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</si>
  <si>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</si>
  <si>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</si>
  <si>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</si>
  <si>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</si>
  <si>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</si>
  <si>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</si>
  <si>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</si>
  <si>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</si>
  <si>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</si>
  <si>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</si>
  <si>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</si>
  <si>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</si>
  <si>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</si>
  <si>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</si>
  <si>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</si>
  <si>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</si>
  <si>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</si>
  <si>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</si>
  <si>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</si>
  <si>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</si>
  <si>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</si>
  <si>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</si>
  <si>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</si>
  <si>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</si>
  <si>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</si>
  <si>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</si>
  <si>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</si>
  <si>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</si>
  <si>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</si>
  <si>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</si>
  <si>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</si>
  <si>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</si>
  <si>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</si>
  <si>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</si>
  <si>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</si>
  <si>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</si>
  <si>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</si>
  <si>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</si>
  <si>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</si>
  <si>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</si>
  <si>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</si>
  <si>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</si>
  <si>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</si>
  <si>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</si>
  <si>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</si>
  <si>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</si>
  <si>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</si>
  <si>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</si>
  <si>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</si>
  <si>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</si>
  <si>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</si>
  <si>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</si>
  <si>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</si>
  <si>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</si>
  <si>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</si>
  <si>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</si>
  <si>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</si>
  <si>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</si>
  <si>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</si>
  <si>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</si>
  <si>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</si>
  <si>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</si>
  <si>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</si>
  <si>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</si>
  <si>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</si>
  <si>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</si>
  <si>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</si>
  <si>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</si>
  <si>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</si>
  <si>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</si>
  <si>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</si>
  <si>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</si>
  <si>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</si>
  <si>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</si>
  <si>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</si>
  <si>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</si>
  <si>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</si>
  <si>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</si>
  <si>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</si>
  <si>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</si>
  <si>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</si>
  <si>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</si>
  <si>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</si>
  <si>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</si>
  <si>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</si>
  <si>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</si>
  <si>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</si>
  <si>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</si>
  <si>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</si>
  <si>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</si>
  <si>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</si>
  <si>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</si>
  <si>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</si>
  <si>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</si>
  <si>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</si>
  <si>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</si>
  <si>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</si>
  <si>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</si>
  <si>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</si>
  <si>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</si>
  <si>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</si>
  <si>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</si>
  <si>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</si>
  <si>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</si>
  <si>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</si>
  <si>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</si>
  <si>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</si>
  <si>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</si>
  <si>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</si>
  <si>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</si>
  <si>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</si>
  <si>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</si>
  <si>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</si>
  <si>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</si>
  <si>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</si>
  <si>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</si>
  <si>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</si>
  <si>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</si>
  <si>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</si>
  <si>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</si>
  <si>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</si>
  <si>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</si>
  <si>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</si>
  <si>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</si>
  <si>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</si>
  <si>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</si>
  <si>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</si>
  <si>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</si>
  <si>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</si>
  <si>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</si>
  <si>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</si>
  <si>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</si>
  <si>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</si>
  <si>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</si>
  <si>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</si>
  <si>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</si>
  <si>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</si>
  <si>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</si>
  <si>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</si>
  <si>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</si>
  <si>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</si>
  <si>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</si>
  <si>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</si>
  <si>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</si>
  <si>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</si>
  <si>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</si>
  <si>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</si>
  <si>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</si>
  <si>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</si>
  <si>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</si>
  <si>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</si>
  <si>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</si>
  <si>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</si>
  <si>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</si>
  <si>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</si>
  <si>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</si>
  <si>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</si>
  <si>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</si>
  <si>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</si>
  <si>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</si>
  <si>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</si>
  <si>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</si>
  <si>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</si>
  <si>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</si>
  <si>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</si>
  <si>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</si>
  <si>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</si>
  <si>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</si>
  <si>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</si>
  <si>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</si>
  <si>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</si>
  <si>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</si>
  <si>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</si>
  <si>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</si>
  <si>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</si>
  <si>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</si>
  <si>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</si>
  <si>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</si>
  <si>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</si>
  <si>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</si>
  <si>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</si>
  <si>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</si>
  <si>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</si>
  <si>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</si>
  <si>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</si>
  <si>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</si>
  <si>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</si>
  <si>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</si>
  <si>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</si>
  <si>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</si>
  <si>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</si>
  <si>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</si>
  <si>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</si>
  <si>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</si>
  <si>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</si>
  <si>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</si>
  <si>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</si>
  <si>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</si>
  <si>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</si>
  <si>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</si>
  <si>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</si>
  <si>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</si>
  <si>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</si>
  <si>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</si>
  <si>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</si>
  <si>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</si>
  <si>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</si>
  <si>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</si>
  <si>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</si>
  <si>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</si>
  <si>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</si>
  <si>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</si>
  <si>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</si>
  <si>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</si>
  <si>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</si>
  <si>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</si>
  <si>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</si>
  <si>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</si>
  <si>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</si>
  <si>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</si>
  <si>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</si>
  <si>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</si>
  <si>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</si>
  <si>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</si>
  <si>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</si>
  <si>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</si>
  <si>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</si>
  <si>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</si>
  <si>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</si>
  <si>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</si>
  <si>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</si>
  <si>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</si>
  <si>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</si>
  <si>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</si>
  <si>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</si>
  <si>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</si>
  <si>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</si>
  <si>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</si>
  <si>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</si>
  <si>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</si>
  <si>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</si>
  <si>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</si>
  <si>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</si>
  <si>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</si>
  <si>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</si>
  <si>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</si>
  <si>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</si>
  <si>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</si>
  <si>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</si>
  <si>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</si>
  <si>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</si>
  <si>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</si>
  <si>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</si>
  <si>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</si>
  <si>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</si>
  <si>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</si>
  <si>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</si>
  <si>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</si>
  <si>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</si>
  <si>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</si>
  <si>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</si>
  <si>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</si>
  <si>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</si>
  <si>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</si>
  <si>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</si>
  <si>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</si>
  <si>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</si>
  <si>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</si>
  <si>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</si>
  <si>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</si>
  <si>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</si>
  <si>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</si>
  <si>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</si>
  <si>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</si>
  <si>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</si>
  <si>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</si>
  <si>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</si>
  <si>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</si>
  <si>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</si>
  <si>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</si>
  <si>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</si>
  <si>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</si>
  <si>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</si>
  <si>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</si>
  <si>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</si>
  <si>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</si>
  <si>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</si>
  <si>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</si>
  <si>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</si>
  <si>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</si>
  <si>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</si>
  <si>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</si>
  <si>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</si>
  <si>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</si>
  <si>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</si>
  <si>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</si>
  <si>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</si>
  <si>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</si>
  <si>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</si>
  <si>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</si>
  <si>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</si>
  <si>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</si>
  <si>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</si>
  <si>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</si>
  <si>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</si>
  <si>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</si>
  <si>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</si>
  <si>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</si>
  <si>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</si>
  <si>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</si>
  <si>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</si>
  <si>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</si>
  <si>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</si>
  <si>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</si>
  <si>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</si>
  <si>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</si>
  <si>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</si>
  <si>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</si>
  <si>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</si>
  <si>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</si>
  <si>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</si>
  <si>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</si>
  <si>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</si>
  <si>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</si>
  <si>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</si>
  <si>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</si>
  <si>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</si>
  <si>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</si>
  <si>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</si>
  <si>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</si>
  <si>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</si>
  <si>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</si>
  <si>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</si>
  <si>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</si>
  <si>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</si>
  <si>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</si>
  <si>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</si>
  <si>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</si>
  <si>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</si>
  <si>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</si>
  <si>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</si>
  <si>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</si>
  <si>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</si>
  <si>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</si>
  <si>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</si>
  <si>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</si>
  <si>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</si>
  <si>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</si>
  <si>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</si>
  <si>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</si>
  <si>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</si>
  <si>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</si>
  <si>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</si>
  <si>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</si>
  <si>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</si>
  <si>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</si>
  <si>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</si>
  <si>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</si>
  <si>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</si>
  <si>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</si>
  <si>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</si>
  <si>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</si>
  <si>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</si>
  <si>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</si>
  <si>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</si>
  <si>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</si>
  <si>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</si>
  <si>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</si>
  <si>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</si>
  <si>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</si>
  <si>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</si>
  <si>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</si>
  <si>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</si>
  <si>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</si>
  <si>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</si>
  <si>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</si>
  <si>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</si>
  <si>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</si>
  <si>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</si>
  <si>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</si>
  <si>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</si>
  <si>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</si>
  <si>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</si>
  <si>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</si>
  <si>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</si>
  <si>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</si>
  <si>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</si>
  <si>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</si>
  <si>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</si>
  <si>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</si>
  <si>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</si>
  <si>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</si>
  <si>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</si>
  <si>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</si>
  <si>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</si>
  <si>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</si>
  <si>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</si>
  <si>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</si>
  <si>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</si>
  <si>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</si>
  <si>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</si>
  <si>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</si>
  <si>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</si>
  <si>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</si>
  <si>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</si>
  <si>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</si>
  <si>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</si>
  <si>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</si>
  <si>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</si>
  <si>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</si>
  <si>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</si>
  <si>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</si>
  <si>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</si>
  <si>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</si>
  <si>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</si>
  <si>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</si>
  <si>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</si>
  <si>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</si>
  <si>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</si>
  <si>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</si>
  <si>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</si>
  <si>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</si>
  <si>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</si>
  <si>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</si>
  <si>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</si>
  <si>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</si>
  <si>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</si>
  <si>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</si>
  <si>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</si>
  <si>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</si>
  <si>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</si>
  <si>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</si>
  <si>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</si>
  <si>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</si>
  <si>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</si>
  <si>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</si>
  <si>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</si>
  <si>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</si>
  <si>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</si>
  <si>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</si>
  <si>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</si>
  <si>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</si>
  <si>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</si>
  <si>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</si>
  <si>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</si>
  <si>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</si>
  <si>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</si>
  <si>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</si>
  <si>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</si>
  <si>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</si>
  <si>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</si>
  <si>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</si>
  <si>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</si>
  <si>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</si>
  <si>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</si>
  <si>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</si>
  <si>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</si>
  <si>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</si>
  <si>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</si>
  <si>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</si>
  <si>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</si>
  <si>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</si>
  <si>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</si>
  <si>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</si>
  <si>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</si>
  <si>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</si>
  <si>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</si>
  <si>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</si>
  <si>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</si>
  <si>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</si>
  <si>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</si>
  <si>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</si>
  <si>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</si>
  <si>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</si>
  <si>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</si>
  <si>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</si>
  <si>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</si>
  <si>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</si>
  <si>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</si>
  <si>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</si>
  <si>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</si>
  <si>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</si>
  <si>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</si>
  <si>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</si>
  <si>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</si>
  <si>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</si>
  <si>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</si>
  <si>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</si>
  <si>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</si>
  <si>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</si>
  <si>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</si>
  <si>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</si>
  <si>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</si>
  <si>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</si>
  <si>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</si>
  <si>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</si>
  <si>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</si>
  <si>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</si>
  <si>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</si>
  <si>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</si>
  <si>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</si>
  <si>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</si>
  <si>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</si>
  <si>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</si>
  <si>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</si>
  <si>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</si>
  <si>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</si>
  <si>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</si>
  <si>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</si>
  <si>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</si>
  <si>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</si>
  <si>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</si>
  <si>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</si>
  <si>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</si>
  <si>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</si>
  <si>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</si>
  <si>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</si>
  <si>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</si>
  <si>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</si>
  <si>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</si>
  <si>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</si>
  <si>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</si>
  <si>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</si>
  <si>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</si>
  <si>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</si>
  <si>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</si>
  <si>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</si>
  <si>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</si>
  <si>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</si>
  <si>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</si>
  <si>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</si>
  <si>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</si>
  <si>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</si>
  <si>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</si>
  <si>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</si>
  <si>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</si>
  <si>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</si>
  <si>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</si>
  <si>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</si>
  <si>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</si>
  <si>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</si>
  <si>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</si>
  <si>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</si>
  <si>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</si>
  <si>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</si>
  <si>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</si>
  <si>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</si>
  <si>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</si>
  <si>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</si>
  <si>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</si>
  <si>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</si>
  <si>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</si>
  <si>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</si>
  <si>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</si>
  <si>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</si>
  <si>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</si>
  <si>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</si>
  <si>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</si>
  <si>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</si>
  <si>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</si>
  <si>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</si>
  <si>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</si>
  <si>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</si>
  <si>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</si>
  <si>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</si>
  <si>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</si>
  <si>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</si>
  <si>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</si>
  <si>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</si>
  <si>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</si>
  <si>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</si>
  <si>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</si>
  <si>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</si>
  <si>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</si>
  <si>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</si>
  <si>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</si>
  <si>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</si>
  <si>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</si>
  <si>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</si>
  <si>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</si>
  <si>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</si>
  <si>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</si>
  <si>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</si>
  <si>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</si>
  <si>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</si>
  <si>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</si>
  <si>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</si>
  <si>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</si>
  <si>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</si>
  <si>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</si>
  <si>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</si>
  <si>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</si>
  <si>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</si>
  <si>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</si>
  <si>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</si>
  <si>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</si>
  <si>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</si>
  <si>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</si>
  <si>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</si>
  <si>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</si>
  <si>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</si>
  <si>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</si>
  <si>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</si>
  <si>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</si>
  <si>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</si>
  <si>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</si>
  <si>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</si>
  <si>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</si>
  <si>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</si>
  <si>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</si>
  <si>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</si>
  <si>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</si>
  <si>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</si>
  <si>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</si>
  <si>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</si>
  <si>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</si>
  <si>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</si>
  <si>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</si>
  <si>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</si>
  <si>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</si>
  <si>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</si>
  <si>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</si>
  <si>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</si>
  <si>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</si>
  <si>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</si>
  <si>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</si>
  <si>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</si>
  <si>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</si>
  <si>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</si>
  <si>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</si>
  <si>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</si>
  <si>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</si>
  <si>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</si>
  <si>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</si>
  <si>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</si>
  <si>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</si>
  <si>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</si>
  <si>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</si>
  <si>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</si>
  <si>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</si>
  <si>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</si>
  <si>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</si>
  <si>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</si>
  <si>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</si>
  <si>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</si>
  <si>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</si>
  <si>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</si>
  <si>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</si>
  <si>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</si>
  <si>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</si>
  <si>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</si>
  <si>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</si>
  <si>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</si>
  <si>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</si>
  <si>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</si>
  <si>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</si>
  <si>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</si>
  <si>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</si>
  <si>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</si>
  <si>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</si>
  <si>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</si>
  <si>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</si>
  <si>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</si>
  <si>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</si>
  <si>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</si>
  <si>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</si>
  <si>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</si>
  <si>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</si>
  <si>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</si>
  <si>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</si>
  <si>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</si>
  <si>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</si>
  <si>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</si>
  <si>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</si>
  <si>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</si>
  <si>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</si>
  <si>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</si>
  <si>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</si>
  <si>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</si>
  <si>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</si>
  <si>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</si>
  <si>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</si>
  <si>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</si>
  <si>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</si>
  <si>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</si>
  <si>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</si>
  <si>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</si>
  <si>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</si>
  <si>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</si>
  <si>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</si>
  <si>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</si>
  <si>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</si>
  <si>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</si>
  <si>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</si>
  <si>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</si>
  <si>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</si>
  <si>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</si>
  <si>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</si>
  <si>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</si>
  <si>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</si>
  <si>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</si>
  <si>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</si>
  <si>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</si>
  <si>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</si>
  <si>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</si>
  <si>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</si>
  <si>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</si>
  <si>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</si>
  <si>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</si>
  <si>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</si>
  <si>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</si>
  <si>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</si>
  <si>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</si>
  <si>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</si>
  <si>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</si>
  <si>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</si>
  <si>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</si>
  <si>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</si>
  <si>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</si>
  <si>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</si>
  <si>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</si>
  <si>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</si>
  <si>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</si>
  <si>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</si>
  <si>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</si>
  <si>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</si>
  <si>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</si>
  <si>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</si>
  <si>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</si>
  <si>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</si>
  <si>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</si>
  <si>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</si>
  <si>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</si>
  <si>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</si>
  <si>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</si>
  <si>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</si>
  <si>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</si>
  <si>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</si>
  <si>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</si>
  <si>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</si>
  <si>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</si>
  <si>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</si>
  <si>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</si>
  <si>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</si>
  <si>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</si>
  <si>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</si>
  <si>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</si>
  <si>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</si>
  <si>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</si>
  <si>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</si>
  <si>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</si>
  <si>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</si>
  <si>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</si>
  <si>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</si>
  <si>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</si>
  <si>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</si>
  <si>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</si>
  <si>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</si>
  <si>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</si>
  <si>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</si>
  <si>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</si>
  <si>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</si>
  <si>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</si>
  <si>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</si>
  <si>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</si>
  <si>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</si>
  <si>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</si>
  <si>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</si>
  <si>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</si>
  <si>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</si>
  <si>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</si>
  <si>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</si>
  <si>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</si>
  <si>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</si>
  <si>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</si>
  <si>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</si>
  <si>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</si>
  <si>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</si>
  <si>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</si>
  <si>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</si>
  <si>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</si>
  <si>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</si>
  <si>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</si>
  <si>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</si>
  <si>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</si>
  <si>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</si>
  <si>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</si>
  <si>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</si>
  <si>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</si>
  <si>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</si>
  <si>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</si>
  <si>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</si>
  <si>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</si>
  <si>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</si>
  <si>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</si>
  <si>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</si>
  <si>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</si>
  <si>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</si>
  <si>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</si>
  <si>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</si>
  <si>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</si>
  <si>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</si>
  <si>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</si>
  <si>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</si>
  <si>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</si>
  <si>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</si>
  <si>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</si>
  <si>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</si>
  <si>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</si>
  <si>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</si>
  <si>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</si>
  <si>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</si>
  <si>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</si>
  <si>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</si>
  <si>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</si>
  <si>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</si>
  <si>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</si>
  <si>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</si>
  <si>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</si>
  <si>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</si>
  <si>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</si>
  <si>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</si>
  <si>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</si>
  <si>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</si>
  <si>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</si>
  <si>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</si>
  <si>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</si>
  <si>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</si>
  <si>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</si>
  <si>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</si>
  <si>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</si>
  <si>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</si>
  <si>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</si>
  <si>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</si>
  <si>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</si>
  <si>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</si>
  <si>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</si>
  <si>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</si>
  <si>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</si>
  <si>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</si>
  <si>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</si>
  <si>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</si>
  <si>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</si>
  <si>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</si>
  <si>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</si>
  <si>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</si>
  <si>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</si>
  <si>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</si>
  <si>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</si>
  <si>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</si>
  <si>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</si>
  <si>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</si>
  <si>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</si>
  <si>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</si>
  <si>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</si>
  <si>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</si>
  <si>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</si>
  <si>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</si>
  <si>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</si>
  <si>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</si>
  <si>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</si>
  <si>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</si>
  <si>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</si>
  <si>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</si>
  <si>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</si>
  <si>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</si>
  <si>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</si>
  <si>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</si>
  <si>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</si>
  <si>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</si>
  <si>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</si>
  <si>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</si>
  <si>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</si>
  <si>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</si>
  <si>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</si>
  <si>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</si>
  <si>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</si>
  <si>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</si>
  <si>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</si>
  <si>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</si>
  <si>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</si>
  <si>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</si>
  <si>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</si>
  <si>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</si>
  <si>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</si>
  <si>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</si>
  <si>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</si>
  <si>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</si>
  <si>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</si>
  <si>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</si>
  <si>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</si>
  <si>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</si>
  <si>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</si>
  <si>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</si>
  <si>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</si>
  <si>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</si>
  <si>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</si>
  <si>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</si>
  <si>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</si>
  <si>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</si>
  <si>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</si>
  <si>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</si>
  <si>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</si>
  <si>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</si>
  <si>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</si>
  <si>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</si>
  <si>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</si>
  <si>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</si>
  <si>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</si>
  <si>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</si>
  <si>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</si>
  <si>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</si>
  <si>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</si>
  <si>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</si>
  <si>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</si>
  <si>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</si>
  <si>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</si>
  <si>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</si>
  <si>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</si>
  <si>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</si>
  <si>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</si>
  <si>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</si>
  <si>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</si>
  <si>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</si>
  <si>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</si>
  <si>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</si>
  <si>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</si>
  <si>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</si>
  <si>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</si>
  <si>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</si>
  <si>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</si>
  <si>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</si>
  <si>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</si>
  <si>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</si>
  <si>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</si>
  <si>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</si>
  <si>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</si>
  <si>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</si>
  <si>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</si>
  <si>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</si>
  <si>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</si>
  <si>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</si>
  <si>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</si>
  <si>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</si>
  <si>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</si>
  <si>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</si>
  <si>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</si>
  <si>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</si>
  <si>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</si>
  <si>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</si>
  <si>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</si>
  <si>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</si>
  <si>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</si>
  <si>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</si>
  <si>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</si>
  <si>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</si>
  <si>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</si>
  <si>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</si>
  <si>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</si>
  <si>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</si>
  <si>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</si>
  <si>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</si>
  <si>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</si>
  <si>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</si>
  <si>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</si>
  <si>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</si>
  <si>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</si>
  <si>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</si>
  <si>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</si>
  <si>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</si>
  <si>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</si>
  <si>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</si>
  <si>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</si>
  <si>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</si>
  <si>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</si>
  <si>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</si>
  <si>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</si>
  <si>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</si>
  <si>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</si>
  <si>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</si>
  <si>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</si>
  <si>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</si>
  <si>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</si>
  <si>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</si>
  <si>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</si>
  <si>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</si>
  <si>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</si>
  <si>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</si>
  <si>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</si>
  <si>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</si>
  <si>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</si>
  <si>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</si>
  <si>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</si>
  <si>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</si>
  <si>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</si>
  <si>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</si>
  <si>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</si>
  <si>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</si>
  <si>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</si>
  <si>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</si>
  <si>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</si>
  <si>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</si>
  <si>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</si>
  <si>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</si>
  <si>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</si>
  <si>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</si>
  <si>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</si>
  <si>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</si>
  <si>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</si>
  <si>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</si>
  <si>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</si>
  <si>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</si>
  <si>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</si>
  <si>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</si>
  <si>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</si>
  <si>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</si>
  <si>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</si>
  <si>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</si>
  <si>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</si>
  <si>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</si>
  <si>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</si>
  <si>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</si>
  <si>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</si>
  <si>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</si>
  <si>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</si>
  <si>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</si>
  <si>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</si>
  <si>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</si>
  <si>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</si>
  <si>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</si>
  <si>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</si>
  <si>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</si>
  <si>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</si>
  <si>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</si>
  <si>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</si>
  <si>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</si>
  <si>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</si>
  <si>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</si>
  <si>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</si>
  <si>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</si>
  <si>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</si>
  <si>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</si>
  <si>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</si>
  <si>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</si>
  <si>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</si>
  <si>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</si>
  <si>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</si>
  <si>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</si>
  <si>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</si>
  <si>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</si>
  <si>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</si>
  <si>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</si>
  <si>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</si>
  <si>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</si>
  <si>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</si>
  <si>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</si>
  <si>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</si>
  <si>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</si>
  <si>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</si>
  <si>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</si>
  <si>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</si>
  <si>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</si>
  <si>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</si>
  <si>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</si>
  <si>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</si>
  <si>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</si>
  <si>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</si>
  <si>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</si>
  <si>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</si>
  <si>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</si>
  <si>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</si>
  <si>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</si>
  <si>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</si>
  <si>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</si>
  <si>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</si>
  <si>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</si>
  <si>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</si>
  <si>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</si>
  <si>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</si>
  <si>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</si>
  <si>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</si>
  <si>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</si>
  <si>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</si>
  <si>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</si>
  <si>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</si>
  <si>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</si>
  <si>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</si>
  <si>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</si>
  <si>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</si>
  <si>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</si>
  <si>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</si>
  <si>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</si>
  <si>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</si>
  <si>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</si>
  <si>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</si>
  <si>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</si>
  <si>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</si>
  <si>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</si>
  <si>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</si>
  <si>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</si>
  <si>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</si>
  <si>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</si>
  <si>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</si>
  <si>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</si>
  <si>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</si>
  <si>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</si>
  <si>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</si>
  <si>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</si>
  <si>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</si>
  <si>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</si>
  <si>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</si>
  <si>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</si>
  <si>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</si>
  <si>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</si>
  <si>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</si>
  <si>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</si>
  <si>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</si>
  <si>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</si>
  <si>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</si>
  <si>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</si>
  <si>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</si>
  <si>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</si>
  <si>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</si>
  <si>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</si>
  <si>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</si>
  <si>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</si>
  <si>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</si>
  <si>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</si>
  <si>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</si>
  <si>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</si>
  <si>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</si>
  <si>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</si>
  <si>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</si>
  <si>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</si>
  <si>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</si>
  <si>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</si>
  <si>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</si>
  <si>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</si>
  <si>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</si>
  <si>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</si>
  <si>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</si>
  <si>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</si>
  <si>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</si>
  <si>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</si>
  <si>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</si>
  <si>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</si>
  <si>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</si>
  <si>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</si>
  <si>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</si>
  <si>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</si>
  <si>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</si>
  <si>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</si>
  <si>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</si>
  <si>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</si>
  <si>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</si>
  <si>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</si>
  <si>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</si>
  <si>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</si>
  <si>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</si>
  <si>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</si>
  <si>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</si>
  <si>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</si>
  <si>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</si>
  <si>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</si>
  <si>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</si>
  <si>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</si>
  <si>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</si>
  <si>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</si>
  <si>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</si>
  <si>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</si>
  <si>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</si>
  <si>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</si>
  <si>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</si>
  <si>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</si>
  <si>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</si>
  <si>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</si>
  <si>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</si>
  <si>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</si>
  <si>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</si>
  <si>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</si>
  <si>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</si>
  <si>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</si>
  <si>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</si>
  <si>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</si>
  <si>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</si>
  <si>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</si>
  <si>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</si>
  <si>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</si>
  <si>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</si>
  <si>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</si>
  <si>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</si>
  <si>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</si>
  <si>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</si>
  <si>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</si>
  <si>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</si>
  <si>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</si>
  <si>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</si>
  <si>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</si>
  <si>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</si>
  <si>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</si>
  <si>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</si>
  <si>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</si>
  <si>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</si>
  <si>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</si>
  <si>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</si>
  <si>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</si>
  <si>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</si>
  <si>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</si>
  <si>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</si>
  <si>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</si>
  <si>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</si>
  <si>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</si>
  <si>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</si>
  <si>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</si>
  <si>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</si>
  <si>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</si>
  <si>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</si>
  <si>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</si>
  <si>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</si>
  <si>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</si>
  <si>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</si>
  <si>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</si>
  <si>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</si>
  <si>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</si>
  <si>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</si>
  <si>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</si>
  <si>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</si>
  <si>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</si>
  <si>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</si>
  <si>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</si>
  <si>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</si>
  <si>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</si>
  <si>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</si>
  <si>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</si>
  <si>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</si>
  <si>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</si>
  <si>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</si>
  <si>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</si>
  <si>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</si>
  <si>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</si>
  <si>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</si>
  <si>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</si>
  <si>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</si>
  <si>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</si>
  <si>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</si>
  <si>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</si>
  <si>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</si>
  <si>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</si>
  <si>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</si>
  <si>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</si>
  <si>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</si>
  <si>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</si>
  <si>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</si>
  <si>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</si>
  <si>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</si>
  <si>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</si>
  <si>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</si>
  <si>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</si>
  <si>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</si>
  <si>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</si>
  <si>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</si>
  <si>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</si>
  <si>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</si>
  <si>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</si>
  <si>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</si>
  <si>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</si>
  <si>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</si>
  <si>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</si>
  <si>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</si>
  <si>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</si>
  <si>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</si>
  <si>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</si>
  <si>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</si>
  <si>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</si>
  <si>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</si>
  <si>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</si>
  <si>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</si>
  <si>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</si>
  <si>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</si>
  <si>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</si>
  <si>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</si>
  <si>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</si>
  <si>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</si>
  <si>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</si>
  <si>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</si>
  <si>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</si>
  <si>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</si>
  <si>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</si>
  <si>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</si>
  <si>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</si>
  <si>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</si>
  <si>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</si>
  <si>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</si>
  <si>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</si>
  <si>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</si>
  <si>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</si>
  <si>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</si>
  <si>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</si>
  <si>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</si>
  <si>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</si>
  <si>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</si>
  <si>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</si>
  <si>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</si>
  <si>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</si>
  <si>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</si>
  <si>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</si>
  <si>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</si>
  <si>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</si>
  <si>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</si>
  <si>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</si>
  <si>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</si>
  <si>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</si>
  <si>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</si>
  <si>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</si>
  <si>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</si>
  <si>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</si>
  <si>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</si>
  <si>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</si>
  <si>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</si>
  <si>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</si>
  <si>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</si>
  <si>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</si>
  <si>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</si>
  <si>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</si>
  <si>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</si>
  <si>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</si>
  <si>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</si>
  <si>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</si>
  <si>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</si>
  <si>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</si>
  <si>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</si>
  <si>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</si>
  <si>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</si>
  <si>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</si>
  <si>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</si>
  <si>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</si>
  <si>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</si>
  <si>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</si>
  <si>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</si>
  <si>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</si>
  <si>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</si>
  <si>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</si>
  <si>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</si>
  <si>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</si>
  <si>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</si>
  <si>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</si>
  <si>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</si>
  <si>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</si>
  <si>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</si>
  <si>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</si>
  <si>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</si>
  <si>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</si>
  <si>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</si>
  <si>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</si>
  <si>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</si>
  <si>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</si>
  <si>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</si>
  <si>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</si>
  <si>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</si>
  <si>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</si>
  <si>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</si>
  <si>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</si>
  <si>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</si>
  <si>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</si>
  <si>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</si>
  <si>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</si>
  <si>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</si>
  <si>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</si>
  <si>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</si>
  <si>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</si>
  <si>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</si>
  <si>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</si>
  <si>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</si>
  <si>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</si>
  <si>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</si>
  <si>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</si>
  <si>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</si>
  <si>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</si>
  <si>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</si>
  <si>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</si>
  <si>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</si>
  <si>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</si>
  <si>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</si>
  <si>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</si>
  <si>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</si>
  <si>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</si>
  <si>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</si>
  <si>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</si>
  <si>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</si>
  <si>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</si>
  <si>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</si>
  <si>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</si>
  <si>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</si>
  <si>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</si>
  <si>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</si>
  <si>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</si>
  <si>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</si>
  <si>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</si>
  <si>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</si>
  <si>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</si>
  <si>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</si>
  <si>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</si>
  <si>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</si>
  <si>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</si>
  <si>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</si>
  <si>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</si>
  <si>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</si>
  <si>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</si>
  <si>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</si>
  <si>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</si>
  <si>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</si>
  <si>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</si>
  <si>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</si>
  <si>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</si>
  <si>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</si>
  <si>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</si>
  <si>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</si>
  <si>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</si>
  <si>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</si>
  <si>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</si>
  <si>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</si>
  <si>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</si>
  <si>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</si>
  <si>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</si>
  <si>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</si>
  <si>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</si>
  <si>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</si>
  <si>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</si>
  <si>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</si>
  <si>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</si>
  <si>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</si>
  <si>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</si>
  <si>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</si>
  <si>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</si>
  <si>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</si>
  <si>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</si>
  <si>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</si>
  <si>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</si>
  <si>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</si>
  <si>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</si>
  <si>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</si>
  <si>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</si>
  <si>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</si>
  <si>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</si>
  <si>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</si>
  <si>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</si>
  <si>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</si>
  <si>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</si>
  <si>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</si>
  <si>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</si>
  <si>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</si>
  <si>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</si>
  <si>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</si>
  <si>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</si>
  <si>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</si>
  <si>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</si>
  <si>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</si>
  <si>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</si>
  <si>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</si>
  <si>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</si>
  <si>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</si>
  <si>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</si>
  <si>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</si>
  <si>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</si>
  <si>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</si>
  <si>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</si>
  <si>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</si>
  <si>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</si>
  <si>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</si>
  <si>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</si>
  <si>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</si>
  <si>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</si>
  <si>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</si>
  <si>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</si>
  <si>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</si>
  <si>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</si>
  <si>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</si>
  <si>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</si>
  <si>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</si>
  <si>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</si>
  <si>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</si>
  <si>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</si>
  <si>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</si>
  <si>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</si>
  <si>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</si>
  <si>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</si>
  <si>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</si>
  <si>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</si>
  <si>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</si>
  <si>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</si>
  <si>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</si>
  <si>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</si>
  <si>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</si>
  <si>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</si>
  <si>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</si>
  <si>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</si>
  <si>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</si>
  <si>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</si>
  <si>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</si>
  <si>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</si>
  <si>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</si>
  <si>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</si>
  <si>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</si>
  <si>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</si>
  <si>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</si>
  <si>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</si>
  <si>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</si>
  <si>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</si>
  <si>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</si>
  <si>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</si>
  <si>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</si>
  <si>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</si>
  <si>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</si>
  <si>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</si>
  <si>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</si>
  <si>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</si>
  <si>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</si>
  <si>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</si>
  <si>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</si>
  <si>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</si>
  <si>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</si>
  <si>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</si>
  <si>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</si>
  <si>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</si>
  <si>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</si>
  <si>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</si>
  <si>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</si>
  <si>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</si>
  <si>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</si>
  <si>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</si>
  <si>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</si>
  <si>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</si>
  <si>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</si>
  <si>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</si>
  <si>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</si>
  <si>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</si>
  <si>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</si>
  <si>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</si>
  <si>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</si>
  <si>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</si>
  <si>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</si>
  <si>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</si>
  <si>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</si>
  <si>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</si>
  <si>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</si>
  <si>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</si>
  <si>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</si>
  <si>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</si>
  <si>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</si>
  <si>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</si>
  <si>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</si>
  <si>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</si>
  <si>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</si>
  <si>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</si>
  <si>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</si>
  <si>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</si>
  <si>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</si>
  <si>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</si>
  <si>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</si>
  <si>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</si>
  <si>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</si>
  <si>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</si>
  <si>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</si>
  <si>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</si>
  <si>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</si>
  <si>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</si>
  <si>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</si>
  <si>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</si>
  <si>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</si>
  <si>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</si>
  <si>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</si>
  <si>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</si>
  <si>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</si>
  <si>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</si>
  <si>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</si>
  <si>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</si>
  <si>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</si>
  <si>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</si>
  <si>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</si>
  <si>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</si>
  <si>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</si>
  <si>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</si>
  <si>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</si>
  <si>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</si>
  <si>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</si>
  <si>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</si>
  <si>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</si>
  <si>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</si>
  <si>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</si>
  <si>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</si>
  <si>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</si>
  <si>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</si>
  <si>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</si>
  <si>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</si>
  <si>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</si>
  <si>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</si>
  <si>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</si>
  <si>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</si>
  <si>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</si>
  <si>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</si>
  <si>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</si>
  <si>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</si>
  <si>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</si>
  <si>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</si>
  <si>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</si>
  <si>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</si>
  <si>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</si>
  <si>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</si>
  <si>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</si>
  <si>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</si>
  <si>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</si>
  <si>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</si>
  <si>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</si>
  <si>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</si>
  <si>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</si>
  <si>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</si>
  <si>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</si>
  <si>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</si>
  <si>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</si>
  <si>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</si>
  <si>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</si>
  <si>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</si>
  <si>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</si>
  <si>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</si>
  <si>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</si>
  <si>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</si>
  <si>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</si>
  <si>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</si>
  <si>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</si>
  <si>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</si>
  <si>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</si>
  <si>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</si>
  <si>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</si>
  <si>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</si>
  <si>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</si>
  <si>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</si>
  <si>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</si>
  <si>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</si>
  <si>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</si>
  <si>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</si>
  <si>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</si>
  <si>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</si>
  <si>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</si>
  <si>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</si>
  <si>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</si>
  <si>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</si>
  <si>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</si>
  <si>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</si>
  <si>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</si>
  <si>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</si>
  <si>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</si>
  <si>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</si>
  <si>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</si>
  <si>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</si>
  <si>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</si>
  <si>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</si>
  <si>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</si>
  <si>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</si>
  <si>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</si>
  <si>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</si>
  <si>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</si>
  <si>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</si>
  <si>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</si>
  <si>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</si>
  <si>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</si>
  <si>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</si>
  <si>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</si>
  <si>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</si>
  <si>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</si>
  <si>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</si>
  <si>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</si>
  <si>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</si>
  <si>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</si>
  <si>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</si>
  <si>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</si>
  <si>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</si>
  <si>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</si>
  <si>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</si>
  <si>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</si>
  <si>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</si>
  <si>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</si>
  <si>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</si>
  <si>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</si>
  <si>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</si>
  <si>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</si>
  <si>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</si>
  <si>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</si>
  <si>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</si>
  <si>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</si>
  <si>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</si>
  <si>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</si>
  <si>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Jo Daviess</t>
  </si>
  <si>
    <t>950 US HWY 20 West, P.O. Box 602</t>
  </si>
  <si>
    <t>Elizabeth</t>
  </si>
  <si>
    <t>x</t>
  </si>
  <si>
    <t>Kris Hall</t>
  </si>
  <si>
    <t>Aaron Mercier</t>
  </si>
  <si>
    <t>khall@cteacademy.net</t>
  </si>
  <si>
    <t>amercier@roe8.org</t>
  </si>
  <si>
    <t>(815) 858-2203</t>
  </si>
  <si>
    <t>(815) 858-2316</t>
  </si>
  <si>
    <t>(815) 599-1408</t>
  </si>
  <si>
    <t>(815) 297-9032</t>
  </si>
  <si>
    <t>No contract obligations</t>
  </si>
  <si>
    <t>X</t>
  </si>
  <si>
    <t>Eagle Ridge Vocational Delivery System</t>
  </si>
  <si>
    <t>See List Below</t>
  </si>
  <si>
    <t>Scales Mound CUSD #211, Stockton CUSD #206, Warren CUSD #205, Galena CUSD #120, River Ridge CUSD #210, West Carroll CUSD #314</t>
  </si>
  <si>
    <t>Page</t>
  </si>
  <si>
    <t>Line</t>
  </si>
  <si>
    <t>Account</t>
  </si>
  <si>
    <t>Preschool Tuition</t>
  </si>
  <si>
    <t>Jo Daviess Carroll CTE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</si>
</sst>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181" fontId="56" fillId="0" borderId="165" xfId="19" applyNumberFormat="1" applyFont="1" applyBorder="1"/>
    <xf numFmtId="0" fontId="74" fillId="0" borderId="0" xfId="0" applyFont="1"/>
    <xf numFmtId="0" fontId="74" fillId="0" borderId="0" xfId="0" applyFont="1" applyAlignment="1">
      <alignment horizontal="center"/>
    </xf>
    <xf numFmtId="0" fontId="56" fillId="0" borderId="0" xfId="0" applyFont="1" applyAlignment="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614796</xdr:colOff>
          <xdr:row>4</xdr:row>
          <xdr:rowOff>77932</xdr:rowOff>
        </xdr:from>
        <xdr:to>
          <xdr:col>1</xdr:col>
          <xdr:colOff>1529196</xdr:colOff>
          <xdr:row>8</xdr:row>
          <xdr:rowOff>116032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4" t="s">
        <v>405</v>
      </c>
      <c r="J1" s="1985"/>
      <c r="K1" s="1985"/>
      <c r="L1" s="1985"/>
      <c r="M1" s="1985"/>
      <c r="N1" s="1985"/>
      <c r="O1" s="1985"/>
      <c r="P1" s="1985"/>
      <c r="Q1" s="1985"/>
      <c r="R1" s="1985"/>
      <c r="S1" s="1985"/>
    </row>
    <row r="2" spans="1:28" ht="12" customHeight="1" x14ac:dyDescent="0.2">
      <c r="A2" s="47" t="s">
        <v>1993</v>
      </c>
      <c r="D2" s="48"/>
      <c r="I2" s="1986" t="s">
        <v>979</v>
      </c>
      <c r="J2" s="1985"/>
      <c r="K2" s="1985"/>
      <c r="L2" s="1985"/>
      <c r="M2" s="1985"/>
      <c r="N2" s="1985"/>
      <c r="O2" s="1985"/>
      <c r="P2" s="1985"/>
      <c r="Q2" s="1985"/>
      <c r="R2" s="1985"/>
      <c r="S2" s="1985"/>
    </row>
    <row r="3" spans="1:28" ht="12" customHeight="1" x14ac:dyDescent="0.2">
      <c r="A3" s="155" t="s">
        <v>1945</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c r="C5" s="26" t="s">
        <v>910</v>
      </c>
      <c r="D5" s="84"/>
      <c r="E5" s="84"/>
      <c r="H5" s="38"/>
      <c r="I5" s="1994" t="s">
        <v>680</v>
      </c>
      <c r="J5" s="1993"/>
      <c r="K5" s="1993"/>
      <c r="L5" s="1993"/>
      <c r="M5" s="1993"/>
      <c r="N5" s="1993"/>
      <c r="O5" s="1993"/>
      <c r="P5" s="1993"/>
      <c r="Q5" s="1993"/>
      <c r="R5" s="1993"/>
      <c r="S5" s="1993"/>
    </row>
    <row r="6" spans="1:28" ht="14.1" customHeight="1" x14ac:dyDescent="0.2">
      <c r="B6" s="104" t="s">
        <v>2076</v>
      </c>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2076</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8043790040</v>
      </c>
      <c r="B13" s="2020"/>
      <c r="C13" s="2020"/>
      <c r="D13" s="2020"/>
      <c r="E13" s="2020"/>
      <c r="F13" s="2020"/>
      <c r="G13" s="2020"/>
      <c r="H13" s="2021"/>
      <c r="I13" s="31"/>
      <c r="J13" s="30"/>
      <c r="K13" s="28"/>
      <c r="L13" s="30"/>
      <c r="M13" s="30"/>
      <c r="N13" s="30"/>
      <c r="O13" s="30"/>
      <c r="P13" s="30"/>
      <c r="Q13" s="30"/>
      <c r="R13" s="30"/>
      <c r="S13" s="30"/>
      <c r="T13" s="2024" t="s">
        <v>2064</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2073</v>
      </c>
      <c r="B15" s="2022"/>
      <c r="C15" s="2022"/>
      <c r="D15" s="2022"/>
      <c r="E15" s="2022"/>
      <c r="F15" s="2022"/>
      <c r="G15" s="2022"/>
      <c r="H15" s="2023"/>
      <c r="T15" s="2028" t="s">
        <v>2065</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2094</v>
      </c>
      <c r="B17" s="1979"/>
      <c r="C17" s="1979"/>
      <c r="D17" s="1979"/>
      <c r="E17" s="1979"/>
      <c r="F17" s="1979"/>
      <c r="G17" s="1979"/>
      <c r="H17" s="2004"/>
      <c r="T17" s="2035" t="s">
        <v>2066</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2074</v>
      </c>
      <c r="B19" s="1964"/>
      <c r="C19" s="1964"/>
      <c r="D19" s="1964"/>
      <c r="E19" s="1964"/>
      <c r="F19" s="1964"/>
      <c r="G19" s="1964"/>
      <c r="H19" s="1944"/>
      <c r="I19" s="30"/>
      <c r="J19" s="99"/>
      <c r="K19" s="40"/>
      <c r="L19" s="38"/>
      <c r="M19" s="112" t="s">
        <v>315</v>
      </c>
      <c r="P19" s="27"/>
      <c r="Q19" s="27"/>
      <c r="R19" s="27"/>
      <c r="S19" s="31"/>
      <c r="T19" s="2018" t="s">
        <v>2067</v>
      </c>
      <c r="U19" s="1943"/>
      <c r="V19" s="1943"/>
      <c r="W19" s="1944"/>
      <c r="X19" s="2033" t="s">
        <v>2068</v>
      </c>
      <c r="Y19" s="2034"/>
      <c r="Z19" s="2031">
        <v>61032</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2075</v>
      </c>
      <c r="B21" s="1943"/>
      <c r="C21" s="1943"/>
      <c r="D21" s="1943"/>
      <c r="E21" s="1943"/>
      <c r="F21" s="1943"/>
      <c r="G21" s="1943"/>
      <c r="H21" s="1944"/>
      <c r="I21" s="1998" t="s">
        <v>678</v>
      </c>
      <c r="J21" s="1993"/>
      <c r="K21" s="1993"/>
      <c r="L21" s="1993"/>
      <c r="M21" s="1993"/>
      <c r="N21" s="1993"/>
      <c r="O21" s="1993"/>
      <c r="P21" s="1993"/>
      <c r="Q21" s="1993"/>
      <c r="R21" s="1993"/>
      <c r="S21" s="1999"/>
      <c r="T21" s="2042" t="s">
        <v>2069</v>
      </c>
      <c r="U21" s="2043"/>
      <c r="V21" s="2043"/>
      <c r="W21" s="2043"/>
      <c r="X21" s="2048" t="s">
        <v>2070</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c r="B23" s="1996"/>
      <c r="C23" s="1996"/>
      <c r="D23" s="1996"/>
      <c r="E23" s="1996"/>
      <c r="F23" s="1996"/>
      <c r="G23" s="1996"/>
      <c r="H23" s="1997"/>
      <c r="T23" s="1978" t="s">
        <v>2071</v>
      </c>
      <c r="U23" s="2041"/>
      <c r="V23" s="2041"/>
      <c r="W23" s="2041"/>
      <c r="X23" s="2045">
        <v>44530</v>
      </c>
      <c r="Y23" s="2046"/>
      <c r="Z23" s="2046"/>
      <c r="AA23" s="2047"/>
    </row>
    <row r="24" spans="1:27" ht="14.1" customHeight="1" x14ac:dyDescent="0.2">
      <c r="A24" s="88" t="s">
        <v>677</v>
      </c>
      <c r="B24" s="49"/>
      <c r="C24" s="49"/>
      <c r="D24" s="49"/>
      <c r="E24" s="49"/>
      <c r="F24" s="49"/>
      <c r="G24" s="49"/>
      <c r="H24" s="61"/>
      <c r="J24" s="1965" t="str">
        <f>IF(B5="x",IF(AUDITCHECK!D29="AFR form Incomplete.","",IF(AUDITCHECK!D29="Deficit reduction plan is required.","School District must complete a deficit reduction plan in the 2019-2020 Budget",)),"")</f>
        <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61028</v>
      </c>
      <c r="B25" s="1943"/>
      <c r="C25" s="1943"/>
      <c r="D25" s="1943"/>
      <c r="E25" s="1943"/>
      <c r="F25" s="1943"/>
      <c r="G25" s="1943"/>
      <c r="H25" s="1944"/>
      <c r="I25" s="113"/>
      <c r="J25" s="1967"/>
      <c r="K25" s="1967"/>
      <c r="L25" s="1967"/>
      <c r="M25" s="1967"/>
      <c r="N25" s="1967"/>
      <c r="O25" s="1967"/>
      <c r="P25" s="1967"/>
      <c r="Q25" s="1967"/>
      <c r="R25" s="1967"/>
      <c r="S25" s="1968"/>
      <c r="T25" s="2038" t="s">
        <v>2072</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2077</v>
      </c>
      <c r="B38" s="1979"/>
      <c r="C38" s="1979"/>
      <c r="D38" s="1979"/>
      <c r="E38" s="1979"/>
      <c r="F38" s="1943"/>
      <c r="G38" s="1943"/>
      <c r="H38" s="1944"/>
      <c r="I38" s="1971"/>
      <c r="J38" s="1972"/>
      <c r="K38" s="1972"/>
      <c r="L38" s="1972"/>
      <c r="M38" s="1972"/>
      <c r="N38" s="1972"/>
      <c r="O38" s="1972"/>
      <c r="P38" s="1973"/>
      <c r="Q38" s="1973"/>
      <c r="R38" s="1973"/>
      <c r="S38" s="1974"/>
      <c r="T38" s="2028" t="s">
        <v>2078</v>
      </c>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2079</v>
      </c>
      <c r="B40" s="1957"/>
      <c r="C40" s="1958"/>
      <c r="D40" s="1958"/>
      <c r="E40" s="1958"/>
      <c r="F40" s="1959"/>
      <c r="G40" s="1959"/>
      <c r="H40" s="1960"/>
      <c r="I40" s="1981"/>
      <c r="J40" s="1982"/>
      <c r="K40" s="1982"/>
      <c r="L40" s="1982"/>
      <c r="M40" s="1982"/>
      <c r="N40" s="1982"/>
      <c r="O40" s="1982"/>
      <c r="P40" s="1982"/>
      <c r="Q40" s="1982"/>
      <c r="R40" s="1982"/>
      <c r="S40" s="1983"/>
      <c r="T40" s="1981" t="s">
        <v>2080</v>
      </c>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2081</v>
      </c>
      <c r="B42" s="1962"/>
      <c r="C42" s="1963"/>
      <c r="D42" s="1961" t="s">
        <v>2082</v>
      </c>
      <c r="E42" s="1962"/>
      <c r="F42" s="1962"/>
      <c r="G42" s="1962"/>
      <c r="H42" s="1963"/>
      <c r="I42" s="1945"/>
      <c r="J42" s="1946"/>
      <c r="K42" s="1946"/>
      <c r="L42" s="1946"/>
      <c r="M42" s="1946"/>
      <c r="N42" s="1946"/>
      <c r="O42" s="1947"/>
      <c r="P42" s="1980"/>
      <c r="Q42" s="1946"/>
      <c r="R42" s="1946"/>
      <c r="S42" s="1947"/>
      <c r="T42" s="1945" t="s">
        <v>2083</v>
      </c>
      <c r="U42" s="1946"/>
      <c r="V42" s="1946"/>
      <c r="W42" s="1947"/>
      <c r="X42" s="1980" t="s">
        <v>2084</v>
      </c>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1951</v>
      </c>
      <c r="C2" s="714" t="s">
        <v>1952</v>
      </c>
      <c r="D2" s="714" t="s">
        <v>1953</v>
      </c>
      <c r="E2" s="714" t="s">
        <v>1954</v>
      </c>
      <c r="F2" s="714" t="s">
        <v>1955</v>
      </c>
    </row>
    <row r="3" spans="1:6" ht="12" customHeight="1" x14ac:dyDescent="0.2">
      <c r="A3" s="2185"/>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1956</v>
      </c>
      <c r="D2" s="723" t="s">
        <v>1957</v>
      </c>
      <c r="E2" s="723" t="s">
        <v>1958</v>
      </c>
      <c r="F2" s="1884" t="s">
        <v>1959</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1964</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0</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0</v>
      </c>
      <c r="I23" s="1758">
        <f>SUM(I14:I16,I21,I22)</f>
        <v>0</v>
      </c>
      <c r="J23" s="1758">
        <f>SUM(J14:J16,J21,J22)</f>
        <v>0</v>
      </c>
      <c r="K23" s="1758">
        <f>SUM(K14:K16,K21,K22)</f>
        <v>0</v>
      </c>
    </row>
    <row r="24" spans="1:11" ht="14.25" thickTop="1" thickBot="1" x14ac:dyDescent="0.25">
      <c r="A24" s="2249" t="s">
        <v>1965</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F8" sqref="F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6"/>
      <c r="E1" s="827"/>
      <c r="F1" s="827"/>
      <c r="G1" s="828"/>
      <c r="H1" s="829"/>
      <c r="I1" s="830"/>
      <c r="J1" s="2252"/>
      <c r="K1" s="2253"/>
      <c r="L1" s="225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1105648</v>
      </c>
      <c r="D8" s="844">
        <v>4700</v>
      </c>
      <c r="E8" s="844"/>
      <c r="F8" s="1760">
        <f>(C8+D8)-E8</f>
        <v>1110348</v>
      </c>
      <c r="G8" s="843">
        <v>50</v>
      </c>
      <c r="H8" s="765">
        <v>658269</v>
      </c>
      <c r="I8" s="765">
        <v>22197</v>
      </c>
      <c r="J8" s="765"/>
      <c r="K8" s="1769">
        <f>(H8+I8)-J8</f>
        <v>680466</v>
      </c>
      <c r="L8" s="1769">
        <f>F8-K8</f>
        <v>429882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32958</v>
      </c>
      <c r="D10" s="846"/>
      <c r="E10" s="846"/>
      <c r="F10" s="1764">
        <f>(C10+D10)-E10</f>
        <v>32958</v>
      </c>
      <c r="G10" s="843">
        <v>20</v>
      </c>
      <c r="H10" s="847">
        <v>18817</v>
      </c>
      <c r="I10" s="847">
        <v>1008</v>
      </c>
      <c r="J10" s="847"/>
      <c r="K10" s="1769">
        <f>(H10+I10)-J10</f>
        <v>19825</v>
      </c>
      <c r="L10" s="1769">
        <f>F10-K10</f>
        <v>13133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131432</v>
      </c>
      <c r="D12" s="844"/>
      <c r="E12" s="844">
        <v>6680</v>
      </c>
      <c r="F12" s="1760">
        <f>(C12+D12)-E12</f>
        <v>124752</v>
      </c>
      <c r="G12" s="843">
        <v>10</v>
      </c>
      <c r="H12" s="765">
        <v>51866</v>
      </c>
      <c r="I12" s="765">
        <v>12474</v>
      </c>
      <c r="J12" s="765">
        <v>6680</v>
      </c>
      <c r="K12" s="1769">
        <f>(H12+I12)-J12</f>
        <v>57660</v>
      </c>
      <c r="L12" s="1769">
        <f>F12-K12</f>
        <v>67092</v>
      </c>
    </row>
    <row r="13" spans="1:14" ht="14.25" thickTop="1" thickBot="1" x14ac:dyDescent="0.25">
      <c r="A13" s="848" t="s">
        <v>1122</v>
      </c>
      <c r="B13" s="840">
        <v>252</v>
      </c>
      <c r="C13" s="844">
        <v>40675</v>
      </c>
      <c r="D13" s="844">
        <v>8027</v>
      </c>
      <c r="E13" s="844">
        <v>21975</v>
      </c>
      <c r="F13" s="1760">
        <f>(C13+D13)-E13</f>
        <v>26727</v>
      </c>
      <c r="G13" s="843">
        <v>5</v>
      </c>
      <c r="H13" s="765">
        <v>40675</v>
      </c>
      <c r="I13" s="765">
        <v>1338</v>
      </c>
      <c r="J13" s="765">
        <v>21975</v>
      </c>
      <c r="K13" s="1769">
        <f>(H13+I13)-J13</f>
        <v>20038</v>
      </c>
      <c r="L13" s="1769">
        <f>F13-K13</f>
        <v>6689</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1310713</v>
      </c>
      <c r="D16" s="1760">
        <f>SUM(D3,D5:D6,D8:D10,D12:D15)</f>
        <v>12727</v>
      </c>
      <c r="E16" s="1760">
        <f>SUM(E3,E5:E6,E8:E10,E12:E15)</f>
        <v>28655</v>
      </c>
      <c r="F16" s="1760">
        <f>SUM(F3,F5:F6,F8:F10,F12:F15)</f>
        <v>1294785</v>
      </c>
      <c r="G16" s="843"/>
      <c r="H16" s="1760">
        <f>SUM(H3,H6,H8:H10,H12:H14,)</f>
        <v>769627</v>
      </c>
      <c r="I16" s="1760">
        <f>SUM(I3,I6,I8:I10,I12:I14,)</f>
        <v>37017</v>
      </c>
      <c r="J16" s="1760">
        <f>SUM(J3,J6,J8:J10,J12:J14,)</f>
        <v>28655</v>
      </c>
      <c r="K16" s="1760">
        <f>(H16+I16)-J16</f>
        <v>777989</v>
      </c>
      <c r="L16" s="1760">
        <f>F16-K16</f>
        <v>516796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37017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57"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1975</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704147</v>
      </c>
      <c r="G8" s="865"/>
    </row>
    <row r="9" spans="1:7" x14ac:dyDescent="0.2">
      <c r="A9" s="869" t="s">
        <v>460</v>
      </c>
      <c r="B9" s="870" t="s">
        <v>1877</v>
      </c>
      <c r="C9" s="871"/>
      <c r="D9" s="869" t="s">
        <v>501</v>
      </c>
      <c r="E9" s="868"/>
      <c r="F9" s="1909">
        <f>'Expenditures 15-22'!K151</f>
        <v>96570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15325</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816042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412</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4700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5112</v>
      </c>
      <c r="G76" s="865"/>
    </row>
    <row r="77" spans="1:8" s="893" customFormat="1" ht="12" customHeight="1" thickTop="1" thickBot="1" x14ac:dyDescent="0.25">
      <c r="A77" s="1779"/>
      <c r="B77" s="1776"/>
      <c r="C77" s="1772"/>
      <c r="D77" s="1777" t="s">
        <v>1900</v>
      </c>
      <c r="E77" s="1774"/>
      <c r="F77" s="1780">
        <f>(F14-F76)</f>
        <v>810930</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10251</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50000</v>
      </c>
      <c r="G103" s="912"/>
    </row>
    <row r="104" spans="1:7" x14ac:dyDescent="0.2">
      <c r="A104" s="908" t="s">
        <v>459</v>
      </c>
      <c r="B104" s="908" t="s">
        <v>808</v>
      </c>
      <c r="C104" s="910">
        <f>'Revenues 9-14'!B106</f>
        <v>1993</v>
      </c>
      <c r="D104" s="911" t="str">
        <f>'Revenues 9-14'!A106</f>
        <v>Other Local Fees (Describe &amp; Itemize)</v>
      </c>
      <c r="E104" s="906"/>
      <c r="F104" s="1789">
        <f>('Revenues 9-14'!C106)</f>
        <v>7075</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169248</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7104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9592</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0</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253270</v>
      </c>
    </row>
    <row r="175" spans="1:7" ht="12" customHeight="1" x14ac:dyDescent="0.2">
      <c r="A175" s="1770"/>
      <c r="B175" s="1784"/>
      <c r="C175" s="1785"/>
      <c r="D175" s="1786" t="s">
        <v>2057</v>
      </c>
      <c r="E175" s="1787"/>
      <c r="F175" s="1789">
        <f>'PCTC-OEPP 27-28'!F77-F174</f>
        <v>557660</v>
      </c>
    </row>
    <row r="176" spans="1:7" ht="12" customHeight="1" x14ac:dyDescent="0.2">
      <c r="A176" s="1770"/>
      <c r="B176" s="1784"/>
      <c r="C176" s="1785"/>
      <c r="D176" s="1786" t="s">
        <v>1817</v>
      </c>
      <c r="E176" s="1787"/>
      <c r="F176" s="1789">
        <f>'Cap Outlay Deprec 26'!I18</f>
        <v>37017</v>
      </c>
    </row>
    <row r="177" spans="1:7" ht="12" customHeight="1" x14ac:dyDescent="0.2">
      <c r="A177" s="1770"/>
      <c r="B177" s="1784"/>
      <c r="C177" s="1785"/>
      <c r="D177" s="1786" t="s">
        <v>2058</v>
      </c>
      <c r="E177" s="1787"/>
      <c r="F177" s="1789">
        <f>F175+F176</f>
        <v>594677</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1934</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1976</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4"/>
      <c r="C17" s="1656"/>
      <c r="D17" s="1844">
        <v>1E-3</v>
      </c>
      <c r="E17" s="1540">
        <f t="shared" ref="E17:E141" si="0">IF(D17&lt;=25000,D17,IF(D17&gt;25000,25000,0))</f>
        <v>1E-3</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1E-3</v>
      </c>
      <c r="E141" s="1541">
        <f t="shared" si="0"/>
        <v>1E-3</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8" t="s">
        <v>1977</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494385</v>
      </c>
      <c r="F19" s="1799"/>
      <c r="G19" s="1801">
        <f>'Expenditures 15-22'!K33-SUM('Expenditures 15-22'!G33,'Expenditures 15-22'!I33)+'Expenditures 15-22'!D229</f>
        <v>494385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13220</v>
      </c>
      <c r="F22" s="1802"/>
      <c r="G22" s="1805">
        <f>'Expenditures 15-22'!K47-SUM('Expenditures 15-22'!G47,'Expenditures 15-22'!I47)+'Expenditures 15-22'!D243</f>
        <v>13220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136006</v>
      </c>
      <c r="F23" s="1802"/>
      <c r="G23" s="1804">
        <f>'Expenditures 15-22'!K53-SUM('Expenditures 15-22'!G53,'Expenditures 15-22'!I53)+'Expenditures 15-22'!D257+'Expenditures 15-22'!K330-SUM('Expenditures 15-22'!G330,'Expenditures 15-22'!I330)</f>
        <v>136006</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53636</v>
      </c>
      <c r="E26" s="1804">
        <f>'Expenditures 15-22'!K122-SUM('Expenditures 15-22'!G122,'Expenditures 15-22'!I122)+E7</f>
        <v>0</v>
      </c>
      <c r="F26" s="1804">
        <f>'Expenditures 15-22'!K59-SUM('Expenditures 15-22'!G59,'Expenditures 15-22'!I59)+'Expenditures 15-22'!D263-E7</f>
        <v>53636</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91870</v>
      </c>
      <c r="F28" s="1806">
        <f>'Expenditures 15-22'!K61-SUM('Expenditures 15-22'!G61,'Expenditures 15-22'!I61)+'Expenditures 15-22'!K124-SUM('Expenditures 15-22'!G124,'Expenditures 15-22'!I124)+'Expenditures 15-22'!D266-E9</f>
        <v>91870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15325</v>
      </c>
      <c r="F29" s="1802"/>
      <c r="G29" s="1805">
        <f>'Expenditures 15-22'!K62-SUM('Expenditures 15-22'!G62,'Expenditures 15-22'!I62)+'Expenditures 15-22'!K125-SUM('Expenditures 15-22'!G125,'Expenditures 15-22'!I125)+'Expenditures 15-22'!K182-SUM('Expenditures 15-22'!G182,'Expenditures 15-22'!I182)+'Expenditures 15-22'!D267</f>
        <v>15325</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6900</v>
      </c>
      <c r="F35" s="1802"/>
      <c r="G35" s="1804">
        <f>'Expenditures 15-22'!K69-SUM('Expenditures 15-22'!G69,'Expenditures 15-22'!I69)+'Expenditures 15-22'!D274</f>
        <v>6900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53636</v>
      </c>
      <c r="E41" s="1806">
        <f>SUM(E19:E40)</f>
        <v>757706</v>
      </c>
      <c r="F41" s="1806">
        <f>SUM(F19:F39)</f>
        <v>145506</v>
      </c>
      <c r="G41" s="1806">
        <f>SUM(G19:G40)</f>
        <v>665836</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53636</v>
      </c>
      <c r="F43" s="1807" t="s">
        <v>473</v>
      </c>
      <c r="G43" s="1808">
        <f>F41</f>
        <v>145506</v>
      </c>
    </row>
    <row r="44" spans="1:7" ht="12" customHeight="1" x14ac:dyDescent="0.2">
      <c r="A44" s="987"/>
      <c r="B44" s="162"/>
      <c r="C44" s="1001"/>
      <c r="D44" s="1807" t="s">
        <v>474</v>
      </c>
      <c r="E44" s="1808">
        <f>E41</f>
        <v>757706</v>
      </c>
      <c r="F44" s="1807" t="s">
        <v>474</v>
      </c>
      <c r="G44" s="1808">
        <f>G41</f>
        <v>665836</v>
      </c>
    </row>
    <row r="45" spans="1:7" ht="12" customHeight="1" x14ac:dyDescent="0.2">
      <c r="A45" s="987"/>
      <c r="B45" s="162"/>
      <c r="C45" s="162"/>
      <c r="D45" s="1809" t="s">
        <v>1006</v>
      </c>
      <c r="E45" s="1810">
        <f>(E43/E44)</f>
        <v>7.0787350238746952E-2</v>
      </c>
      <c r="F45" s="1809" t="s">
        <v>1006</v>
      </c>
      <c r="G45" s="1810">
        <f>(G43/G44)</f>
        <v>0.21853128998732421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23" activePane="bottomLeft" state="frozen"/>
      <selection activeCell="A47" sqref="A47"/>
      <selection pane="bottomLeft" activeCell="A42" sqref="A42:F4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Jo Daviess Carroll CTE</v>
      </c>
      <c r="D6" s="2309"/>
      <c r="E6" s="2309"/>
      <c r="F6" s="1852"/>
    </row>
    <row r="7" spans="1:10" ht="11.25" customHeight="1" thickBot="1" x14ac:dyDescent="0.3">
      <c r="A7" s="1850"/>
      <c r="B7" s="1851"/>
      <c r="C7" s="2310">
        <f>COVER!A13</f>
        <v>8043790040</v>
      </c>
      <c r="D7" s="2310"/>
      <c r="E7" s="2310"/>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t="s">
        <v>2086</v>
      </c>
      <c r="D27" s="1865" t="s">
        <v>2086</v>
      </c>
      <c r="E27" s="1868" t="s">
        <v>2086</v>
      </c>
      <c r="F27" s="1867" t="s">
        <v>2087</v>
      </c>
      <c r="H27" s="1878">
        <f t="shared" si="0"/>
        <v>5</v>
      </c>
      <c r="I27" s="1878">
        <f t="shared" si="1"/>
        <v>5</v>
      </c>
      <c r="J27" s="1878">
        <f t="shared" si="2"/>
        <v>5</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2086</v>
      </c>
      <c r="D32" s="1865" t="s">
        <v>2086</v>
      </c>
      <c r="E32" s="1868" t="s">
        <v>2086</v>
      </c>
      <c r="F32" s="1867" t="s">
        <v>2088</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t="s">
        <v>2089</v>
      </c>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Jo Daviess Carroll CTE</v>
      </c>
      <c r="J6" s="2319"/>
      <c r="Q6" s="1664"/>
    </row>
    <row r="7" spans="1:17" x14ac:dyDescent="0.2">
      <c r="A7" s="2320" t="s">
        <v>869</v>
      </c>
      <c r="B7" s="2321"/>
      <c r="C7" s="2321"/>
      <c r="D7" s="2321"/>
      <c r="E7" s="2322"/>
      <c r="F7" s="1017"/>
      <c r="G7" s="1009"/>
      <c r="H7" s="1016" t="s">
        <v>372</v>
      </c>
      <c r="I7" s="2323">
        <f>COVER!A13</f>
        <v>8043790040</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103196</v>
      </c>
      <c r="F12" s="1039"/>
      <c r="G12" s="1811">
        <f t="shared" ref="G12:G18" si="0">SUM(E12:F12)</f>
        <v>103196</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53636</v>
      </c>
      <c r="F15" s="1811">
        <f>'Expenditures 15-22'!K122</f>
        <v>0</v>
      </c>
      <c r="G15" s="1811">
        <f t="shared" si="0"/>
        <v>53636</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156832</v>
      </c>
      <c r="F19" s="1813">
        <f t="shared" si="2"/>
        <v>0</v>
      </c>
      <c r="G19" s="1813">
        <f t="shared" si="2"/>
        <v>156832</v>
      </c>
      <c r="H19" s="1813">
        <f t="shared" si="2"/>
        <v>0</v>
      </c>
      <c r="I19" s="1813">
        <f t="shared" si="2"/>
        <v>0</v>
      </c>
      <c r="J19" s="1813">
        <f t="shared" si="2"/>
        <v>0</v>
      </c>
    </row>
    <row r="20" spans="1:10" ht="13.5" thickTop="1" x14ac:dyDescent="0.2">
      <c r="A20" s="1035">
        <v>9</v>
      </c>
      <c r="B20" s="2330" t="s">
        <v>1981</v>
      </c>
      <c r="C20" s="2330"/>
      <c r="D20" s="2331"/>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1983</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G65"/>
  <sheetViews>
    <sheetView showGridLines="0" topLeftCell="A61" zoomScale="110" zoomScaleNormal="110" workbookViewId="0">
      <selection activeCell="B64" sqref="B64"/>
    </sheetView>
  </sheetViews>
  <sheetFormatPr defaultRowHeight="12.75" x14ac:dyDescent="0.2"/>
  <cols>
    <col min="1" max="1" width="3" style="329" customWidth="1"/>
    <col min="2" max="2" width="11.7109375" style="329" customWidth="1"/>
    <col min="3" max="5" width="10.7109375" style="329" customWidth="1"/>
    <col min="6" max="6" width="20.85546875" style="329" customWidth="1"/>
    <col min="7" max="7" width="10.85546875" style="329" customWidth="1"/>
    <col min="8" max="16384" width="9.140625" style="329"/>
  </cols>
  <sheetData>
    <row r="2" spans="1:7" x14ac:dyDescent="0.2">
      <c r="A2" s="389" t="s">
        <v>258</v>
      </c>
    </row>
    <row r="3" spans="1:7" x14ac:dyDescent="0.2">
      <c r="A3" s="329" t="s">
        <v>259</v>
      </c>
    </row>
    <row r="5" spans="1:7" x14ac:dyDescent="0.2">
      <c r="A5" s="1068"/>
      <c r="B5" s="1940" t="s">
        <v>2092</v>
      </c>
      <c r="C5" s="1940" t="s">
        <v>2090</v>
      </c>
      <c r="D5" s="1940" t="s">
        <v>1077</v>
      </c>
      <c r="E5" s="1940" t="s">
        <v>2091</v>
      </c>
      <c r="F5" s="1939" t="s">
        <v>481</v>
      </c>
      <c r="G5" s="1940" t="s">
        <v>865</v>
      </c>
    </row>
    <row r="6" spans="1:7" x14ac:dyDescent="0.2">
      <c r="A6" s="1068"/>
      <c r="B6" s="1940"/>
      <c r="C6" s="1940"/>
      <c r="D6" s="1940"/>
      <c r="E6" s="1940"/>
      <c r="F6" s="1939"/>
      <c r="G6" s="1940"/>
    </row>
    <row r="7" spans="1:7" ht="13.5" thickBot="1" x14ac:dyDescent="0.25">
      <c r="A7" s="1068"/>
      <c r="B7" s="1941">
        <v>1933</v>
      </c>
      <c r="C7" s="1941">
        <v>11</v>
      </c>
      <c r="D7" s="1941">
        <v>10</v>
      </c>
      <c r="E7" s="1941">
        <v>106</v>
      </c>
      <c r="F7" s="329" t="s">
        <v>2093</v>
      </c>
      <c r="G7" s="1938">
        <v>7075</v>
      </c>
    </row>
    <row r="8" spans="1:7" ht="13.5" thickTop="1" x14ac:dyDescent="0.2">
      <c r="A8" s="1068"/>
      <c r="B8" s="1941"/>
      <c r="C8" s="1941"/>
      <c r="D8" s="1941"/>
      <c r="E8" s="1941"/>
    </row>
    <row r="9" spans="1:7" x14ac:dyDescent="0.2">
      <c r="A9" s="1069"/>
    </row>
    <row r="10" spans="1:7" x14ac:dyDescent="0.2">
      <c r="A10" s="1069"/>
    </row>
    <row r="11" spans="1:7" x14ac:dyDescent="0.2">
      <c r="A11" s="1069"/>
    </row>
    <row r="12" spans="1:7" x14ac:dyDescent="0.2">
      <c r="A12" s="1069"/>
    </row>
    <row r="13" spans="1:7" x14ac:dyDescent="0.2">
      <c r="A13" s="1069"/>
    </row>
    <row r="14" spans="1:7" x14ac:dyDescent="0.2">
      <c r="A14" s="1069"/>
    </row>
    <row r="15" spans="1:7" x14ac:dyDescent="0.2">
      <c r="A15" s="1069"/>
    </row>
    <row r="16" spans="1:7"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Jo Daviess Carroll CTE</v>
      </c>
    </row>
    <row r="65" spans="2:2" x14ac:dyDescent="0.2">
      <c r="B65" s="1070">
        <f>COVER!A13</f>
        <v>8043790040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619125</xdr:colOff>
                <xdr:row>4</xdr:row>
                <xdr:rowOff>76200</xdr:rowOff>
              </from>
              <to>
                <xdr:col>1</xdr:col>
                <xdr:colOff>1533525</xdr:colOff>
                <xdr:row>8</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1988</v>
      </c>
      <c r="B4" s="2358"/>
      <c r="C4" s="2358"/>
      <c r="D4" s="2358"/>
      <c r="E4" s="2358"/>
      <c r="F4" s="2359"/>
      <c r="G4" s="1074"/>
      <c r="H4" s="1074"/>
    </row>
    <row r="5" spans="1:8" ht="14.25" customHeight="1" x14ac:dyDescent="0.2">
      <c r="A5" s="2360" t="s">
        <v>1984</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626701</v>
      </c>
      <c r="C8" s="1815">
        <f>'Acct Summary 7-8'!D8</f>
        <v>69843</v>
      </c>
      <c r="D8" s="1815">
        <f>'Acct Summary 7-8'!F8</f>
        <v>7104</v>
      </c>
      <c r="E8" s="1815">
        <f>'Acct Summary 7-8'!I8</f>
        <v>0</v>
      </c>
      <c r="F8" s="1815">
        <f>SUM(B8:E8)</f>
        <v>703648</v>
      </c>
    </row>
    <row r="9" spans="1:8" s="1079" customFormat="1" ht="14.25" customHeight="1" thickBot="1" x14ac:dyDescent="0.25">
      <c r="A9" s="1078" t="s">
        <v>1369</v>
      </c>
      <c r="B9" s="1816">
        <f>'Acct Summary 7-8'!C17</f>
        <v>704147</v>
      </c>
      <c r="C9" s="1816">
        <f>'Acct Summary 7-8'!D17</f>
        <v>96570</v>
      </c>
      <c r="D9" s="1816">
        <f>'Acct Summary 7-8'!F17</f>
        <v>15325</v>
      </c>
      <c r="E9" s="1815"/>
      <c r="F9" s="1815">
        <f>SUM(B9:E9)</f>
        <v>816042</v>
      </c>
    </row>
    <row r="10" spans="1:8" s="1079" customFormat="1" ht="14.25" thickTop="1" thickBot="1" x14ac:dyDescent="0.25">
      <c r="A10" s="1080" t="s">
        <v>1370</v>
      </c>
      <c r="B10" s="1817">
        <f>(B8-B9)</f>
        <v>-77446</v>
      </c>
      <c r="C10" s="1817">
        <f>(C8-C9)</f>
        <v>-26727</v>
      </c>
      <c r="D10" s="1817">
        <f>(D8-D9)</f>
        <v>-8221</v>
      </c>
      <c r="E10" s="1816">
        <f>(E8-E9)</f>
        <v>0</v>
      </c>
      <c r="F10" s="1818">
        <f>SUM(F8-F9)</f>
        <v>-112394</v>
      </c>
    </row>
    <row r="11" spans="1:8" s="1079" customFormat="1" ht="14.25" thickTop="1" thickBot="1" x14ac:dyDescent="0.25">
      <c r="A11" s="1081" t="s">
        <v>1985</v>
      </c>
      <c r="B11" s="1819">
        <f>'Acct Summary 7-8'!C81</f>
        <v>83436</v>
      </c>
      <c r="C11" s="1819">
        <f>'Acct Summary 7-8'!D81</f>
        <v>205588</v>
      </c>
      <c r="D11" s="1819">
        <f>'Acct Summary 7-8'!F81</f>
        <v>32866</v>
      </c>
      <c r="E11" s="1819">
        <f>'Acct Summary 7-8'!I81</f>
        <v>0</v>
      </c>
      <c r="F11" s="1820">
        <f>SUM(B11:E11)</f>
        <v>321890</v>
      </c>
    </row>
    <row r="12" spans="1:8" ht="16.5" customHeight="1" thickTop="1" x14ac:dyDescent="0.2">
      <c r="A12" s="1082"/>
      <c r="B12" s="1083"/>
      <c r="C12" s="234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8043790040</v>
      </c>
    </row>
    <row r="3" spans="1:2" x14ac:dyDescent="0.2">
      <c r="A3" t="s">
        <v>956</v>
      </c>
      <c r="B3" s="138" t="str">
        <f>COVER!A15</f>
        <v>Jo Daviess</v>
      </c>
    </row>
    <row r="4" spans="1:2" x14ac:dyDescent="0.2">
      <c r="A4" t="s">
        <v>1007</v>
      </c>
      <c r="B4" s="138" t="str">
        <f>COVER!A17</f>
        <v>Jo Daviess Carroll CTE</v>
      </c>
    </row>
    <row r="5" spans="1:2" x14ac:dyDescent="0.2">
      <c r="A5" t="s">
        <v>704</v>
      </c>
      <c r="B5" s="138" t="str">
        <f>COVER!A38</f>
        <v>Kris Hall</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83436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83436</v>
      </c>
      <c r="D92" s="2" t="str">
        <f t="shared" si="0"/>
        <v>Error?</v>
      </c>
    </row>
    <row r="93" spans="1:4" x14ac:dyDescent="0.2">
      <c r="A93" s="5">
        <v>32</v>
      </c>
      <c r="B93" s="138">
        <f>'Assets-Liab 5-6'!C41</f>
        <v>83436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205588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205588</v>
      </c>
      <c r="D123" s="2" t="str">
        <f t="shared" si="0"/>
        <v>Error?</v>
      </c>
    </row>
    <row r="124" spans="1:4" x14ac:dyDescent="0.2">
      <c r="A124" s="5">
        <v>63</v>
      </c>
      <c r="B124" s="138">
        <f>'Assets-Liab 5-6'!D41</f>
        <v>205588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32866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32866</v>
      </c>
      <c r="D170" s="2" t="str">
        <f t="shared" si="1"/>
        <v>Error?</v>
      </c>
    </row>
    <row r="171" spans="1:4" x14ac:dyDescent="0.2">
      <c r="A171" s="5">
        <v>110</v>
      </c>
      <c r="B171" s="138">
        <f>'Assets-Liab 5-6'!F41</f>
        <v>32866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1110348</v>
      </c>
      <c r="D274" s="2" t="str">
        <f t="shared" si="3"/>
        <v>Error?</v>
      </c>
    </row>
    <row r="275" spans="1:4" x14ac:dyDescent="0.2">
      <c r="A275" s="5">
        <v>214</v>
      </c>
      <c r="B275" s="138">
        <f>'Assets-Liab 5-6'!M18</f>
        <v>32958</v>
      </c>
      <c r="D275" s="2" t="str">
        <f t="shared" si="3"/>
        <v>Error?</v>
      </c>
    </row>
    <row r="276" spans="1:4" x14ac:dyDescent="0.2">
      <c r="A276" s="5">
        <v>215</v>
      </c>
      <c r="B276" s="138">
        <f>'Assets-Liab 5-6'!M19</f>
        <v>151479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1294785</v>
      </c>
      <c r="C279" s="2" t="s">
        <v>573</v>
      </c>
      <c r="D279" s="2" t="str">
        <f t="shared" si="3"/>
        <v>Error?</v>
      </c>
    </row>
    <row r="280" spans="1:4" x14ac:dyDescent="0.2">
      <c r="A280" s="5">
        <v>219</v>
      </c>
      <c r="B280" s="138">
        <f>'Assets-Liab 5-6'!M40</f>
        <v>1294785</v>
      </c>
      <c r="D280" s="2" t="str">
        <f t="shared" si="3"/>
        <v>Error?</v>
      </c>
    </row>
    <row r="281" spans="1:4" x14ac:dyDescent="0.2">
      <c r="A281" s="5">
        <v>220</v>
      </c>
      <c r="B281" s="138">
        <f>'Assets-Liab 5-6'!M41</f>
        <v>1294785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370044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370044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10030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10030</v>
      </c>
      <c r="C731" s="2" t="s">
        <v>573</v>
      </c>
      <c r="D731" s="2" t="str">
        <f t="shared" si="10"/>
        <v>Error?</v>
      </c>
    </row>
    <row r="732" spans="1:4" x14ac:dyDescent="0.2">
      <c r="A732" s="5">
        <v>671</v>
      </c>
      <c r="B732" s="138">
        <f>'Expenditures 15-22'!C49</f>
        <v>950</v>
      </c>
      <c r="D732" s="2" t="str">
        <f t="shared" si="10"/>
        <v>Error?</v>
      </c>
    </row>
    <row r="733" spans="1:4" x14ac:dyDescent="0.2">
      <c r="A733" s="5">
        <v>672</v>
      </c>
      <c r="B733" s="138">
        <f>'Expenditures 15-22'!C50</f>
        <v>76500</v>
      </c>
      <c r="D733" s="2" t="str">
        <f t="shared" si="10"/>
        <v>Error?</v>
      </c>
    </row>
    <row r="734" spans="1:4" x14ac:dyDescent="0.2">
      <c r="A734" s="5">
        <v>673</v>
      </c>
      <c r="B734" s="138">
        <f>'Expenditures 15-22'!C53</f>
        <v>77450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46514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46514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133994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504038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70523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70523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1490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1490</v>
      </c>
      <c r="C789" s="2" t="s">
        <v>573</v>
      </c>
      <c r="D789" s="2" t="str">
        <f t="shared" si="11"/>
        <v>Error?</v>
      </c>
    </row>
    <row r="790" spans="1:4" x14ac:dyDescent="0.2">
      <c r="A790" s="5">
        <v>729</v>
      </c>
      <c r="B790" s="138">
        <f>'Expenditures 15-22'!D49</f>
        <v>7477</v>
      </c>
      <c r="D790" s="2" t="str">
        <f t="shared" si="11"/>
        <v>Error?</v>
      </c>
    </row>
    <row r="791" spans="1:4" x14ac:dyDescent="0.2">
      <c r="A791" s="5">
        <v>730</v>
      </c>
      <c r="B791" s="138">
        <f>'Expenditures 15-22'!D50</f>
        <v>14938</v>
      </c>
      <c r="D791" s="2" t="str">
        <f t="shared" si="11"/>
        <v>Error?</v>
      </c>
    </row>
    <row r="792" spans="1:4" x14ac:dyDescent="0.2">
      <c r="A792" s="5">
        <v>731</v>
      </c>
      <c r="B792" s="138">
        <f>'Expenditures 15-22'!D53</f>
        <v>22415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7122</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7122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31027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101550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10748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10748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1700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1700</v>
      </c>
      <c r="C847" s="2" t="s">
        <v>573</v>
      </c>
      <c r="D847" s="2" t="str">
        <f t="shared" si="12"/>
        <v>Error?</v>
      </c>
    </row>
    <row r="848" spans="1:4" x14ac:dyDescent="0.2">
      <c r="A848" s="5">
        <v>787</v>
      </c>
      <c r="B848" s="138">
        <f>'Expenditures 15-22'!E49</f>
        <v>24383</v>
      </c>
      <c r="D848" s="2" t="str">
        <f t="shared" si="12"/>
        <v>Error?</v>
      </c>
    </row>
    <row r="849" spans="1:4" x14ac:dyDescent="0.2">
      <c r="A849" s="5">
        <v>788</v>
      </c>
      <c r="B849" s="138">
        <f>'Expenditures 15-22'!E50</f>
        <v>10428</v>
      </c>
      <c r="D849" s="2" t="str">
        <f t="shared" si="12"/>
        <v>Error?</v>
      </c>
    </row>
    <row r="850" spans="1:4" x14ac:dyDescent="0.2">
      <c r="A850" s="5">
        <v>789</v>
      </c>
      <c r="B850" s="138">
        <f>'Expenditures 15-22'!E53</f>
        <v>34811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6900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6900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43411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54159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42330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42742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826</v>
      </c>
      <c r="D907" s="2" t="str">
        <f t="shared" si="13"/>
        <v>Error?</v>
      </c>
    </row>
    <row r="908" spans="1:4" x14ac:dyDescent="0.2">
      <c r="A908" s="5">
        <v>847</v>
      </c>
      <c r="B908" s="138">
        <f>'Expenditures 15-22'!F53</f>
        <v>826</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826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43568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328</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504</v>
      </c>
      <c r="D1023" s="2" t="str">
        <f t="shared" ref="D1023:D1086" si="15">IF(ISBLANK(B1023),"OK",IF(A1023-B1023=0,"OK","Error?"))</f>
        <v>Error?</v>
      </c>
    </row>
    <row r="1024" spans="1:4" x14ac:dyDescent="0.2">
      <c r="A1024" s="5">
        <v>963</v>
      </c>
      <c r="B1024" s="138">
        <f>'Expenditures 15-22'!H53</f>
        <v>504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832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493973</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494385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13220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13220</v>
      </c>
      <c r="C1119" s="2" t="s">
        <v>573</v>
      </c>
      <c r="D1119" s="2" t="str">
        <f t="shared" si="16"/>
        <v>Error?</v>
      </c>
    </row>
    <row r="1120" spans="1:4" x14ac:dyDescent="0.2">
      <c r="A1120" s="5">
        <v>1059</v>
      </c>
      <c r="B1120" s="138">
        <f>'Expenditures 15-22'!K49</f>
        <v>32810</v>
      </c>
      <c r="C1120" s="2" t="s">
        <v>573</v>
      </c>
      <c r="D1120" s="2" t="str">
        <f t="shared" si="16"/>
        <v>Error?</v>
      </c>
    </row>
    <row r="1121" spans="1:4" x14ac:dyDescent="0.2">
      <c r="A1121" s="5">
        <v>1060</v>
      </c>
      <c r="B1121" s="138">
        <f>'Expenditures 15-22'!K50</f>
        <v>103196</v>
      </c>
      <c r="C1121" s="2" t="s">
        <v>573</v>
      </c>
      <c r="D1121" s="2" t="str">
        <f t="shared" si="16"/>
        <v>Error?</v>
      </c>
    </row>
    <row r="1122" spans="1:4" x14ac:dyDescent="0.2">
      <c r="A1122" s="5">
        <v>1061</v>
      </c>
      <c r="B1122" s="138">
        <f>'Expenditures 15-22'!K53</f>
        <v>136006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53636</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53636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6900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6900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209762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704147</v>
      </c>
      <c r="C1152" s="2" t="s">
        <v>573</v>
      </c>
      <c r="D1152" s="2" t="str">
        <f t="shared" si="17"/>
        <v>Error?</v>
      </c>
    </row>
    <row r="1153" spans="1:4" x14ac:dyDescent="0.2">
      <c r="A1153" s="5">
        <v>1092</v>
      </c>
      <c r="B1153" s="138">
        <f>'Expenditures 15-22'!K115</f>
        <v>-77446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13003</v>
      </c>
      <c r="D1221" s="2" t="str">
        <f t="shared" si="18"/>
        <v>Error?</v>
      </c>
    </row>
    <row r="1222" spans="1:4" x14ac:dyDescent="0.2">
      <c r="A1222" s="10">
        <v>1161</v>
      </c>
      <c r="D1222" s="2" t="str">
        <f t="shared" si="18"/>
        <v>OK</v>
      </c>
    </row>
    <row r="1223" spans="1:4" x14ac:dyDescent="0.2">
      <c r="A1223" s="5">
        <v>1162</v>
      </c>
      <c r="B1223" s="138">
        <f>'Expenditures 15-22'!C127</f>
        <v>13003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13003</v>
      </c>
      <c r="C1225" s="2" t="s">
        <v>573</v>
      </c>
      <c r="D1225" s="2" t="str">
        <f t="shared" si="18"/>
        <v>Error?</v>
      </c>
    </row>
    <row r="1226" spans="1:4" x14ac:dyDescent="0.2">
      <c r="A1226" s="5">
        <v>1165</v>
      </c>
      <c r="B1226" s="138">
        <f>'Expenditures 15-22'!C151</f>
        <v>13003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2033</v>
      </c>
      <c r="D1229" s="2" t="str">
        <f t="shared" si="18"/>
        <v>Error?</v>
      </c>
    </row>
    <row r="1230" spans="1:4" x14ac:dyDescent="0.2">
      <c r="A1230" s="10">
        <v>1169</v>
      </c>
      <c r="D1230" s="2" t="str">
        <f t="shared" si="18"/>
        <v>OK</v>
      </c>
    </row>
    <row r="1231" spans="1:4" x14ac:dyDescent="0.2">
      <c r="A1231" s="5">
        <v>1170</v>
      </c>
      <c r="B1231" s="138">
        <f>'Expenditures 15-22'!D127</f>
        <v>2033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2033</v>
      </c>
      <c r="C1233" s="2" t="s">
        <v>573</v>
      </c>
      <c r="D1233" s="2" t="str">
        <f t="shared" si="18"/>
        <v>Error?</v>
      </c>
    </row>
    <row r="1234" spans="1:4" x14ac:dyDescent="0.2">
      <c r="A1234" s="5">
        <v>1173</v>
      </c>
      <c r="B1234" s="138">
        <f>'Expenditures 15-22'!D151</f>
        <v>2033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34041</v>
      </c>
      <c r="D1237" s="2" t="str">
        <f t="shared" si="18"/>
        <v>Error?</v>
      </c>
    </row>
    <row r="1238" spans="1:4" x14ac:dyDescent="0.2">
      <c r="A1238" s="10">
        <v>1177</v>
      </c>
      <c r="D1238" s="2" t="str">
        <f t="shared" si="18"/>
        <v>OK</v>
      </c>
    </row>
    <row r="1239" spans="1:4" x14ac:dyDescent="0.2">
      <c r="A1239" s="5">
        <v>1178</v>
      </c>
      <c r="B1239" s="138">
        <f>'Expenditures 15-22'!E127</f>
        <v>34041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34041</v>
      </c>
      <c r="C1241" s="2" t="s">
        <v>573</v>
      </c>
      <c r="D1241" s="2" t="str">
        <f t="shared" si="18"/>
        <v>Error?</v>
      </c>
    </row>
    <row r="1242" spans="1:4" x14ac:dyDescent="0.2">
      <c r="A1242" s="5">
        <v>1181</v>
      </c>
      <c r="B1242" s="138">
        <f>'Expenditures 15-22'!E151</f>
        <v>34041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42793</v>
      </c>
      <c r="D1245" s="2" t="str">
        <f t="shared" si="18"/>
        <v>Error?</v>
      </c>
    </row>
    <row r="1246" spans="1:4" x14ac:dyDescent="0.2">
      <c r="A1246" s="10">
        <v>1185</v>
      </c>
      <c r="D1246" s="2" t="str">
        <f t="shared" si="18"/>
        <v>OK</v>
      </c>
    </row>
    <row r="1247" spans="1:4" x14ac:dyDescent="0.2">
      <c r="A1247" s="5">
        <v>1186</v>
      </c>
      <c r="B1247" s="138">
        <f>'Expenditures 15-22'!F127</f>
        <v>42793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42793</v>
      </c>
      <c r="C1249" s="2" t="s">
        <v>573</v>
      </c>
      <c r="D1249" s="2" t="str">
        <f t="shared" si="18"/>
        <v>Error?</v>
      </c>
    </row>
    <row r="1250" spans="1:4" x14ac:dyDescent="0.2">
      <c r="A1250" s="5">
        <v>1189</v>
      </c>
      <c r="B1250" s="138">
        <f>'Expenditures 15-22'!F151</f>
        <v>42793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4700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4700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4700</v>
      </c>
      <c r="C1258" s="2" t="s">
        <v>573</v>
      </c>
      <c r="D1258" s="2" t="str">
        <f t="shared" si="18"/>
        <v>Error?</v>
      </c>
    </row>
    <row r="1259" spans="1:4" x14ac:dyDescent="0.2">
      <c r="A1259" s="5">
        <v>1198</v>
      </c>
      <c r="B1259" s="138">
        <f>'Expenditures 15-22'!G151</f>
        <v>4700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96570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96570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96570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96570</v>
      </c>
      <c r="C1288" s="2" t="s">
        <v>573</v>
      </c>
      <c r="D1288" s="2" t="str">
        <f t="shared" si="19"/>
        <v>Error?</v>
      </c>
    </row>
    <row r="1289" spans="1:4" x14ac:dyDescent="0.2">
      <c r="A1289" s="5">
        <v>1228</v>
      </c>
      <c r="B1289" s="138">
        <f>'Expenditures 15-22'!K152</f>
        <v>-26727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13323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13323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13323</v>
      </c>
      <c r="C1353" s="2" t="s">
        <v>573</v>
      </c>
      <c r="D1353" s="2" t="str">
        <f t="shared" si="20"/>
        <v>Error?</v>
      </c>
    </row>
    <row r="1354" spans="1:4" x14ac:dyDescent="0.2">
      <c r="A1354" s="5">
        <v>1293</v>
      </c>
      <c r="B1354" s="138">
        <f>'Expenditures 15-22'!F182</f>
        <v>2002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2002</v>
      </c>
      <c r="C1358" s="2" t="s">
        <v>573</v>
      </c>
      <c r="D1358" s="2" t="str">
        <f t="shared" si="20"/>
        <v>Error?</v>
      </c>
    </row>
    <row r="1359" spans="1:4" x14ac:dyDescent="0.2">
      <c r="A1359" s="5">
        <v>1298</v>
      </c>
      <c r="B1359" s="138">
        <f>'Expenditures 15-22'!F210</f>
        <v>2002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15325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15325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15325</v>
      </c>
      <c r="C1388" s="2" t="s">
        <v>573</v>
      </c>
      <c r="D1388" s="2" t="str">
        <f t="shared" si="20"/>
        <v>Error?</v>
      </c>
    </row>
    <row r="1389" spans="1:4" x14ac:dyDescent="0.2">
      <c r="A1389" s="5">
        <v>1328</v>
      </c>
      <c r="B1389" s="138">
        <f>'Expenditures 15-22'!K211</f>
        <v>-8221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160882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83436</v>
      </c>
      <c r="C1630" s="2" t="s">
        <v>573</v>
      </c>
      <c r="D1630" s="2" t="str">
        <f t="shared" si="24"/>
        <v>Error?</v>
      </c>
    </row>
    <row r="1631" spans="1:4" x14ac:dyDescent="0.2">
      <c r="A1631" s="5">
        <v>1570</v>
      </c>
      <c r="B1631" s="138">
        <f>'Acct Summary 7-8'!D79</f>
        <v>232315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205588</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39572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32866</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1105648</v>
      </c>
      <c r="D2009" s="2" t="str">
        <f t="shared" si="30"/>
        <v>Error?</v>
      </c>
    </row>
    <row r="2010" spans="1:4" x14ac:dyDescent="0.2">
      <c r="A2010" s="5">
        <v>1949</v>
      </c>
      <c r="B2010" s="138">
        <f>'Cap Outlay Deprec 26'!C10</f>
        <v>32958</v>
      </c>
      <c r="D2010" s="2" t="str">
        <f t="shared" si="30"/>
        <v>Error?</v>
      </c>
    </row>
    <row r="2011" spans="1:4" x14ac:dyDescent="0.2">
      <c r="A2011" s="5">
        <v>1950</v>
      </c>
      <c r="B2011" s="138">
        <f>'Cap Outlay Deprec 26'!C12</f>
        <v>131432</v>
      </c>
      <c r="D2011" s="2" t="str">
        <f t="shared" si="30"/>
        <v>Error?</v>
      </c>
    </row>
    <row r="2012" spans="1:4" x14ac:dyDescent="0.2">
      <c r="A2012" s="5">
        <v>1951</v>
      </c>
      <c r="B2012" s="138">
        <f>'Cap Outlay Deprec 26'!C13</f>
        <v>40675</v>
      </c>
      <c r="D2012" s="2" t="str">
        <f t="shared" si="30"/>
        <v>Error?</v>
      </c>
    </row>
    <row r="2013" spans="1:4" x14ac:dyDescent="0.2">
      <c r="A2013" s="5">
        <v>1952</v>
      </c>
      <c r="B2013" s="138">
        <f>'Cap Outlay Deprec 26'!C16</f>
        <v>1310713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4700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8027</v>
      </c>
      <c r="D2018" s="2" t="str">
        <f t="shared" si="30"/>
        <v>Error?</v>
      </c>
    </row>
    <row r="2019" spans="1:4" x14ac:dyDescent="0.2">
      <c r="A2019" s="5">
        <v>1958</v>
      </c>
      <c r="B2019" s="138">
        <f>'Cap Outlay Deprec 26'!D16</f>
        <v>12727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6680</v>
      </c>
      <c r="D2023" s="2" t="str">
        <f t="shared" si="30"/>
        <v>Error?</v>
      </c>
    </row>
    <row r="2024" spans="1:4" x14ac:dyDescent="0.2">
      <c r="A2024" s="5">
        <v>1963</v>
      </c>
      <c r="B2024" s="138">
        <f>'Cap Outlay Deprec 26'!E13</f>
        <v>21975</v>
      </c>
      <c r="D2024" s="2" t="str">
        <f t="shared" si="30"/>
        <v>Error?</v>
      </c>
    </row>
    <row r="2025" spans="1:4" x14ac:dyDescent="0.2">
      <c r="A2025" s="5">
        <v>1964</v>
      </c>
      <c r="B2025" s="138">
        <f>'Cap Outlay Deprec 26'!E16</f>
        <v>28655</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1110348</v>
      </c>
      <c r="C2027" s="2" t="s">
        <v>573</v>
      </c>
      <c r="D2027" s="2" t="str">
        <f t="shared" si="30"/>
        <v>Error?</v>
      </c>
    </row>
    <row r="2028" spans="1:4" x14ac:dyDescent="0.2">
      <c r="A2028" s="5">
        <v>1967</v>
      </c>
      <c r="B2028" s="138">
        <f>'Cap Outlay Deprec 26'!F10</f>
        <v>32958</v>
      </c>
      <c r="C2028" s="2" t="s">
        <v>573</v>
      </c>
      <c r="D2028" s="2" t="str">
        <f t="shared" si="30"/>
        <v>Error?</v>
      </c>
    </row>
    <row r="2029" spans="1:4" x14ac:dyDescent="0.2">
      <c r="A2029" s="5">
        <v>1968</v>
      </c>
      <c r="B2029" s="138">
        <f>'Cap Outlay Deprec 26'!F12</f>
        <v>124752</v>
      </c>
      <c r="C2029" s="2" t="s">
        <v>573</v>
      </c>
      <c r="D2029" s="2" t="str">
        <f t="shared" si="30"/>
        <v>Error?</v>
      </c>
    </row>
    <row r="2030" spans="1:4" x14ac:dyDescent="0.2">
      <c r="A2030" s="5">
        <v>1969</v>
      </c>
      <c r="B2030" s="138">
        <f>'Cap Outlay Deprec 26'!F13</f>
        <v>26727</v>
      </c>
      <c r="C2030" s="2" t="s">
        <v>573</v>
      </c>
      <c r="D2030" s="2" t="str">
        <f t="shared" si="30"/>
        <v>Error?</v>
      </c>
    </row>
    <row r="2031" spans="1:4" x14ac:dyDescent="0.2">
      <c r="A2031" s="5">
        <v>1970</v>
      </c>
      <c r="B2031" s="138">
        <f>'Cap Outlay Deprec 26'!F16</f>
        <v>1294785</v>
      </c>
      <c r="C2031" s="2" t="s">
        <v>573</v>
      </c>
      <c r="D2031" s="2" t="str">
        <f t="shared" si="30"/>
        <v>Error?</v>
      </c>
    </row>
    <row r="2032" spans="1:4" x14ac:dyDescent="0.2">
      <c r="A2032" s="10">
        <v>1971</v>
      </c>
      <c r="D2032" s="2" t="str">
        <f t="shared" si="30"/>
        <v>OK</v>
      </c>
    </row>
    <row r="2033" spans="1:4" x14ac:dyDescent="0.2">
      <c r="A2033" s="5">
        <v>1972</v>
      </c>
      <c r="B2033" s="138">
        <f>'Cap Outlay Deprec 26'!H8</f>
        <v>658269</v>
      </c>
      <c r="D2033" s="2" t="str">
        <f t="shared" si="30"/>
        <v>Error?</v>
      </c>
    </row>
    <row r="2034" spans="1:4" x14ac:dyDescent="0.2">
      <c r="A2034" s="5">
        <v>1973</v>
      </c>
      <c r="B2034" s="138">
        <f>'Cap Outlay Deprec 26'!H10</f>
        <v>18817</v>
      </c>
      <c r="D2034" s="2" t="str">
        <f t="shared" si="30"/>
        <v>Error?</v>
      </c>
    </row>
    <row r="2035" spans="1:4" x14ac:dyDescent="0.2">
      <c r="A2035" s="5">
        <v>1974</v>
      </c>
      <c r="B2035" s="138">
        <f>'Cap Outlay Deprec 26'!H12</f>
        <v>51866</v>
      </c>
      <c r="D2035" s="2" t="str">
        <f t="shared" si="30"/>
        <v>Error?</v>
      </c>
    </row>
    <row r="2036" spans="1:4" x14ac:dyDescent="0.2">
      <c r="A2036" s="5">
        <v>1975</v>
      </c>
      <c r="B2036" s="138">
        <f>'Cap Outlay Deprec 26'!H13</f>
        <v>40675</v>
      </c>
      <c r="D2036" s="2" t="str">
        <f t="shared" si="30"/>
        <v>Error?</v>
      </c>
    </row>
    <row r="2037" spans="1:4" x14ac:dyDescent="0.2">
      <c r="A2037" s="5">
        <v>1976</v>
      </c>
      <c r="B2037" s="138">
        <f>'Cap Outlay Deprec 26'!H16</f>
        <v>769627</v>
      </c>
      <c r="C2037" s="2" t="s">
        <v>573</v>
      </c>
      <c r="D2037" s="2" t="str">
        <f t="shared" si="30"/>
        <v>Error?</v>
      </c>
    </row>
    <row r="2038" spans="1:4" x14ac:dyDescent="0.2">
      <c r="A2038" s="10">
        <v>1977</v>
      </c>
      <c r="D2038" s="2" t="str">
        <f t="shared" si="30"/>
        <v>OK</v>
      </c>
    </row>
    <row r="2039" spans="1:4" x14ac:dyDescent="0.2">
      <c r="A2039" s="5">
        <v>1978</v>
      </c>
      <c r="B2039" s="138">
        <f>'Cap Outlay Deprec 26'!I8</f>
        <v>22197</v>
      </c>
      <c r="D2039" s="2" t="str">
        <f t="shared" si="30"/>
        <v>Error?</v>
      </c>
    </row>
    <row r="2040" spans="1:4" x14ac:dyDescent="0.2">
      <c r="A2040" s="5">
        <v>1979</v>
      </c>
      <c r="B2040" s="138">
        <f>'Cap Outlay Deprec 26'!I10</f>
        <v>1008</v>
      </c>
      <c r="D2040" s="2" t="str">
        <f t="shared" si="30"/>
        <v>Error?</v>
      </c>
    </row>
    <row r="2041" spans="1:4" x14ac:dyDescent="0.2">
      <c r="A2041" s="5">
        <v>1980</v>
      </c>
      <c r="B2041" s="138">
        <f>'Cap Outlay Deprec 26'!I12</f>
        <v>12474</v>
      </c>
      <c r="D2041" s="2" t="str">
        <f t="shared" si="30"/>
        <v>Error?</v>
      </c>
    </row>
    <row r="2042" spans="1:4" x14ac:dyDescent="0.2">
      <c r="A2042" s="5">
        <v>1981</v>
      </c>
      <c r="B2042" s="138">
        <f>'Cap Outlay Deprec 26'!I13</f>
        <v>1338</v>
      </c>
      <c r="D2042" s="2" t="str">
        <f t="shared" si="30"/>
        <v>Error?</v>
      </c>
    </row>
    <row r="2043" spans="1:4" x14ac:dyDescent="0.2">
      <c r="A2043" s="5">
        <v>1982</v>
      </c>
      <c r="B2043" s="138">
        <f>'Cap Outlay Deprec 26'!I16</f>
        <v>37017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6680</v>
      </c>
      <c r="D2047" s="2" t="str">
        <f t="shared" ref="D2047:D2110" si="31">IF(ISBLANK(B2047),"OK",IF(A2047-B2047=0,"OK","Error?"))</f>
        <v>Error?</v>
      </c>
    </row>
    <row r="2048" spans="1:4" x14ac:dyDescent="0.2">
      <c r="A2048" s="5">
        <v>1987</v>
      </c>
      <c r="B2048" s="138">
        <f>'Cap Outlay Deprec 26'!J13</f>
        <v>21975</v>
      </c>
      <c r="D2048" s="2" t="str">
        <f t="shared" si="31"/>
        <v>Error?</v>
      </c>
    </row>
    <row r="2049" spans="1:4" x14ac:dyDescent="0.2">
      <c r="A2049" s="5">
        <v>1988</v>
      </c>
      <c r="B2049" s="138">
        <f>'Cap Outlay Deprec 26'!J16</f>
        <v>28655</v>
      </c>
      <c r="C2049" s="2" t="s">
        <v>573</v>
      </c>
      <c r="D2049" s="2" t="str">
        <f t="shared" si="31"/>
        <v>Error?</v>
      </c>
    </row>
    <row r="2050" spans="1:4" x14ac:dyDescent="0.2">
      <c r="A2050" s="10">
        <v>1989</v>
      </c>
      <c r="D2050" s="2" t="str">
        <f t="shared" si="31"/>
        <v>OK</v>
      </c>
    </row>
    <row r="2051" spans="1:4" x14ac:dyDescent="0.2">
      <c r="A2051" s="5">
        <v>1990</v>
      </c>
      <c r="B2051" s="138">
        <f>'Cap Outlay Deprec 26'!K8</f>
        <v>680466</v>
      </c>
      <c r="C2051" s="2" t="s">
        <v>573</v>
      </c>
      <c r="D2051" s="2" t="str">
        <f t="shared" si="31"/>
        <v>Error?</v>
      </c>
    </row>
    <row r="2052" spans="1:4" x14ac:dyDescent="0.2">
      <c r="A2052" s="5">
        <v>1991</v>
      </c>
      <c r="B2052" s="138">
        <f>'Cap Outlay Deprec 26'!K10</f>
        <v>19825</v>
      </c>
      <c r="C2052" s="2" t="s">
        <v>573</v>
      </c>
      <c r="D2052" s="2" t="str">
        <f t="shared" si="31"/>
        <v>Error?</v>
      </c>
    </row>
    <row r="2053" spans="1:4" x14ac:dyDescent="0.2">
      <c r="A2053" s="5">
        <v>1992</v>
      </c>
      <c r="B2053" s="138">
        <f>'Cap Outlay Deprec 26'!K12</f>
        <v>57660</v>
      </c>
      <c r="C2053" s="2" t="s">
        <v>573</v>
      </c>
      <c r="D2053" s="2" t="str">
        <f t="shared" si="31"/>
        <v>Error?</v>
      </c>
    </row>
    <row r="2054" spans="1:4" x14ac:dyDescent="0.2">
      <c r="A2054" s="5">
        <v>1993</v>
      </c>
      <c r="B2054" s="138">
        <f>'Cap Outlay Deprec 26'!K13</f>
        <v>20038</v>
      </c>
      <c r="C2054" s="2" t="s">
        <v>573</v>
      </c>
      <c r="D2054" s="2" t="str">
        <f t="shared" si="31"/>
        <v>Error?</v>
      </c>
    </row>
    <row r="2055" spans="1:4" x14ac:dyDescent="0.2">
      <c r="A2055" s="5">
        <v>1994</v>
      </c>
      <c r="B2055" s="138">
        <f>'Cap Outlay Deprec 26'!K16</f>
        <v>777989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429882</v>
      </c>
      <c r="C2057" s="2" t="s">
        <v>573</v>
      </c>
      <c r="D2057" s="2" t="str">
        <f t="shared" si="31"/>
        <v>Error?</v>
      </c>
    </row>
    <row r="2058" spans="1:4" x14ac:dyDescent="0.2">
      <c r="A2058" s="5">
        <v>1997</v>
      </c>
      <c r="B2058" s="138">
        <f>'Cap Outlay Deprec 26'!L10</f>
        <v>13133</v>
      </c>
      <c r="C2058" s="2" t="s">
        <v>573</v>
      </c>
      <c r="D2058" s="2" t="str">
        <f t="shared" si="31"/>
        <v>Error?</v>
      </c>
    </row>
    <row r="2059" spans="1:4" x14ac:dyDescent="0.2">
      <c r="A2059" s="5">
        <v>1998</v>
      </c>
      <c r="B2059" s="138">
        <f>'Cap Outlay Deprec 26'!L12</f>
        <v>67092</v>
      </c>
      <c r="C2059" s="2" t="s">
        <v>573</v>
      </c>
      <c r="D2059" s="2" t="str">
        <f t="shared" si="31"/>
        <v>Error?</v>
      </c>
    </row>
    <row r="2060" spans="1:4" x14ac:dyDescent="0.2">
      <c r="A2060" s="5">
        <v>1999</v>
      </c>
      <c r="B2060" s="138">
        <f>'Cap Outlay Deprec 26'!L13</f>
        <v>6689</v>
      </c>
      <c r="C2060" s="2" t="s">
        <v>573</v>
      </c>
      <c r="D2060" s="2" t="str">
        <f t="shared" si="31"/>
        <v>Error?</v>
      </c>
    </row>
    <row r="2061" spans="1:4" x14ac:dyDescent="0.2">
      <c r="A2061" s="5">
        <v>2000</v>
      </c>
      <c r="B2061" s="138">
        <f>'Cap Outlay Deprec 26'!L16</f>
        <v>516796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457453</v>
      </c>
      <c r="C2551" s="2" t="s">
        <v>573</v>
      </c>
      <c r="D2551" s="2" t="str">
        <f t="shared" si="38"/>
        <v>Error?</v>
      </c>
    </row>
    <row r="2552" spans="1:4" x14ac:dyDescent="0.2">
      <c r="A2552" s="10">
        <v>2491</v>
      </c>
      <c r="D2552" s="2" t="str">
        <f t="shared" si="38"/>
        <v>OK</v>
      </c>
    </row>
    <row r="2553" spans="1:4" x14ac:dyDescent="0.2">
      <c r="A2553" s="5">
        <v>2492</v>
      </c>
      <c r="B2553" s="138">
        <f>'Acct Summary 7-8'!C6</f>
        <v>169248</v>
      </c>
      <c r="C2553" s="2" t="s">
        <v>573</v>
      </c>
      <c r="D2553" s="2" t="str">
        <f t="shared" si="38"/>
        <v>Error?</v>
      </c>
    </row>
    <row r="2554" spans="1:4" x14ac:dyDescent="0.2">
      <c r="A2554" s="5">
        <v>2493</v>
      </c>
      <c r="B2554" s="138">
        <f>'Acct Summary 7-8'!C7</f>
        <v>0</v>
      </c>
      <c r="C2554" s="2" t="s">
        <v>573</v>
      </c>
      <c r="D2554" s="2" t="str">
        <f t="shared" si="38"/>
        <v>Error?</v>
      </c>
    </row>
    <row r="2555" spans="1:4" x14ac:dyDescent="0.2">
      <c r="A2555" s="5">
        <v>2494</v>
      </c>
      <c r="B2555" s="138">
        <f>'Acct Summary 7-8'!C8</f>
        <v>626701</v>
      </c>
      <c r="C2555" s="2" t="s">
        <v>573</v>
      </c>
      <c r="D2555" s="2" t="str">
        <f t="shared" si="38"/>
        <v>Error?</v>
      </c>
    </row>
    <row r="2556" spans="1:4" x14ac:dyDescent="0.2">
      <c r="A2556" s="5">
        <v>2495</v>
      </c>
      <c r="B2556" s="138">
        <f>'Acct Summary 7-8'!C12</f>
        <v>494385</v>
      </c>
      <c r="C2556" s="2" t="s">
        <v>573</v>
      </c>
      <c r="D2556" s="2" t="str">
        <f t="shared" si="38"/>
        <v>Error?</v>
      </c>
    </row>
    <row r="2557" spans="1:4" x14ac:dyDescent="0.2">
      <c r="A2557" s="5">
        <v>2496</v>
      </c>
      <c r="B2557" s="138">
        <f>'Acct Summary 7-8'!C13</f>
        <v>209762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704147</v>
      </c>
      <c r="C2561" s="2" t="s">
        <v>573</v>
      </c>
      <c r="D2561" s="2" t="str">
        <f t="shared" si="39"/>
        <v>Error?</v>
      </c>
    </row>
    <row r="2562" spans="1:4" x14ac:dyDescent="0.2">
      <c r="A2562" s="5">
        <v>2501</v>
      </c>
      <c r="B2562" s="138">
        <f>'Acct Summary 7-8'!C20</f>
        <v>-77446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60251</v>
      </c>
      <c r="C2564" s="2" t="s">
        <v>573</v>
      </c>
      <c r="D2564" s="2" t="str">
        <f t="shared" si="39"/>
        <v>Error?</v>
      </c>
    </row>
    <row r="2565" spans="1:4" x14ac:dyDescent="0.2">
      <c r="A2565" s="10">
        <v>2504</v>
      </c>
      <c r="D2565" s="2" t="str">
        <f t="shared" si="39"/>
        <v>OK</v>
      </c>
    </row>
    <row r="2566" spans="1:4" x14ac:dyDescent="0.2">
      <c r="A2566" s="5">
        <v>2505</v>
      </c>
      <c r="B2566" s="138">
        <f>'Acct Summary 7-8'!D6</f>
        <v>9592</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69843</v>
      </c>
      <c r="C2568" s="2" t="s">
        <v>573</v>
      </c>
      <c r="D2568" s="2" t="str">
        <f t="shared" si="39"/>
        <v>Error?</v>
      </c>
    </row>
    <row r="2569" spans="1:4" x14ac:dyDescent="0.2">
      <c r="A2569" s="5">
        <v>2508</v>
      </c>
      <c r="B2569" s="138">
        <f>'Acct Summary 7-8'!D13</f>
        <v>96570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96570</v>
      </c>
      <c r="C2573" s="2" t="s">
        <v>573</v>
      </c>
      <c r="D2573" s="2" t="str">
        <f t="shared" si="39"/>
        <v>Error?</v>
      </c>
    </row>
    <row r="2574" spans="1:4" x14ac:dyDescent="0.2">
      <c r="A2574" s="5">
        <v>2513</v>
      </c>
      <c r="B2574" s="138">
        <f>'Acct Summary 7-8'!D20</f>
        <v>-26727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7104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7104</v>
      </c>
      <c r="C2595" s="2" t="s">
        <v>573</v>
      </c>
      <c r="D2595" s="2" t="str">
        <f t="shared" si="39"/>
        <v>Error?</v>
      </c>
    </row>
    <row r="2596" spans="1:4" x14ac:dyDescent="0.2">
      <c r="A2596" s="5">
        <v>2535</v>
      </c>
      <c r="B2596" s="138">
        <f>'Acct Summary 7-8'!F13</f>
        <v>15325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15325</v>
      </c>
      <c r="C2600" s="2" t="s">
        <v>573</v>
      </c>
      <c r="D2600" s="2" t="str">
        <f t="shared" si="39"/>
        <v>Error?</v>
      </c>
    </row>
    <row r="2601" spans="1:4" x14ac:dyDescent="0.2">
      <c r="A2601" s="5">
        <v>2540</v>
      </c>
      <c r="B2601" s="138">
        <f>'Acct Summary 7-8'!F20</f>
        <v>-8221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23062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23062</v>
      </c>
      <c r="D2914" s="2" t="str">
        <f t="shared" si="44"/>
        <v>Error?</v>
      </c>
    </row>
    <row r="2915" spans="1:4" x14ac:dyDescent="0.2">
      <c r="A2915" s="10">
        <v>2854</v>
      </c>
      <c r="D2915" s="2" t="str">
        <f t="shared" si="44"/>
        <v>OK</v>
      </c>
    </row>
    <row r="2916" spans="1:4" x14ac:dyDescent="0.2">
      <c r="A2916" s="5">
        <v>2855</v>
      </c>
      <c r="B2916" s="138">
        <f>'Assets-Liab 5-6'!L34</f>
        <v>23062</v>
      </c>
      <c r="C2916" s="2" t="s">
        <v>573</v>
      </c>
      <c r="D2916" s="2" t="str">
        <f t="shared" si="44"/>
        <v>Error?</v>
      </c>
    </row>
    <row r="2917" spans="1:4" x14ac:dyDescent="0.2">
      <c r="A2917" s="5">
        <v>2856</v>
      </c>
      <c r="B2917" s="138">
        <f>'Assets-Liab 5-6'!L41</f>
        <v>23062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-77446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-26727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1515</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1515</v>
      </c>
      <c r="C3255" s="2" t="s">
        <v>573</v>
      </c>
      <c r="D3255" s="2" t="str">
        <f t="shared" si="49"/>
        <v>Error?</v>
      </c>
    </row>
    <row r="3256" spans="1:4" x14ac:dyDescent="0.2">
      <c r="A3256" s="5">
        <v>3195</v>
      </c>
      <c r="B3256" s="138">
        <f>'Acct Summary 7-8'!F78</f>
        <v>-6706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73436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205588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32866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23062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1515</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356438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983139</v>
      </c>
      <c r="C4122" s="2" t="s">
        <v>573</v>
      </c>
      <c r="D4122" s="2" t="str">
        <f t="shared" si="63"/>
        <v>Error?</v>
      </c>
    </row>
    <row r="4123" spans="1:4" x14ac:dyDescent="0.2">
      <c r="A4123" s="5">
        <v>4062</v>
      </c>
      <c r="B4123" s="138">
        <f>'Acct Summary 7-8'!D10</f>
        <v>69843</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7104</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356438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1060585</v>
      </c>
      <c r="C4136" s="2" t="s">
        <v>573</v>
      </c>
      <c r="D4136" s="2" t="str">
        <f t="shared" si="63"/>
        <v>Error?</v>
      </c>
    </row>
    <row r="4137" spans="1:4" x14ac:dyDescent="0.2">
      <c r="A4137" s="5">
        <v>4076</v>
      </c>
      <c r="B4137" s="138">
        <f>'Acct Summary 7-8'!D19</f>
        <v>96570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15325</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321890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441121</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441121</v>
      </c>
      <c r="C5087" s="2" t="s">
        <v>573</v>
      </c>
      <c r="D5087" s="2" t="str">
        <f t="shared" si="78"/>
        <v>Error?</v>
      </c>
    </row>
    <row r="5088" spans="1:4" x14ac:dyDescent="0.2">
      <c r="A5088" s="5">
        <v>5027</v>
      </c>
      <c r="B5088" s="138">
        <f>'Revenues 9-14'!C65</f>
        <v>771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771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7327</v>
      </c>
      <c r="D5117" s="2" t="str">
        <f t="shared" si="78"/>
        <v>Error?</v>
      </c>
    </row>
    <row r="5118" spans="1:4" x14ac:dyDescent="0.2">
      <c r="A5118" s="5">
        <v>5057</v>
      </c>
      <c r="B5118" s="138">
        <f>'Revenues 9-14'!C106</f>
        <v>7075</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15561</v>
      </c>
      <c r="C5120" s="2" t="s">
        <v>573</v>
      </c>
      <c r="D5120" s="2" t="str">
        <f t="shared" si="79"/>
        <v>Error?</v>
      </c>
    </row>
    <row r="5121" spans="1:4" x14ac:dyDescent="0.2">
      <c r="A5121" s="5">
        <v>5060</v>
      </c>
      <c r="B5121" s="138">
        <f>'Revenues 9-14'!C109</f>
        <v>457453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32831</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136417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169248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169248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169248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0</v>
      </c>
      <c r="C5326" s="2" t="s">
        <v>573</v>
      </c>
      <c r="D5326" s="2" t="str">
        <f t="shared" si="82"/>
        <v>Error?</v>
      </c>
    </row>
    <row r="5327" spans="1:5" x14ac:dyDescent="0.2">
      <c r="A5327" s="5">
        <v>5266</v>
      </c>
      <c r="B5327" s="138">
        <f>'Revenues 9-14'!C268</f>
        <v>626701</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10251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50000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60251</v>
      </c>
      <c r="C5355" s="2" t="s">
        <v>573</v>
      </c>
      <c r="D5355" s="2" t="str">
        <f t="shared" si="82"/>
        <v>Error?</v>
      </c>
    </row>
    <row r="5356" spans="1:4" x14ac:dyDescent="0.2">
      <c r="A5356" s="5">
        <v>5295</v>
      </c>
      <c r="B5356" s="138">
        <f>'Revenues 9-14'!D109</f>
        <v>60251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9592</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9592</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69843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7104</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7104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7104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7104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7104</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10000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-77446</v>
      </c>
      <c r="D6267" s="2" t="str">
        <f t="shared" si="96"/>
        <v>Error?</v>
      </c>
      <c r="E6267" s="2" t="s">
        <v>190</v>
      </c>
    </row>
    <row r="6268" spans="1:5" x14ac:dyDescent="0.2">
      <c r="A6268">
        <v>6207</v>
      </c>
      <c r="B6268" s="138">
        <f>'Acct Summary 7-8'!D82</f>
        <v>-26727</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-6706</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-0.92820844719305817</v>
      </c>
      <c r="D6276" s="2" t="str">
        <f t="shared" si="97"/>
        <v>Error?</v>
      </c>
      <c r="E6276" s="2" t="s">
        <v>190</v>
      </c>
    </row>
    <row r="6277" spans="1:5" x14ac:dyDescent="0.2">
      <c r="A6277">
        <v>6216</v>
      </c>
      <c r="B6277" s="138">
        <f>'Acct Summary 7-8'!D83</f>
        <v>-0.13000272389439071</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-0.20404064991176291</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1159</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9592</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412</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412</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37017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1E-3</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1989</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Jo Daviess Carroll CTE</v>
      </c>
      <c r="B7" s="2386"/>
      <c r="C7" s="2386"/>
      <c r="D7" s="2423"/>
      <c r="E7" s="2424">
        <f>COVER!A13</f>
        <v>8043790040</v>
      </c>
      <c r="F7" s="2425"/>
      <c r="G7" s="2392" t="str">
        <f>COVER!T23</f>
        <v>066-004238</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BENNING GROUP, LLC</v>
      </c>
      <c r="H9" s="2399"/>
      <c r="I9" s="2399"/>
      <c r="J9" s="2399"/>
      <c r="K9" s="2399"/>
      <c r="L9" s="2400"/>
    </row>
    <row r="10" spans="1:29" ht="13.5" customHeight="1" x14ac:dyDescent="0.2">
      <c r="A10" s="2382" t="str">
        <f>COVER!A38</f>
        <v>Kris Hall</v>
      </c>
      <c r="B10" s="2383"/>
      <c r="C10" s="2383"/>
      <c r="D10" s="2383"/>
      <c r="E10" s="2383"/>
      <c r="F10" s="2384"/>
      <c r="G10" s="2398" t="str">
        <f>COVER!T17</f>
        <v>50 W. DOUGLAS STREET, SUITE 801</v>
      </c>
      <c r="H10" s="2411"/>
      <c r="I10" s="2411"/>
      <c r="J10" s="2411"/>
      <c r="K10" s="2411"/>
      <c r="L10" s="2412"/>
    </row>
    <row r="11" spans="1:29" ht="13.5" customHeight="1" x14ac:dyDescent="0.2">
      <c r="A11" s="1184" t="s">
        <v>1519</v>
      </c>
      <c r="B11" s="1185"/>
      <c r="C11" s="1186"/>
      <c r="D11" s="1191"/>
      <c r="E11" s="1186"/>
      <c r="F11" s="1190"/>
      <c r="G11" s="2398" t="str">
        <f>COVER!T19</f>
        <v>FREEPORT</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jblocker@benninggroup.com</v>
      </c>
      <c r="J13" s="2420"/>
      <c r="K13" s="2420"/>
      <c r="L13" s="2421"/>
    </row>
    <row r="14" spans="1:29" ht="13.5" customHeight="1" x14ac:dyDescent="0.2">
      <c r="A14" s="2398" t="str">
        <f>COVER!A19</f>
        <v>950 US HWY 20 West, P.O. Box 602</v>
      </c>
      <c r="B14" s="2411"/>
      <c r="C14" s="2411"/>
      <c r="D14" s="2411"/>
      <c r="E14" s="2411"/>
      <c r="F14" s="2412"/>
      <c r="G14" s="1195" t="s">
        <v>1185</v>
      </c>
      <c r="H14" s="1193"/>
      <c r="I14" s="1193"/>
      <c r="J14" s="1193"/>
      <c r="K14" s="1193"/>
      <c r="L14" s="1194"/>
    </row>
    <row r="15" spans="1:29" ht="13.5" customHeight="1" x14ac:dyDescent="0.2">
      <c r="A15" s="2398" t="str">
        <f>COVER!A21</f>
        <v>Elizabeth</v>
      </c>
      <c r="B15" s="2411"/>
      <c r="C15" s="2411"/>
      <c r="D15" s="2411"/>
      <c r="E15" s="2411"/>
      <c r="F15" s="2412"/>
      <c r="G15" s="2408" t="str">
        <f>COVER!T15</f>
        <v>JENNY L. BLOCKER</v>
      </c>
      <c r="H15" s="2409"/>
      <c r="I15" s="2409"/>
      <c r="J15" s="2409"/>
      <c r="K15" s="2409"/>
      <c r="L15" s="2410"/>
    </row>
    <row r="16" spans="1:29" ht="12.2" customHeight="1" x14ac:dyDescent="0.2">
      <c r="A16" s="2388">
        <f>COVER!A25</f>
        <v>61028</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815/235-3157</v>
      </c>
      <c r="H18" s="2386"/>
      <c r="I18" s="2386"/>
      <c r="J18" s="2386"/>
      <c r="K18" s="2385" t="str">
        <f>COVER!X21</f>
        <v>815/235-3158</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Jo Daviess Carroll CTE</v>
      </c>
      <c r="B1" s="2422"/>
      <c r="C1" s="2422"/>
      <c r="D1" s="2422"/>
    </row>
    <row r="2" spans="1:11" s="1212" customFormat="1" ht="12.75" x14ac:dyDescent="0.2">
      <c r="A2" s="2427">
        <f>'Single Audit Cover'!E7</f>
        <v>8043790040</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Jo Daviess Carroll CTE</v>
      </c>
      <c r="B1" s="2430"/>
      <c r="C1" s="2430"/>
      <c r="D1" s="2430"/>
      <c r="E1" s="2430"/>
    </row>
    <row r="2" spans="1:5" x14ac:dyDescent="0.2">
      <c r="A2" s="2431">
        <f>'Single Audit Cover'!E7</f>
        <v>8043790040</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Jo Daviess Carroll CTE</v>
      </c>
      <c r="C1" s="2434"/>
      <c r="D1" s="2434"/>
      <c r="E1" s="2434"/>
      <c r="F1" s="2434"/>
      <c r="G1" s="2434"/>
      <c r="H1" s="2434"/>
      <c r="I1" s="2434"/>
      <c r="J1" s="2434"/>
      <c r="K1" s="2434"/>
      <c r="L1" s="2434"/>
      <c r="M1" s="2434"/>
    </row>
    <row r="2" spans="2:14" ht="15" x14ac:dyDescent="0.2">
      <c r="B2" s="2435">
        <f>'Single Audit Cover'!E7</f>
        <v>8043790040</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Jo Daviess Carroll CTE</v>
      </c>
      <c r="B1" s="2439"/>
      <c r="C1" s="2439"/>
      <c r="D1" s="2439"/>
      <c r="E1" s="2439"/>
      <c r="F1" s="2439"/>
    </row>
    <row r="2" spans="1:7" ht="13.5" customHeight="1" x14ac:dyDescent="0.2">
      <c r="A2" s="2435">
        <f>'Single Audit Cover'!E7</f>
        <v>8043790040</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 colorId="8" zoomScale="110" zoomScaleNormal="110" workbookViewId="0">
      <selection activeCell="E115" sqref="E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2064</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Jo Daviess Carroll CTE</v>
      </c>
      <c r="C1" s="2455"/>
      <c r="D1" s="2455"/>
      <c r="E1" s="2455"/>
      <c r="F1" s="2455"/>
      <c r="G1" s="2455"/>
      <c r="H1" s="2455"/>
      <c r="I1" s="2455"/>
      <c r="J1" s="1406"/>
    </row>
    <row r="2" spans="2:10" s="317" customFormat="1" ht="12.75" customHeight="1" x14ac:dyDescent="0.2">
      <c r="B2" s="2456">
        <f>'Single Audit Cover'!E7</f>
        <v>8043790040</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1841</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Jo Daviess Carroll CTE</v>
      </c>
      <c r="C1" s="2454"/>
      <c r="D1" s="2454"/>
      <c r="E1" s="2454"/>
      <c r="F1" s="2454"/>
      <c r="G1" s="2454"/>
      <c r="H1" s="2454"/>
      <c r="I1" s="2454"/>
      <c r="J1" s="2454"/>
      <c r="K1" s="2454"/>
      <c r="L1" s="1371"/>
      <c r="M1" s="1371"/>
    </row>
    <row r="2" spans="1:13" ht="12" customHeight="1" x14ac:dyDescent="0.2">
      <c r="B2" s="2456">
        <f>'Single Audit Cover'!E7</f>
        <v>8043790040</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Jo Daviess Carroll CTE</v>
      </c>
      <c r="C1" s="2481"/>
      <c r="D1" s="2481"/>
      <c r="E1" s="2481"/>
      <c r="F1" s="2481"/>
      <c r="G1" s="2481"/>
      <c r="H1" s="2481"/>
      <c r="I1" s="2481"/>
      <c r="J1" s="2481"/>
      <c r="K1" s="2481"/>
      <c r="L1" s="1449"/>
    </row>
    <row r="2" spans="1:12" ht="12.75" customHeight="1" x14ac:dyDescent="0.2">
      <c r="B2" s="2482">
        <f>'Single Audit Cover'!E7</f>
        <v>8043790040</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Jo Daviess Carroll CTE</v>
      </c>
      <c r="C1" s="2454"/>
      <c r="D1" s="2454"/>
      <c r="E1" s="1469"/>
    </row>
    <row r="2" spans="2:5" s="1279" customFormat="1" ht="12.75" customHeight="1" x14ac:dyDescent="0.2">
      <c r="B2" s="2456">
        <f>'Single Audit Cover'!E7</f>
        <v>8043790040</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5"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703648</v>
      </c>
      <c r="E16" s="356"/>
      <c r="F16" s="1733">
        <f>SUM('Acct Summary 7-8'!C17,'Acct Summary 7-8'!D17,'Acct Summary 7-8'!F17)</f>
        <v>816042</v>
      </c>
      <c r="G16" s="356"/>
      <c r="H16" s="1733">
        <f>SUM(D16-F16)</f>
        <v>-112394</v>
      </c>
      <c r="I16" s="222"/>
      <c r="J16" s="1733">
        <f>SUM('Acct Summary 7-8'!C81,'Acct Summary 7-8'!D81,'Acct Summary 7-8'!F81,'Acct Summary 7-8'!I81)</f>
        <v>321890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Jo Daviess Carroll CTE</v>
      </c>
      <c r="E7" s="391"/>
      <c r="G7" s="252"/>
      <c r="H7" s="387"/>
      <c r="I7" s="387"/>
      <c r="J7" s="387"/>
      <c r="K7" s="387"/>
      <c r="L7" s="329"/>
      <c r="M7" s="329"/>
      <c r="N7" s="329"/>
      <c r="O7" s="329"/>
      <c r="P7" s="329"/>
    </row>
    <row r="8" spans="1:18" ht="12.75" x14ac:dyDescent="0.2">
      <c r="A8" s="329"/>
      <c r="B8" s="329"/>
      <c r="C8" s="389" t="s">
        <v>1125</v>
      </c>
      <c r="D8" s="392">
        <f>COVER!A13</f>
        <v>8043790040</v>
      </c>
      <c r="E8" s="393"/>
      <c r="G8" s="329"/>
      <c r="H8" s="329"/>
      <c r="I8" s="329"/>
      <c r="J8" s="329"/>
      <c r="K8" s="329"/>
      <c r="L8" s="329"/>
      <c r="M8" s="329"/>
      <c r="N8" s="329"/>
      <c r="O8" s="329"/>
      <c r="P8" s="329"/>
    </row>
    <row r="9" spans="1:18" ht="12.75" x14ac:dyDescent="0.2">
      <c r="A9" s="329"/>
      <c r="B9" s="329"/>
      <c r="C9" s="389" t="s">
        <v>713</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321890</v>
      </c>
      <c r="I12" s="404"/>
      <c r="J12" s="404"/>
      <c r="K12" s="405">
        <f>TRUNC((H12/H13*100000),5)/100000</f>
        <v>0.457458843</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703648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816042</v>
      </c>
      <c r="I17" s="404"/>
      <c r="J17" s="416"/>
      <c r="K17" s="405">
        <f>TRUNC((H17/H18*100000),5)/100000</f>
        <v>1.1597304333</v>
      </c>
      <c r="L17" s="406"/>
      <c r="M17" s="417" t="s">
        <v>1171</v>
      </c>
      <c r="O17" s="418" t="str">
        <f>IF(AND(O16="2", J20 &gt; 2),"1",IF(AND(O16 = "1", J20 &gt; 2),"2",IF(AND(O16="1", J20 &gt;1),"1","0")))</f>
        <v>1</v>
      </c>
      <c r="P17" s="218"/>
    </row>
    <row r="18" spans="1:18" s="408" customFormat="1" ht="11.25" x14ac:dyDescent="0.2">
      <c r="A18" s="218"/>
      <c r="B18" s="401"/>
      <c r="C18" s="2102" t="s">
        <v>1317</v>
      </c>
      <c r="D18" s="2103"/>
      <c r="E18" s="218"/>
      <c r="F18" s="419" t="s">
        <v>794</v>
      </c>
      <c r="G18" s="402"/>
      <c r="H18" s="403">
        <f>SUM('Acct Summary 7-8'!C8+'Acct Summary 7-8'!D8+'Acct Summary 7-8'!F8+'Acct Summary 7-8'!I8)+H19</f>
        <v>703648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2.2378881000000002</v>
      </c>
      <c r="K20" s="405">
        <f>IF(K17&lt;=1,"0",IF(AND(O16="2", J20 &gt; 2),TRUNC(((K12-0.1)/(K17-1)*100),5)/100,IF(AND(O16 = "1", J20 &gt; 2),TRUNC(((K12-0.1)/(K17-1)*100),5)/100,IF(AND(O16="1", J20 &gt;1),TRUNC(((K12-0.1)/(K17-1)*100),5)/100,""))))</f>
        <v>2.2378881000000002</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311890</v>
      </c>
      <c r="I24" s="422"/>
      <c r="J24" s="422"/>
      <c r="K24" s="423">
        <f>TRUNC(((H24/H25*100000)/100000),2)</f>
        <v>137.59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2266.7833300000002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73436</v>
      </c>
      <c r="D4" s="466">
        <v>205588</v>
      </c>
      <c r="E4" s="466"/>
      <c r="F4" s="466">
        <v>32866</v>
      </c>
      <c r="G4" s="466"/>
      <c r="H4" s="466"/>
      <c r="I4" s="466"/>
      <c r="J4" s="467"/>
      <c r="K4" s="466"/>
      <c r="L4" s="466">
        <v>23062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10000</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83436</v>
      </c>
      <c r="D13" s="1737">
        <f t="shared" ref="D13:L13" si="0">SUM(D4:D12)</f>
        <v>205588</v>
      </c>
      <c r="E13" s="1737">
        <f t="shared" si="0"/>
        <v>0</v>
      </c>
      <c r="F13" s="1737">
        <f t="shared" si="0"/>
        <v>32866</v>
      </c>
      <c r="G13" s="1737">
        <f t="shared" si="0"/>
        <v>0</v>
      </c>
      <c r="H13" s="1737">
        <f t="shared" si="0"/>
        <v>0</v>
      </c>
      <c r="I13" s="1737">
        <f t="shared" si="0"/>
        <v>0</v>
      </c>
      <c r="J13" s="1737">
        <f t="shared" si="0"/>
        <v>0</v>
      </c>
      <c r="K13" s="1737">
        <f t="shared" si="0"/>
        <v>0</v>
      </c>
      <c r="L13" s="1737">
        <f t="shared" si="0"/>
        <v>23062</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1110348</v>
      </c>
      <c r="N17" s="484"/>
    </row>
    <row r="18" spans="1:14" s="485" customFormat="1" ht="12.75" customHeight="1" x14ac:dyDescent="0.2">
      <c r="A18" s="482" t="s">
        <v>1404</v>
      </c>
      <c r="B18" s="483">
        <v>240</v>
      </c>
      <c r="C18" s="477"/>
      <c r="D18" s="477"/>
      <c r="E18" s="477"/>
      <c r="F18" s="477"/>
      <c r="G18" s="477"/>
      <c r="H18" s="477"/>
      <c r="I18" s="477"/>
      <c r="J18" s="477"/>
      <c r="K18" s="477"/>
      <c r="L18" s="477"/>
      <c r="M18" s="467">
        <v>32958</v>
      </c>
      <c r="N18" s="484"/>
    </row>
    <row r="19" spans="1:14" s="485" customFormat="1" ht="12.75" customHeight="1" x14ac:dyDescent="0.2">
      <c r="A19" s="482" t="s">
        <v>1405</v>
      </c>
      <c r="B19" s="483">
        <v>250</v>
      </c>
      <c r="C19" s="477"/>
      <c r="D19" s="477"/>
      <c r="E19" s="477"/>
      <c r="F19" s="477"/>
      <c r="G19" s="477"/>
      <c r="H19" s="477"/>
      <c r="I19" s="477"/>
      <c r="J19" s="477"/>
      <c r="K19" s="477"/>
      <c r="L19" s="477"/>
      <c r="M19" s="467">
        <v>151479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1294785</v>
      </c>
      <c r="N23" s="1688">
        <f>SUM(N21:N22)</f>
        <v>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23062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23062</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83436</v>
      </c>
      <c r="D39" s="466">
        <v>205588</v>
      </c>
      <c r="E39" s="466"/>
      <c r="F39" s="466">
        <v>32866</v>
      </c>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1294785</v>
      </c>
      <c r="N40" s="497"/>
    </row>
    <row r="41" spans="1:14" ht="13.5" customHeight="1" thickBot="1" x14ac:dyDescent="0.25">
      <c r="A41" s="1736" t="s">
        <v>655</v>
      </c>
      <c r="B41" s="1706"/>
      <c r="C41" s="1688">
        <f>(SUM(C34,C37,C38,C39))</f>
        <v>83436</v>
      </c>
      <c r="D41" s="1688">
        <f t="shared" ref="D41:L41" si="2">SUM(D34,D37,D38:D39)</f>
        <v>205588</v>
      </c>
      <c r="E41" s="1688">
        <f t="shared" si="2"/>
        <v>0</v>
      </c>
      <c r="F41" s="1688">
        <f t="shared" si="2"/>
        <v>32866</v>
      </c>
      <c r="G41" s="1688">
        <f t="shared" si="2"/>
        <v>0</v>
      </c>
      <c r="H41" s="1688">
        <f t="shared" si="2"/>
        <v>0</v>
      </c>
      <c r="I41" s="1688">
        <f t="shared" si="2"/>
        <v>0</v>
      </c>
      <c r="J41" s="1688">
        <f t="shared" si="2"/>
        <v>0</v>
      </c>
      <c r="K41" s="1688">
        <f t="shared" si="2"/>
        <v>0</v>
      </c>
      <c r="L41" s="1688">
        <f t="shared" si="2"/>
        <v>23062</v>
      </c>
      <c r="M41" s="1688">
        <f>SUM(M40)</f>
        <v>1294785</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H13" sqref="H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457453</v>
      </c>
      <c r="D4" s="1742">
        <f>'Revenues 9-14'!D109</f>
        <v>60251</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169248</v>
      </c>
      <c r="D6" s="1743">
        <f>'Revenues 9-14'!D170</f>
        <v>9592</v>
      </c>
      <c r="E6" s="1743">
        <f>'Revenues 9-14'!E170</f>
        <v>0</v>
      </c>
      <c r="F6" s="1743">
        <f>'Revenues 9-14'!F170</f>
        <v>7104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626701</v>
      </c>
      <c r="D8" s="1688">
        <f t="shared" ref="D8:K8" si="0">SUM(D4:D7)</f>
        <v>69843</v>
      </c>
      <c r="E8" s="1688">
        <f t="shared" si="0"/>
        <v>0</v>
      </c>
      <c r="F8" s="1688">
        <f t="shared" si="0"/>
        <v>7104</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356438</v>
      </c>
      <c r="D9" s="516"/>
      <c r="E9" s="481"/>
      <c r="F9" s="481"/>
      <c r="G9" s="517"/>
      <c r="H9" s="481"/>
      <c r="I9" s="509" t="s">
        <v>1169</v>
      </c>
      <c r="J9" s="478"/>
      <c r="K9" s="481"/>
      <c r="L9" s="347"/>
    </row>
    <row r="10" spans="1:13" s="519" customFormat="1" ht="13.5" thickBot="1" x14ac:dyDescent="0.25">
      <c r="A10" s="1736" t="s">
        <v>1173</v>
      </c>
      <c r="B10" s="1709"/>
      <c r="C10" s="1688">
        <f>SUM(C8:C9)</f>
        <v>983139</v>
      </c>
      <c r="D10" s="1688">
        <f t="shared" ref="D10:K10" si="1">SUM(D8:D9)</f>
        <v>69843</v>
      </c>
      <c r="E10" s="1688">
        <f t="shared" si="1"/>
        <v>0</v>
      </c>
      <c r="F10" s="1688">
        <f t="shared" si="1"/>
        <v>7104</v>
      </c>
      <c r="G10" s="1688">
        <f t="shared" si="1"/>
        <v>0</v>
      </c>
      <c r="H10" s="1688">
        <f t="shared" si="1"/>
        <v>0</v>
      </c>
      <c r="I10" s="1688">
        <f t="shared" si="1"/>
        <v>0</v>
      </c>
      <c r="J10" s="1688">
        <f t="shared" si="1"/>
        <v>0</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494385</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209762</v>
      </c>
      <c r="D13" s="1743">
        <f>'Expenditures 15-22'!K129</f>
        <v>96570</v>
      </c>
      <c r="E13" s="469" t="s">
        <v>1169</v>
      </c>
      <c r="F13" s="1743">
        <f>'Expenditures 15-22'!K184</f>
        <v>15325</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704147</v>
      </c>
      <c r="D17" s="1688">
        <f t="shared" si="2"/>
        <v>96570</v>
      </c>
      <c r="E17" s="1688">
        <f t="shared" si="2"/>
        <v>0</v>
      </c>
      <c r="F17" s="1688">
        <f t="shared" si="2"/>
        <v>15325</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356438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1060585</v>
      </c>
      <c r="D19" s="1688">
        <f t="shared" si="4"/>
        <v>96570</v>
      </c>
      <c r="E19" s="1688">
        <f t="shared" si="4"/>
        <v>0</v>
      </c>
      <c r="F19" s="1688">
        <f t="shared" si="4"/>
        <v>15325</v>
      </c>
      <c r="G19" s="1688">
        <f t="shared" si="4"/>
        <v>0</v>
      </c>
      <c r="H19" s="1688">
        <f t="shared" si="4"/>
        <v>0</v>
      </c>
      <c r="I19" s="468"/>
      <c r="J19" s="1688">
        <f>SUM(J17:J18)</f>
        <v>0</v>
      </c>
      <c r="K19" s="1688">
        <f>SUM(K17:K18)</f>
        <v>0</v>
      </c>
      <c r="L19" s="347"/>
    </row>
    <row r="20" spans="1:12" ht="16.5" thickTop="1" thickBot="1" x14ac:dyDescent="0.25">
      <c r="A20" s="2127" t="s">
        <v>1655</v>
      </c>
      <c r="B20" s="2128"/>
      <c r="C20" s="1746">
        <f>C8-C17</f>
        <v>-77446</v>
      </c>
      <c r="D20" s="1746">
        <f t="shared" ref="D20:K20" si="5">D8-D17</f>
        <v>-26727</v>
      </c>
      <c r="E20" s="1746">
        <f t="shared" si="5"/>
        <v>0</v>
      </c>
      <c r="F20" s="1746">
        <f t="shared" si="5"/>
        <v>-8221</v>
      </c>
      <c r="G20" s="1746">
        <f t="shared" si="5"/>
        <v>0</v>
      </c>
      <c r="H20" s="1746">
        <f t="shared" si="5"/>
        <v>0</v>
      </c>
      <c r="I20" s="1746">
        <f t="shared" si="5"/>
        <v>0</v>
      </c>
      <c r="J20" s="1746">
        <f t="shared" si="5"/>
        <v>0</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v>1515</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1515</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1515</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-77446</v>
      </c>
      <c r="D78" s="1702">
        <f t="shared" si="9"/>
        <v>-26727</v>
      </c>
      <c r="E78" s="1702">
        <f t="shared" si="9"/>
        <v>0</v>
      </c>
      <c r="F78" s="1702">
        <f t="shared" si="9"/>
        <v>-6706</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160882</v>
      </c>
      <c r="D79" s="535">
        <v>232315</v>
      </c>
      <c r="E79" s="535"/>
      <c r="F79" s="535">
        <v>39572</v>
      </c>
      <c r="G79" s="535"/>
      <c r="H79" s="535"/>
      <c r="I79" s="535"/>
      <c r="J79" s="535"/>
      <c r="K79" s="535"/>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8">
        <f>(SUM(C78:C80))</f>
        <v>83436</v>
      </c>
      <c r="D81" s="1688">
        <f>SUM(D78:D80)</f>
        <v>205588</v>
      </c>
      <c r="E81" s="1688">
        <f t="shared" ref="E81:K81" si="10">SUM(E78:E80)</f>
        <v>0</v>
      </c>
      <c r="F81" s="1688">
        <f t="shared" si="10"/>
        <v>32866</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-77446</v>
      </c>
      <c r="D82" s="538">
        <f t="shared" ref="D82:K82" si="11">(D81-D79)</f>
        <v>-26727</v>
      </c>
      <c r="E82" s="538">
        <f t="shared" si="11"/>
        <v>0</v>
      </c>
      <c r="F82" s="538">
        <f t="shared" si="11"/>
        <v>-6706</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-0.92820844719305817</v>
      </c>
      <c r="D83" s="540">
        <f t="shared" ref="D83:K83" si="12">D82/D81</f>
        <v>-0.13000272389439071</v>
      </c>
      <c r="E83" s="540" t="e">
        <f t="shared" si="12"/>
        <v>#DIV/0!</v>
      </c>
      <c r="F83" s="540">
        <f t="shared" si="12"/>
        <v>-0.20404064991176291</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 activePane="bottomLeft" state="frozen"/>
      <selection pane="bottomLeft" activeCell="C29" sqref="C2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441121</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441121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771</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771</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10251</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1159</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v>50000</v>
      </c>
      <c r="E104" s="481"/>
      <c r="F104" s="467"/>
      <c r="G104" s="467"/>
      <c r="H104" s="466"/>
      <c r="I104" s="468"/>
      <c r="J104" s="468"/>
      <c r="K104" s="468"/>
    </row>
    <row r="105" spans="1:12" ht="12.75" customHeight="1" x14ac:dyDescent="0.2">
      <c r="A105" s="463" t="s">
        <v>822</v>
      </c>
      <c r="B105" s="470">
        <v>1992</v>
      </c>
      <c r="C105" s="466">
        <v>7327</v>
      </c>
      <c r="D105" s="561"/>
      <c r="E105" s="468"/>
      <c r="F105" s="468"/>
      <c r="G105" s="468"/>
      <c r="H105" s="510"/>
      <c r="I105" s="468"/>
      <c r="J105" s="468"/>
      <c r="K105" s="468"/>
    </row>
    <row r="106" spans="1:12" ht="12.75" customHeight="1" x14ac:dyDescent="0.2">
      <c r="A106" s="463" t="s">
        <v>1430</v>
      </c>
      <c r="B106" s="470">
        <v>1993</v>
      </c>
      <c r="C106" s="466">
        <v>7075</v>
      </c>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15561</v>
      </c>
      <c r="D108" s="1707">
        <f t="shared" ref="D108:K108" si="3">SUM(D95:D107)</f>
        <v>60251</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457453</v>
      </c>
      <c r="D109" s="1715">
        <f t="shared" si="4"/>
        <v>60251</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32831</v>
      </c>
      <c r="D134" s="466"/>
      <c r="E134" s="561"/>
      <c r="F134" s="468"/>
      <c r="G134" s="466"/>
      <c r="H134" s="468"/>
      <c r="I134" s="468"/>
      <c r="J134" s="468"/>
      <c r="K134" s="468"/>
    </row>
    <row r="135" spans="1:11" ht="12.75" customHeight="1" x14ac:dyDescent="0.2">
      <c r="A135" s="463" t="s">
        <v>669</v>
      </c>
      <c r="B135" s="562">
        <v>3220</v>
      </c>
      <c r="C135" s="551">
        <v>136417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169248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7104</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7104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v>9592</v>
      </c>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169248</v>
      </c>
      <c r="D169" s="1722">
        <f t="shared" si="6"/>
        <v>9592</v>
      </c>
      <c r="E169" s="1722">
        <f t="shared" si="6"/>
        <v>0</v>
      </c>
      <c r="F169" s="1722">
        <f t="shared" si="6"/>
        <v>7104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169248</v>
      </c>
      <c r="D170" s="1715">
        <f t="shared" si="7"/>
        <v>9592</v>
      </c>
      <c r="E170" s="1715">
        <f t="shared" si="7"/>
        <v>0</v>
      </c>
      <c r="F170" s="1715">
        <f t="shared" si="7"/>
        <v>7104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626701</v>
      </c>
      <c r="D268" s="1715">
        <f t="shared" si="12"/>
        <v>69843</v>
      </c>
      <c r="E268" s="1715">
        <f t="shared" si="12"/>
        <v>0</v>
      </c>
      <c r="F268" s="1715">
        <f t="shared" si="12"/>
        <v>7104</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1" activePane="bottomLeft" state="frozen"/>
      <selection pane="bottomLeft" activeCell="L45" sqref="L4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v>412</v>
      </c>
      <c r="G11" s="467"/>
      <c r="H11" s="467"/>
      <c r="I11" s="467"/>
      <c r="J11" s="467"/>
      <c r="K11" s="1671">
        <f t="shared" si="0"/>
        <v>412</v>
      </c>
      <c r="L11" s="466">
        <v>600</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370044</v>
      </c>
      <c r="D13" s="466">
        <v>70523</v>
      </c>
      <c r="E13" s="466">
        <v>10748</v>
      </c>
      <c r="F13" s="466">
        <v>42330</v>
      </c>
      <c r="G13" s="466"/>
      <c r="H13" s="466">
        <v>328</v>
      </c>
      <c r="I13" s="467"/>
      <c r="J13" s="467"/>
      <c r="K13" s="1671">
        <f t="shared" si="0"/>
        <v>493973</v>
      </c>
      <c r="L13" s="466">
        <v>479331</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370044</v>
      </c>
      <c r="D33" s="1670">
        <f t="shared" ref="D33:L33" si="1">SUM(D5:D32)</f>
        <v>70523</v>
      </c>
      <c r="E33" s="1670">
        <f t="shared" si="1"/>
        <v>10748</v>
      </c>
      <c r="F33" s="1670">
        <f t="shared" si="1"/>
        <v>42742</v>
      </c>
      <c r="G33" s="1670">
        <f t="shared" si="1"/>
        <v>0</v>
      </c>
      <c r="H33" s="1670">
        <f t="shared" si="1"/>
        <v>328</v>
      </c>
      <c r="I33" s="1670">
        <f t="shared" si="1"/>
        <v>0</v>
      </c>
      <c r="J33" s="1670">
        <f t="shared" si="1"/>
        <v>0</v>
      </c>
      <c r="K33" s="1670">
        <f t="shared" si="1"/>
        <v>494385</v>
      </c>
      <c r="L33" s="1670">
        <f t="shared" si="1"/>
        <v>479931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v>10030</v>
      </c>
      <c r="D45" s="466">
        <v>1490</v>
      </c>
      <c r="E45" s="466">
        <v>1700</v>
      </c>
      <c r="F45" s="466"/>
      <c r="G45" s="466"/>
      <c r="H45" s="466"/>
      <c r="I45" s="467"/>
      <c r="J45" s="467"/>
      <c r="K45" s="1672">
        <f>SUM(C45:J45)</f>
        <v>13220</v>
      </c>
      <c r="L45" s="466">
        <v>13149</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10030</v>
      </c>
      <c r="D47" s="1670">
        <f t="shared" ref="D47:K47" si="4">SUM(D44:D46)</f>
        <v>1490</v>
      </c>
      <c r="E47" s="1670">
        <f t="shared" si="4"/>
        <v>1700</v>
      </c>
      <c r="F47" s="1670">
        <f t="shared" si="4"/>
        <v>0</v>
      </c>
      <c r="G47" s="1670">
        <f t="shared" si="4"/>
        <v>0</v>
      </c>
      <c r="H47" s="1670">
        <f t="shared" si="4"/>
        <v>0</v>
      </c>
      <c r="I47" s="1670">
        <f t="shared" si="4"/>
        <v>0</v>
      </c>
      <c r="J47" s="1670">
        <f t="shared" si="4"/>
        <v>0</v>
      </c>
      <c r="K47" s="1670">
        <f t="shared" si="4"/>
        <v>13220</v>
      </c>
      <c r="L47" s="1670">
        <f>SUM(L44:L46)</f>
        <v>13149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950</v>
      </c>
      <c r="D49" s="481">
        <v>7477</v>
      </c>
      <c r="E49" s="481">
        <v>24383</v>
      </c>
      <c r="F49" s="481"/>
      <c r="G49" s="481"/>
      <c r="H49" s="481"/>
      <c r="I49" s="467"/>
      <c r="J49" s="467"/>
      <c r="K49" s="1672">
        <f>SUM(C49:J49)</f>
        <v>32810</v>
      </c>
      <c r="L49" s="481">
        <v>52320</v>
      </c>
    </row>
    <row r="50" spans="1:14" x14ac:dyDescent="0.2">
      <c r="A50" s="1504" t="s">
        <v>818</v>
      </c>
      <c r="B50" s="614">
        <v>2320</v>
      </c>
      <c r="C50" s="466">
        <v>76500</v>
      </c>
      <c r="D50" s="466">
        <v>14938</v>
      </c>
      <c r="E50" s="466">
        <v>10428</v>
      </c>
      <c r="F50" s="466">
        <v>826</v>
      </c>
      <c r="G50" s="466"/>
      <c r="H50" s="466">
        <v>504</v>
      </c>
      <c r="I50" s="467"/>
      <c r="J50" s="467"/>
      <c r="K50" s="1672">
        <f>SUM(C50:J50)</f>
        <v>103196</v>
      </c>
      <c r="L50" s="466">
        <v>91220</v>
      </c>
    </row>
    <row r="51" spans="1:14" x14ac:dyDescent="0.2">
      <c r="A51" s="1504" t="s">
        <v>42</v>
      </c>
      <c r="B51" s="614">
        <v>2330</v>
      </c>
      <c r="C51" s="466"/>
      <c r="D51" s="466"/>
      <c r="E51" s="466"/>
      <c r="F51" s="466"/>
      <c r="G51" s="466"/>
      <c r="H51" s="466"/>
      <c r="I51" s="467"/>
      <c r="J51" s="467"/>
      <c r="K51" s="1672">
        <f>SUM(C51:J51)</f>
        <v>0</v>
      </c>
      <c r="L51" s="466">
        <v>10000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77450</v>
      </c>
      <c r="D53" s="1670">
        <f t="shared" ref="D53:L53" si="5">SUM(D49:D52)</f>
        <v>22415</v>
      </c>
      <c r="E53" s="1670">
        <f t="shared" si="5"/>
        <v>34811</v>
      </c>
      <c r="F53" s="1670">
        <f t="shared" si="5"/>
        <v>826</v>
      </c>
      <c r="G53" s="1670">
        <f t="shared" si="5"/>
        <v>0</v>
      </c>
      <c r="H53" s="1670">
        <f t="shared" si="5"/>
        <v>504</v>
      </c>
      <c r="I53" s="1670">
        <f t="shared" si="5"/>
        <v>0</v>
      </c>
      <c r="J53" s="1670">
        <f t="shared" si="5"/>
        <v>0</v>
      </c>
      <c r="K53" s="1670">
        <f t="shared" si="5"/>
        <v>136006</v>
      </c>
      <c r="L53" s="1670">
        <f t="shared" si="5"/>
        <v>153540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46514</v>
      </c>
      <c r="D59" s="481">
        <v>7122</v>
      </c>
      <c r="E59" s="481"/>
      <c r="F59" s="481"/>
      <c r="G59" s="481"/>
      <c r="H59" s="481"/>
      <c r="I59" s="467"/>
      <c r="J59" s="467"/>
      <c r="K59" s="1672">
        <f t="shared" ref="K59:K64" si="7">SUM(C59:J59)</f>
        <v>53636</v>
      </c>
      <c r="L59" s="481">
        <v>53896</v>
      </c>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46514</v>
      </c>
      <c r="D65" s="1670">
        <f t="shared" ref="D65:L65" si="8">SUM(D59:D64)</f>
        <v>7122</v>
      </c>
      <c r="E65" s="1670">
        <f t="shared" si="8"/>
        <v>0</v>
      </c>
      <c r="F65" s="1670">
        <f t="shared" si="8"/>
        <v>0</v>
      </c>
      <c r="G65" s="1670">
        <f t="shared" si="8"/>
        <v>0</v>
      </c>
      <c r="H65" s="1670">
        <f t="shared" si="8"/>
        <v>0</v>
      </c>
      <c r="I65" s="1670">
        <f t="shared" si="8"/>
        <v>0</v>
      </c>
      <c r="J65" s="1670">
        <f t="shared" si="8"/>
        <v>0</v>
      </c>
      <c r="K65" s="1670">
        <f t="shared" si="8"/>
        <v>53636</v>
      </c>
      <c r="L65" s="1670">
        <f t="shared" si="8"/>
        <v>53896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6900</v>
      </c>
      <c r="F69" s="466"/>
      <c r="G69" s="466"/>
      <c r="H69" s="466"/>
      <c r="I69" s="467"/>
      <c r="J69" s="467"/>
      <c r="K69" s="1672">
        <f>SUM(C69:J69)</f>
        <v>6900</v>
      </c>
      <c r="L69" s="466">
        <v>6900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6900</v>
      </c>
      <c r="F72" s="1670">
        <f t="shared" si="9"/>
        <v>0</v>
      </c>
      <c r="G72" s="1670">
        <f t="shared" si="9"/>
        <v>0</v>
      </c>
      <c r="H72" s="1670">
        <f t="shared" si="9"/>
        <v>0</v>
      </c>
      <c r="I72" s="1670">
        <f t="shared" si="9"/>
        <v>0</v>
      </c>
      <c r="J72" s="1670">
        <f t="shared" si="9"/>
        <v>0</v>
      </c>
      <c r="K72" s="1670">
        <f t="shared" si="9"/>
        <v>6900</v>
      </c>
      <c r="L72" s="1670">
        <f>SUM(L67:L71)</f>
        <v>6900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133994</v>
      </c>
      <c r="D74" s="1677">
        <f t="shared" ref="D74:K74" si="10">SUM(D42,D47,D53,D57,D65,D72,D73)</f>
        <v>31027</v>
      </c>
      <c r="E74" s="1677">
        <f t="shared" si="10"/>
        <v>43411</v>
      </c>
      <c r="F74" s="1677">
        <f t="shared" si="10"/>
        <v>826</v>
      </c>
      <c r="G74" s="1677">
        <f t="shared" si="10"/>
        <v>0</v>
      </c>
      <c r="H74" s="1677">
        <f t="shared" si="10"/>
        <v>504</v>
      </c>
      <c r="I74" s="1677">
        <f t="shared" si="10"/>
        <v>0</v>
      </c>
      <c r="J74" s="1677">
        <f t="shared" si="10"/>
        <v>0</v>
      </c>
      <c r="K74" s="1677">
        <f t="shared" si="10"/>
        <v>209762</v>
      </c>
      <c r="L74" s="1677">
        <f>SUM(L42,L47,L53,L57,L65,L72,L73)</f>
        <v>227485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504038</v>
      </c>
      <c r="D114" s="1670">
        <f t="shared" ref="D114:K114" si="13">SUM(D33,D74,D75,D102,D112,D113)</f>
        <v>101550</v>
      </c>
      <c r="E114" s="1670">
        <f t="shared" si="13"/>
        <v>54159</v>
      </c>
      <c r="F114" s="1670">
        <f t="shared" si="13"/>
        <v>43568</v>
      </c>
      <c r="G114" s="1670">
        <f t="shared" si="13"/>
        <v>0</v>
      </c>
      <c r="H114" s="1670">
        <f>SUM(H33,H74,H75,H102,H112,H113)</f>
        <v>832</v>
      </c>
      <c r="I114" s="1670">
        <f t="shared" si="13"/>
        <v>0</v>
      </c>
      <c r="J114" s="1670">
        <f t="shared" si="13"/>
        <v>0</v>
      </c>
      <c r="K114" s="1670">
        <f t="shared" si="13"/>
        <v>704147</v>
      </c>
      <c r="L114" s="1670">
        <f>SUM(L33,L74,L75,L102,L112,L113)</f>
        <v>707416</v>
      </c>
    </row>
    <row r="115" spans="1:14" ht="13.5" thickTop="1" x14ac:dyDescent="0.2">
      <c r="A115" s="2157" t="s">
        <v>996</v>
      </c>
      <c r="B115" s="2158"/>
      <c r="C115" s="618"/>
      <c r="D115" s="618"/>
      <c r="E115" s="618"/>
      <c r="F115" s="618"/>
      <c r="G115" s="618"/>
      <c r="H115" s="618"/>
      <c r="I115" s="618"/>
      <c r="J115" s="618"/>
      <c r="K115" s="1684">
        <f>'Revenues 9-14'!C268-'Expenditures 15-22'!K114</f>
        <v>-77446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13003</v>
      </c>
      <c r="D124" s="466">
        <v>2033</v>
      </c>
      <c r="E124" s="466">
        <v>34041</v>
      </c>
      <c r="F124" s="466">
        <v>42793</v>
      </c>
      <c r="G124" s="466">
        <v>4700</v>
      </c>
      <c r="H124" s="466"/>
      <c r="I124" s="467"/>
      <c r="J124" s="467"/>
      <c r="K124" s="1670">
        <f>SUM(C124:J124)</f>
        <v>96570</v>
      </c>
      <c r="L124" s="466">
        <v>129446</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13003</v>
      </c>
      <c r="D127" s="1670">
        <f t="shared" ref="D127:L127" si="14">SUM(D122:D126)</f>
        <v>2033</v>
      </c>
      <c r="E127" s="1670">
        <f t="shared" si="14"/>
        <v>34041</v>
      </c>
      <c r="F127" s="1670">
        <f t="shared" si="14"/>
        <v>42793</v>
      </c>
      <c r="G127" s="1670">
        <f t="shared" si="14"/>
        <v>4700</v>
      </c>
      <c r="H127" s="1670">
        <f t="shared" si="14"/>
        <v>0</v>
      </c>
      <c r="I127" s="1670">
        <f t="shared" si="14"/>
        <v>0</v>
      </c>
      <c r="J127" s="1670">
        <f t="shared" si="14"/>
        <v>0</v>
      </c>
      <c r="K127" s="1670">
        <f t="shared" si="14"/>
        <v>96570</v>
      </c>
      <c r="L127" s="1670">
        <f t="shared" si="14"/>
        <v>129446</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13003</v>
      </c>
      <c r="D129" s="1677">
        <f t="shared" ref="D129:L129" si="15">SUM(D120,D127,D128)</f>
        <v>2033</v>
      </c>
      <c r="E129" s="1677">
        <f t="shared" si="15"/>
        <v>34041</v>
      </c>
      <c r="F129" s="1677">
        <f t="shared" si="15"/>
        <v>42793</v>
      </c>
      <c r="G129" s="1677">
        <f t="shared" si="15"/>
        <v>4700</v>
      </c>
      <c r="H129" s="1677">
        <f t="shared" si="15"/>
        <v>0</v>
      </c>
      <c r="I129" s="1677">
        <f t="shared" si="15"/>
        <v>0</v>
      </c>
      <c r="J129" s="1677">
        <f t="shared" si="15"/>
        <v>0</v>
      </c>
      <c r="K129" s="1677">
        <f t="shared" si="15"/>
        <v>96570</v>
      </c>
      <c r="L129" s="1677">
        <f t="shared" si="15"/>
        <v>129446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70">
        <f>SUM(C129,C130,C139,C149,C150)</f>
        <v>13003</v>
      </c>
      <c r="D151" s="1670">
        <f t="shared" ref="D151:K151" si="16">SUM(D129,D130,D139,D149,D150)</f>
        <v>2033</v>
      </c>
      <c r="E151" s="1670">
        <f t="shared" si="16"/>
        <v>34041</v>
      </c>
      <c r="F151" s="1670">
        <f t="shared" si="16"/>
        <v>42793</v>
      </c>
      <c r="G151" s="1670">
        <f t="shared" si="16"/>
        <v>4700</v>
      </c>
      <c r="H151" s="1670">
        <f t="shared" si="16"/>
        <v>0</v>
      </c>
      <c r="I151" s="1670">
        <f t="shared" si="16"/>
        <v>0</v>
      </c>
      <c r="J151" s="1670">
        <f t="shared" si="16"/>
        <v>0</v>
      </c>
      <c r="K151" s="1670">
        <f t="shared" si="16"/>
        <v>96570</v>
      </c>
      <c r="L151" s="1670">
        <f>SUM(L129,L130,L139,L149,L150)</f>
        <v>129446</v>
      </c>
    </row>
    <row r="152" spans="1:14" ht="12.75" customHeight="1" thickTop="1" x14ac:dyDescent="0.2">
      <c r="A152" s="2177" t="s">
        <v>1178</v>
      </c>
      <c r="B152" s="2178"/>
      <c r="C152" s="618"/>
      <c r="D152" s="618"/>
      <c r="E152" s="618"/>
      <c r="F152" s="618"/>
      <c r="G152" s="618"/>
      <c r="H152" s="618"/>
      <c r="I152" s="618"/>
      <c r="J152" s="616"/>
      <c r="K152" s="1684">
        <f>'Revenues 9-14'!D268-'Expenditures 15-22'!K151</f>
        <v>-26727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7" t="s">
        <v>996</v>
      </c>
      <c r="B175" s="2158"/>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13323</v>
      </c>
      <c r="F182" s="466">
        <v>2002</v>
      </c>
      <c r="G182" s="466"/>
      <c r="H182" s="466"/>
      <c r="I182" s="467"/>
      <c r="J182" s="467"/>
      <c r="K182" s="1671">
        <f>SUM(C182:J182)</f>
        <v>15325</v>
      </c>
      <c r="L182" s="466">
        <v>14577</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13323</v>
      </c>
      <c r="F184" s="1677">
        <f t="shared" si="17"/>
        <v>2002</v>
      </c>
      <c r="G184" s="1677">
        <f t="shared" si="17"/>
        <v>0</v>
      </c>
      <c r="H184" s="1677">
        <f t="shared" si="17"/>
        <v>0</v>
      </c>
      <c r="I184" s="1677">
        <f t="shared" si="17"/>
        <v>0</v>
      </c>
      <c r="J184" s="1677">
        <f t="shared" si="17"/>
        <v>0</v>
      </c>
      <c r="K184" s="1677">
        <f>SUM(K180,K182,K183)</f>
        <v>15325</v>
      </c>
      <c r="L184" s="1677">
        <f>SUM(L180, L182:L183)</f>
        <v>14577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13323</v>
      </c>
      <c r="F210" s="1670">
        <f>SUM(F184,F185)</f>
        <v>2002</v>
      </c>
      <c r="G210" s="1670">
        <f>SUM(G184,G185)</f>
        <v>0</v>
      </c>
      <c r="H210" s="1670">
        <f>SUM(H184,H185,H196,H208,H209)</f>
        <v>0</v>
      </c>
      <c r="I210" s="1670">
        <f>SUM(I184,I185)</f>
        <v>0</v>
      </c>
      <c r="J210" s="1670">
        <f>SUM(J184,J185)</f>
        <v>0</v>
      </c>
      <c r="K210" s="1671">
        <f>SUM(K184,K185,K196,K208,K209)</f>
        <v>15325</v>
      </c>
      <c r="L210" s="1670">
        <f>SUM(L184,L185,L196,L208,L209)</f>
        <v>14577</v>
      </c>
    </row>
    <row r="211" spans="1:14" ht="13.5" thickTop="1" x14ac:dyDescent="0.2">
      <c r="A211" s="2157" t="s">
        <v>996</v>
      </c>
      <c r="B211" s="2158"/>
      <c r="C211" s="618"/>
      <c r="D211" s="618"/>
      <c r="E211" s="618"/>
      <c r="F211" s="618"/>
      <c r="G211" s="618"/>
      <c r="H211" s="618"/>
      <c r="I211" s="616"/>
      <c r="J211" s="616"/>
      <c r="K211" s="1684">
        <f>'Revenues 9-14'!F268-'Expenditures 15-22'!K210</f>
        <v>-8221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7" t="s">
        <v>996</v>
      </c>
      <c r="B296" s="2158"/>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10000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10000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10000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0" t="s">
        <v>996</v>
      </c>
      <c r="B343" s="217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7" t="s">
        <v>996</v>
      </c>
      <c r="B368" s="2158"/>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4d435f69-8686-490b-bd6d-b153bf22ab50"/>
    <ds:schemaRef ds:uri="http://purl.org/dc/dcmityp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2019-10-31T16:52:45Z</cp:lastPrinted>
  <dcterms:created xsi:type="dcterms:W3CDTF">2003-10-29T19:06:34Z</dcterms:created>
  <dcterms:modified xsi:type="dcterms:W3CDTF">2019-12-26T17:54:51Z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