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4240" windowHeight="131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1)" sheetId="183" r:id="rId28"/>
    <sheet name=" SEFA(2)" sheetId="179" r:id="rId29"/>
    <sheet name="SEFA NOTES" sheetId="173" r:id="rId30"/>
    <sheet name="SEFA NOTES (2)" sheetId="184" r:id="rId31"/>
    <sheet name="SF&amp;QC Sec-1" sheetId="174" r:id="rId32"/>
    <sheet name="SF&amp;QC Sec-2" sheetId="175" r:id="rId33"/>
    <sheet name="SF&amp;QC Sec-2 (2)" sheetId="185" r:id="rId34"/>
    <sheet name="SF&amp;QC Sec-3" sheetId="176" r:id="rId35"/>
    <sheet name="SSPAF" sheetId="177" r:id="rId36"/>
  </sheets>
  <definedNames>
    <definedName name="_xlnm.Print_Area" localSheetId="27">' SEFA (1)'!$B$1:$M$46</definedName>
    <definedName name="_xlnm.Print_Area" localSheetId="28">' SEFA(2)'!$B$1:$M$46</definedName>
    <definedName name="_xlnm.Print_Area" localSheetId="29">'SEFA NOTES'!$A$1:$F$52</definedName>
    <definedName name="_xlnm.Print_Area" localSheetId="30">'SEFA NOTES (2)'!$A$1:$F$52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5" l="1"/>
  <c r="E34" i="184"/>
  <c r="A4" i="184"/>
  <c r="L27" i="183"/>
  <c r="L26" i="183"/>
  <c r="L25" i="183"/>
  <c r="L24" i="183"/>
  <c r="L23" i="183"/>
  <c r="L22" i="183"/>
  <c r="L21" i="183"/>
  <c r="L20" i="183"/>
  <c r="L19" i="183"/>
  <c r="L18" i="183"/>
  <c r="L17" i="183"/>
  <c r="L16" i="183"/>
  <c r="L15" i="183"/>
  <c r="L14" i="183"/>
  <c r="L13" i="183"/>
  <c r="L12" i="183"/>
  <c r="L11" i="183"/>
  <c r="B4" i="183"/>
  <c r="C4"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1" i="184" l="1"/>
  <c r="B1" i="185"/>
  <c r="B1" i="183"/>
  <c r="B2" i="179"/>
  <c r="B2" i="183"/>
  <c r="B2" i="185"/>
  <c r="A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G26" i="108"/>
  <c r="D27" i="108"/>
  <c r="E27" i="108"/>
  <c r="F27" i="108"/>
  <c r="G27" i="108"/>
  <c r="F31" i="108"/>
  <c r="F36" i="108"/>
  <c r="G28" i="108"/>
  <c r="E30" i="108"/>
  <c r="G30" i="108"/>
  <c r="D31" i="108"/>
  <c r="D36"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D24" i="37"/>
  <c r="B4270" i="106" s="1"/>
  <c r="D4270" i="106" s="1"/>
  <c r="D17" i="7"/>
  <c r="B4104" i="106" s="1"/>
  <c r="D4104" i="106" s="1"/>
  <c r="J22" i="37" l="1"/>
  <c r="F36" i="34"/>
  <c r="H112" i="29"/>
  <c r="B7018" i="106" s="1"/>
  <c r="D7018" i="106" s="1"/>
  <c r="F37" i="34"/>
  <c r="G35" i="108"/>
  <c r="H365" i="29"/>
  <c r="B7242" i="106" s="1"/>
  <c r="D7242" i="106" s="1"/>
  <c r="D9" i="7"/>
  <c r="B1767" i="106" s="1"/>
  <c r="D1767" i="106" s="1"/>
  <c r="F26" i="108"/>
  <c r="L5" i="11"/>
  <c r="B2056" i="106" s="1"/>
  <c r="D2056" i="106" s="1"/>
  <c r="E35" i="108"/>
  <c r="D68" i="36"/>
  <c r="B7231" i="106"/>
  <c r="D7231" i="106" s="1"/>
  <c r="F77" i="4"/>
  <c r="B3255" i="106" s="1"/>
  <c r="D3255" i="106" s="1"/>
  <c r="B2836" i="106"/>
  <c r="D2836" i="106" s="1"/>
  <c r="L13" i="11"/>
  <c r="B2060" i="106" s="1"/>
  <c r="D2060" i="106" s="1"/>
  <c r="B1126" i="106"/>
  <c r="D1126"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K184" i="29"/>
  <c r="F13" i="4" s="1"/>
  <c r="B2596" i="106" s="1"/>
  <c r="D2596" i="106" s="1"/>
  <c r="G210" i="29"/>
  <c r="G15" i="145"/>
  <c r="H28" i="118"/>
  <c r="E28" i="108"/>
  <c r="H342" i="29"/>
  <c r="J129" i="29"/>
  <c r="B7038" i="106" s="1"/>
  <c r="D7038" i="106" s="1"/>
  <c r="K41" i="3"/>
  <c r="H29" i="118"/>
  <c r="K28" i="118" s="1"/>
  <c r="O27" i="118" s="1"/>
  <c r="O29" i="118" s="1"/>
  <c r="F14" i="4"/>
  <c r="B2597" i="106" s="1"/>
  <c r="D2597" i="106" s="1"/>
  <c r="L22" i="37"/>
  <c r="G29" i="108"/>
  <c r="D6103" i="106"/>
  <c r="B1308" i="106"/>
  <c r="D1308" i="106" s="1"/>
  <c r="E174" i="29"/>
  <c r="B1309" i="106" s="1"/>
  <c r="D1309" i="106" s="1"/>
  <c r="E29" i="108"/>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44" i="36" l="1"/>
  <c r="C114" i="29"/>
  <c r="B757" i="106" s="1"/>
  <c r="D757" i="106" s="1"/>
  <c r="F174" i="34"/>
  <c r="K342" i="29"/>
  <c r="F13" i="34" s="1"/>
  <c r="G170" i="5"/>
  <c r="B5778" i="106" s="1"/>
  <c r="D5778" i="106" s="1"/>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G6" i="4"/>
  <c r="B2604" i="106" s="1"/>
  <c r="D260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<sst xmlns="http://schemas.openxmlformats.org/spreadsheetml/2006/main" count="5318" uniqueCount="2154">
  <si>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</si>
  <si>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</si>
  <si>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</si>
  <si>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</si>
  <si>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</si>
  <si>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</si>
  <si>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</si>
  <si>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</si>
  <si>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</si>
  <si>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</si>
  <si>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</si>
  <si>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</si>
  <si>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</si>
  <si>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</si>
  <si>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</si>
  <si>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</si>
  <si>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</si>
  <si>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</si>
  <si>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</si>
  <si>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</si>
  <si>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</si>
  <si>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</si>
  <si>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</si>
  <si>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</si>
  <si>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</si>
  <si>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</si>
  <si>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</si>
  <si>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</si>
  <si>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</si>
  <si>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</si>
  <si>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</si>
  <si>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</si>
  <si>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</si>
  <si>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</si>
  <si>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</si>
  <si>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</si>
  <si>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</si>
  <si>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</si>
  <si>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</si>
  <si>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</si>
  <si>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</si>
  <si>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</si>
  <si>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</si>
  <si>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</si>
  <si>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</si>
  <si>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</si>
  <si>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</si>
  <si>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</si>
  <si>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</si>
  <si>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</si>
  <si>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</si>
  <si>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</si>
  <si>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</si>
  <si>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</si>
  <si>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</si>
  <si>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</si>
  <si>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</si>
  <si>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</si>
  <si>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</si>
  <si>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</si>
  <si>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</si>
  <si>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</si>
  <si>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</si>
  <si>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</si>
  <si>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</si>
  <si>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</si>
  <si>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</si>
  <si>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</si>
  <si>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</si>
  <si>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</si>
  <si>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</si>
  <si>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</si>
  <si>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</si>
  <si>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</si>
  <si>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</si>
  <si>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</si>
  <si>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</si>
  <si>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</si>
  <si>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</si>
  <si>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</si>
  <si>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</si>
  <si>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</si>
  <si>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</si>
  <si>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</si>
  <si>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</si>
  <si>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</si>
  <si>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</si>
  <si>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</si>
  <si>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</si>
  <si>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</si>
  <si>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</si>
  <si>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</si>
  <si>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</si>
  <si>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</si>
  <si>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</si>
  <si>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</si>
  <si>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</si>
  <si>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</si>
  <si>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</si>
  <si>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</si>
  <si>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</si>
  <si>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</si>
  <si>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</si>
  <si>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</si>
  <si>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</si>
  <si>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</si>
  <si>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</si>
  <si>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</si>
  <si>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</si>
  <si>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</si>
  <si>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</si>
  <si>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</si>
  <si>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</si>
  <si>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</si>
  <si>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</si>
  <si>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</si>
  <si>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</si>
  <si>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</si>
  <si>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</si>
  <si>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</si>
  <si>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</si>
  <si>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</si>
  <si>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</si>
  <si>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</si>
  <si>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</si>
  <si>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</si>
  <si>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</si>
  <si>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</si>
  <si>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</si>
  <si>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</si>
  <si>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</si>
  <si>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</si>
  <si>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</si>
  <si>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</si>
  <si>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</si>
  <si>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</si>
  <si>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</si>
  <si>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</si>
  <si>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</si>
  <si>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</si>
  <si>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</si>
  <si>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</si>
  <si>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</si>
  <si>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</si>
  <si>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</si>
  <si>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</si>
  <si>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</si>
  <si>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</si>
  <si>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</si>
  <si>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</si>
  <si>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</si>
  <si>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</si>
  <si>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</si>
  <si>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</si>
  <si>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</si>
  <si>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</si>
  <si>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</si>
  <si>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</si>
  <si>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</si>
  <si>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</si>
  <si>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</si>
  <si>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</si>
  <si>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</si>
  <si>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</si>
  <si>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</si>
  <si>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</si>
  <si>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</si>
  <si>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</si>
  <si>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</si>
  <si>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</si>
  <si>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</si>
  <si>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</si>
  <si>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</si>
  <si>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</si>
  <si>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</si>
  <si>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</si>
  <si>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</si>
  <si>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</si>
  <si>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</si>
  <si>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</si>
  <si>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</si>
  <si>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</si>
  <si>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</si>
  <si>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</si>
  <si>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</si>
  <si>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</si>
  <si>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</si>
  <si>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</si>
  <si>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</si>
  <si>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</si>
  <si>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</si>
  <si>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</si>
  <si>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</si>
  <si>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</si>
  <si>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</si>
  <si>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</si>
  <si>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</si>
  <si>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</si>
  <si>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</si>
  <si>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</si>
  <si>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</si>
  <si>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</si>
  <si>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</si>
  <si>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</si>
  <si>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</si>
  <si>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</si>
  <si>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</si>
  <si>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</si>
  <si>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</si>
  <si>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</si>
  <si>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</si>
  <si>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</si>
  <si>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</si>
  <si>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</si>
  <si>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</si>
  <si>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</si>
  <si>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</si>
  <si>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</si>
  <si>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</si>
  <si>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</si>
  <si>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</si>
  <si>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</si>
  <si>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</si>
  <si>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</si>
  <si>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</si>
  <si>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</si>
  <si>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</si>
  <si>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</si>
  <si>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</si>
  <si>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</si>
  <si>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</si>
  <si>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</si>
  <si>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</si>
  <si>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</si>
  <si>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</si>
  <si>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</si>
  <si>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</si>
  <si>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</si>
  <si>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</si>
  <si>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</si>
  <si>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</si>
  <si>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</si>
  <si>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</si>
  <si>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</si>
  <si>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</si>
  <si>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</si>
  <si>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</si>
  <si>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</si>
  <si>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</si>
  <si>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</si>
  <si>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</si>
  <si>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</si>
  <si>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</si>
  <si>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</si>
  <si>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</si>
  <si>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</si>
  <si>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</si>
  <si>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</si>
  <si>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</si>
  <si>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</si>
  <si>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</si>
  <si>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</si>
  <si>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</si>
  <si>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</si>
  <si>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</si>
  <si>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</si>
  <si>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</si>
  <si>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</si>
  <si>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</si>
  <si>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</si>
  <si>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</si>
  <si>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</si>
  <si>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</si>
  <si>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</si>
  <si>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</si>
  <si>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</si>
  <si>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</si>
  <si>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</si>
  <si>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</si>
  <si>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</si>
  <si>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</si>
  <si>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</si>
  <si>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</si>
  <si>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</si>
  <si>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</si>
  <si>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</si>
  <si>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</si>
  <si>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</si>
  <si>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</si>
  <si>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</si>
  <si>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</si>
  <si>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</si>
  <si>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</si>
  <si>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</si>
  <si>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</si>
  <si>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</si>
  <si>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</si>
  <si>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</si>
  <si>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</si>
  <si>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</si>
  <si>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</si>
  <si>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</si>
  <si>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</si>
  <si>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</si>
  <si>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</si>
  <si>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</si>
  <si>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</si>
  <si>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</si>
  <si>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</si>
  <si>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</si>
  <si>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</si>
  <si>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</si>
  <si>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</si>
  <si>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</si>
  <si>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</si>
  <si>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</si>
  <si>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</si>
  <si>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</si>
  <si>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</si>
  <si>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</si>
  <si>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</si>
  <si>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</si>
  <si>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</si>
  <si>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</si>
  <si>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</si>
  <si>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</si>
  <si>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</si>
  <si>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</si>
  <si>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</si>
  <si>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</si>
  <si>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</si>
  <si>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</si>
  <si>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</si>
  <si>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</si>
  <si>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</si>
  <si>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</si>
  <si>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</si>
  <si>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</si>
  <si>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</si>
  <si>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</si>
  <si>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</si>
  <si>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</si>
  <si>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</si>
  <si>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</si>
  <si>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</si>
  <si>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</si>
  <si>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</si>
  <si>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</si>
  <si>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</si>
  <si>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</si>
  <si>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</si>
  <si>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</si>
  <si>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</si>
  <si>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</si>
  <si>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</si>
  <si>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</si>
  <si>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</si>
  <si>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</si>
  <si>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</si>
  <si>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</si>
  <si>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</si>
  <si>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</si>
  <si>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</si>
  <si>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</si>
  <si>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</si>
  <si>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</si>
  <si>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</si>
  <si>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</si>
  <si>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</si>
  <si>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</si>
  <si>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</si>
  <si>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</si>
  <si>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</si>
  <si>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</si>
  <si>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</si>
  <si>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</si>
  <si>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</si>
  <si>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</si>
  <si>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</si>
  <si>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</si>
  <si>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</si>
  <si>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</si>
  <si>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</si>
  <si>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</si>
  <si>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</si>
  <si>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</si>
  <si>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</si>
  <si>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</si>
  <si>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</si>
  <si>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</si>
  <si>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</si>
  <si>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</si>
  <si>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</si>
  <si>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</si>
  <si>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</si>
  <si>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</si>
  <si>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</si>
  <si>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</si>
  <si>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</si>
  <si>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</si>
  <si>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</si>
  <si>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</si>
  <si>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</si>
  <si>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</si>
  <si>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</si>
  <si>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</si>
  <si>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</si>
  <si>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</si>
  <si>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</si>
  <si>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</si>
  <si>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</si>
  <si>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</si>
  <si>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</si>
  <si>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</si>
  <si>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</si>
  <si>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</si>
  <si>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</si>
  <si>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</si>
  <si>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</si>
  <si>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</si>
  <si>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</si>
  <si>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</si>
  <si>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</si>
  <si>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</si>
  <si>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</si>
  <si>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</si>
  <si>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</si>
  <si>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</si>
  <si>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</si>
  <si>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</si>
  <si>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</si>
  <si>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</si>
  <si>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</si>
  <si>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</si>
  <si>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</si>
  <si>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</si>
  <si>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</si>
  <si>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</si>
  <si>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</si>
  <si>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</si>
  <si>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</si>
  <si>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</si>
  <si>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</si>
  <si>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</si>
  <si>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</si>
  <si>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</si>
  <si>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</si>
  <si>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</si>
  <si>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</si>
  <si>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</si>
  <si>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</si>
  <si>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</si>
  <si>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</si>
  <si>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</si>
  <si>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</si>
  <si>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</si>
  <si>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</si>
  <si>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</si>
  <si>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</si>
  <si>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</si>
  <si>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</si>
  <si>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</si>
  <si>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</si>
  <si>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</si>
  <si>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</si>
  <si>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</si>
  <si>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</si>
  <si>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</si>
  <si>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</si>
  <si>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</si>
  <si>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</si>
  <si>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</si>
  <si>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</si>
  <si>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</si>
  <si>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</si>
  <si>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</si>
  <si>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</si>
  <si>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</si>
  <si>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</si>
  <si>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</si>
  <si>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</si>
  <si>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</si>
  <si>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</si>
  <si>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</si>
  <si>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</si>
  <si>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</si>
  <si>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</si>
  <si>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</si>
  <si>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</si>
  <si>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</si>
  <si>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</si>
  <si>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</si>
  <si>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</si>
  <si>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</si>
  <si>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</si>
  <si>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</si>
  <si>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</si>
  <si>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</si>
  <si>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</si>
  <si>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</si>
  <si>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</si>
  <si>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</si>
  <si>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</si>
  <si>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</si>
  <si>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</si>
  <si>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</si>
  <si>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</si>
  <si>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</si>
  <si>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</si>
  <si>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</si>
  <si>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</si>
  <si>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</si>
  <si>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</si>
  <si>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</si>
  <si>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</si>
  <si>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</si>
  <si>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</si>
  <si>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</si>
  <si>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</si>
  <si>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</si>
  <si>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</si>
  <si>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</si>
  <si>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</si>
  <si>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</si>
  <si>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</si>
  <si>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</si>
  <si>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</si>
  <si>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</si>
  <si>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</si>
  <si>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</si>
  <si>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</si>
  <si>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</si>
  <si>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</si>
  <si>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</si>
  <si>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</si>
  <si>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</si>
  <si>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</si>
  <si>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</si>
  <si>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</si>
  <si>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</si>
  <si>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</si>
  <si>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</si>
  <si>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</si>
  <si>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</si>
  <si>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</si>
  <si>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</si>
  <si>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</si>
  <si>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</si>
  <si>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</si>
  <si>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</si>
  <si>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</si>
  <si>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</si>
  <si>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</si>
  <si>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</si>
  <si>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</si>
  <si>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</si>
  <si>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</si>
  <si>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</si>
  <si>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</si>
  <si>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</si>
  <si>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</si>
  <si>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</si>
  <si>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</si>
  <si>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</si>
  <si>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</si>
  <si>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</si>
  <si>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</si>
  <si>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</si>
  <si>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</si>
  <si>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</si>
  <si>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</si>
  <si>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</si>
  <si>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</si>
  <si>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</si>
  <si>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</si>
  <si>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</si>
  <si>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</si>
  <si>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</si>
  <si>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</si>
  <si>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</si>
  <si>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</si>
  <si>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</si>
  <si>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</si>
  <si>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</si>
  <si>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</si>
  <si>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</si>
  <si>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</si>
  <si>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</si>
  <si>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</si>
  <si>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</si>
  <si>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</si>
  <si>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</si>
  <si>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</si>
  <si>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</si>
  <si>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</si>
  <si>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</si>
  <si>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</si>
  <si>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</si>
  <si>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</si>
  <si>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</si>
  <si>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</si>
  <si>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</si>
  <si>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</si>
  <si>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</si>
  <si>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</si>
  <si>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</si>
  <si>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</si>
  <si>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</si>
  <si>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</si>
  <si>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</si>
  <si>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</si>
  <si>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</si>
  <si>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</si>
  <si>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</si>
  <si>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</si>
  <si>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</si>
  <si>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</si>
  <si>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</si>
  <si>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</si>
  <si>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</si>
  <si>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</si>
  <si>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</si>
  <si>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</si>
  <si>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</si>
  <si>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</si>
  <si>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</si>
  <si>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</si>
  <si>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</si>
  <si>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</si>
  <si>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</si>
  <si>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</si>
  <si>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</si>
  <si>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</si>
  <si>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</si>
  <si>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</si>
  <si>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</si>
  <si>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</si>
  <si>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</si>
  <si>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</si>
  <si>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</si>
  <si>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</si>
  <si>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</si>
  <si>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</si>
  <si>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</si>
  <si>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</si>
  <si>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</si>
  <si>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</si>
  <si>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</si>
  <si>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</si>
  <si>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</si>
  <si>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</si>
  <si>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</si>
  <si>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</si>
  <si>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</si>
  <si>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</si>
  <si>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</si>
  <si>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</si>
  <si>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</si>
  <si>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</si>
  <si>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</si>
  <si>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</si>
  <si>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</si>
  <si>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</si>
  <si>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</si>
  <si>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</si>
  <si>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</si>
  <si>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</si>
  <si>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</si>
  <si>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</si>
  <si>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</si>
  <si>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</si>
  <si>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</si>
  <si>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</si>
  <si>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</si>
  <si>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</si>
  <si>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</si>
  <si>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</si>
  <si>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</si>
  <si>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</si>
  <si>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</si>
  <si>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</si>
  <si>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</si>
  <si>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</si>
  <si>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</si>
  <si>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</si>
  <si>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</si>
  <si>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</si>
  <si>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</si>
  <si>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</si>
  <si>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</si>
  <si>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</si>
  <si>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</si>
  <si>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</si>
  <si>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</si>
  <si>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</si>
  <si>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</si>
  <si>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</si>
  <si>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</si>
  <si>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</si>
  <si>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</si>
  <si>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</si>
  <si>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</si>
  <si>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</si>
  <si>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</si>
  <si>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</si>
  <si>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</si>
  <si>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</si>
  <si>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</si>
  <si>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</si>
  <si>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</si>
  <si>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</si>
  <si>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</si>
  <si>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</si>
  <si>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</si>
  <si>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</si>
  <si>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</si>
  <si>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</si>
  <si>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</si>
  <si>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</si>
  <si>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</si>
  <si>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</si>
  <si>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</si>
  <si>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</si>
  <si>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</si>
  <si>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</si>
  <si>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</si>
  <si>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</si>
  <si>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</si>
  <si>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</si>
  <si>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</si>
  <si>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</si>
  <si>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</si>
  <si>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</si>
  <si>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</si>
  <si>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</si>
  <si>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</si>
  <si>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</si>
  <si>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</si>
  <si>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</si>
  <si>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</si>
  <si>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</si>
  <si>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</si>
  <si>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</si>
  <si>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</si>
  <si>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</si>
  <si>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</si>
  <si>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</si>
  <si>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</si>
  <si>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</si>
  <si>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</si>
  <si>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</si>
  <si>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</si>
  <si>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</si>
  <si>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</si>
  <si>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</si>
  <si>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</si>
  <si>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</si>
  <si>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</si>
  <si>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</si>
  <si>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</si>
  <si>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</si>
  <si>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</si>
  <si>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</si>
  <si>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</si>
  <si>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</si>
  <si>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</si>
  <si>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</si>
  <si>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</si>
  <si>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</si>
  <si>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</si>
  <si>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</si>
  <si>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</si>
  <si>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</si>
  <si>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</si>
  <si>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</si>
  <si>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</si>
  <si>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</si>
  <si>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</si>
  <si>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</si>
  <si>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</si>
  <si>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</si>
  <si>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</si>
  <si>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</si>
  <si>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</si>
  <si>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</si>
  <si>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</si>
  <si>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</si>
  <si>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</si>
  <si>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</si>
  <si>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</si>
  <si>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</si>
  <si>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</si>
  <si>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</si>
  <si>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</si>
  <si>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</si>
  <si>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</si>
  <si>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</si>
  <si>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</si>
  <si>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</si>
  <si>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</si>
  <si>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</si>
  <si>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</si>
  <si>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</si>
  <si>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</si>
  <si>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</si>
  <si>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</si>
  <si>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</si>
  <si>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</si>
  <si>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</si>
  <si>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</si>
  <si>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</si>
  <si>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</si>
  <si>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</si>
  <si>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</si>
  <si>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</si>
  <si>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</si>
  <si>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</si>
  <si>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</si>
  <si>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</si>
  <si>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</si>
  <si>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</si>
  <si>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</si>
  <si>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</si>
  <si>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</si>
  <si>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</si>
  <si>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</si>
  <si>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</si>
  <si>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</si>
  <si>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</si>
  <si>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</si>
  <si>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</si>
  <si>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</si>
  <si>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</si>
  <si>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</si>
  <si>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</si>
  <si>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</si>
  <si>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</si>
  <si>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</si>
  <si>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</si>
  <si>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</si>
  <si>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</si>
  <si>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</si>
  <si>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</si>
  <si>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</si>
  <si>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</si>
  <si>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</si>
  <si>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</si>
  <si>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</si>
  <si>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</si>
  <si>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</si>
  <si>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</si>
  <si>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</si>
  <si>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</si>
  <si>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</si>
  <si>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</si>
  <si>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</si>
  <si>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</si>
  <si>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</si>
  <si>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</si>
  <si>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</si>
  <si>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</si>
  <si>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</si>
  <si>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</si>
  <si>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</si>
  <si>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</si>
  <si>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</si>
  <si>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</si>
  <si>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</si>
  <si>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</si>
  <si>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</si>
  <si>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</si>
  <si>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</si>
  <si>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</si>
  <si>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</si>
  <si>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</si>
  <si>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</si>
  <si>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</si>
  <si>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</si>
  <si>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</si>
  <si>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</si>
  <si>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</si>
  <si>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</si>
  <si>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</si>
  <si>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</si>
  <si>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</si>
  <si>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</si>
  <si>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</si>
  <si>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</si>
  <si>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</si>
  <si>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</si>
  <si>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</si>
  <si>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</si>
  <si>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</si>
  <si>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</si>
  <si>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</si>
  <si>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</si>
  <si>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</si>
  <si>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</si>
  <si>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</si>
  <si>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</si>
  <si>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</si>
  <si>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</si>
  <si>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</si>
  <si>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</si>
  <si>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</si>
  <si>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</si>
  <si>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</si>
  <si>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</si>
  <si>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</si>
  <si>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</si>
  <si>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</si>
  <si>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</si>
  <si>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</si>
  <si>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</si>
  <si>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</si>
  <si>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</si>
  <si>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</si>
  <si>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</si>
  <si>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</si>
  <si>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</si>
  <si>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</si>
  <si>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</si>
  <si>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</si>
  <si>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</si>
  <si>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</si>
  <si>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</si>
  <si>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</si>
  <si>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</si>
  <si>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</si>
  <si>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</si>
  <si>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</si>
  <si>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</si>
  <si>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</si>
  <si>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</si>
  <si>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</si>
  <si>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</si>
  <si>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</si>
  <si>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</si>
  <si>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</si>
  <si>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</si>
  <si>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</si>
  <si>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</si>
  <si>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</si>
  <si>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</si>
  <si>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</si>
  <si>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</si>
  <si>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</si>
  <si>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</si>
  <si>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</si>
  <si>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</si>
  <si>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</si>
  <si>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</si>
  <si>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</si>
  <si>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</si>
  <si>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</si>
  <si>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</si>
  <si>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</si>
  <si>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</si>
  <si>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</si>
  <si>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</si>
  <si>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</si>
  <si>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</si>
  <si>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</si>
  <si>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</si>
  <si>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</si>
  <si>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</si>
  <si>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</si>
  <si>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</si>
  <si>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</si>
  <si>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</si>
  <si>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</si>
  <si>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</si>
  <si>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</si>
  <si>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</si>
  <si>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</si>
  <si>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</si>
  <si>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</si>
  <si>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</si>
  <si>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</si>
  <si>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</si>
  <si>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</si>
  <si>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</si>
  <si>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</si>
  <si>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</si>
  <si>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</si>
  <si>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</si>
  <si>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</si>
  <si>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</si>
  <si>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</si>
  <si>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</si>
  <si>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</si>
  <si>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</si>
  <si>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</si>
  <si>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</si>
  <si>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</si>
  <si>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</si>
  <si>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</si>
  <si>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</si>
  <si>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</si>
  <si>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</si>
  <si>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</si>
  <si>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</si>
  <si>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</si>
  <si>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</si>
  <si>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</si>
  <si>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</si>
  <si>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</si>
  <si>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</si>
  <si>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</si>
  <si>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</si>
  <si>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</si>
  <si>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</si>
  <si>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</si>
  <si>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</si>
  <si>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</si>
  <si>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</si>
  <si>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</si>
  <si>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</si>
  <si>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</si>
  <si>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</si>
  <si>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</si>
  <si>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</si>
  <si>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</si>
  <si>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</si>
  <si>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</si>
  <si>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</si>
  <si>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</si>
  <si>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</si>
  <si>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</si>
  <si>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</si>
  <si>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</si>
  <si>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</si>
  <si>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</si>
  <si>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</si>
  <si>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</si>
  <si>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</si>
  <si>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</si>
  <si>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</si>
  <si>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</si>
  <si>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</si>
  <si>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</si>
  <si>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</si>
  <si>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</si>
  <si>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</si>
  <si>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</si>
  <si>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</si>
  <si>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</si>
  <si>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</si>
  <si>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</si>
  <si>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</si>
  <si>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</si>
  <si>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</si>
  <si>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</si>
  <si>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</si>
  <si>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</si>
  <si>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</si>
  <si>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</si>
  <si>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</si>
  <si>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</si>
  <si>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</si>
  <si>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</si>
  <si>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</si>
  <si>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</si>
  <si>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</si>
  <si>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</si>
  <si>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</si>
  <si>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</si>
  <si>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</si>
  <si>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</si>
  <si>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</si>
  <si>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</si>
  <si>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</si>
  <si>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</si>
  <si>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</si>
  <si>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</si>
  <si>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</si>
  <si>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</si>
  <si>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</si>
  <si>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</si>
  <si>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</si>
  <si>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</si>
  <si>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</si>
  <si>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</si>
  <si>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</si>
  <si>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</si>
  <si>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</si>
  <si>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</si>
  <si>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</si>
  <si>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</si>
  <si>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</si>
  <si>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</si>
  <si>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</si>
  <si>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</si>
  <si>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</si>
  <si>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</si>
  <si>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</si>
  <si>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</si>
  <si>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</si>
  <si>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</si>
  <si>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</si>
  <si>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</si>
  <si>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</si>
  <si>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</si>
  <si>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</si>
  <si>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</si>
  <si>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</si>
  <si>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</si>
  <si>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</si>
  <si>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</si>
  <si>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</si>
  <si>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</si>
  <si>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</si>
  <si>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</si>
  <si>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</si>
  <si>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</si>
  <si>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</si>
  <si>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</si>
  <si>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</si>
  <si>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</si>
  <si>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</si>
  <si>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</si>
  <si>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</si>
  <si>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</si>
  <si>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</si>
  <si>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</si>
  <si>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</si>
  <si>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</si>
  <si>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</si>
  <si>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</si>
  <si>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</si>
  <si>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</si>
  <si>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</si>
  <si>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</si>
  <si>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</si>
  <si>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</si>
  <si>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</si>
  <si>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</si>
  <si>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</si>
  <si>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</si>
  <si>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</si>
  <si>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</si>
  <si>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</si>
  <si>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</si>
  <si>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</si>
  <si>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</si>
  <si>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</si>
  <si>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</si>
  <si>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</si>
  <si>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</si>
  <si>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</si>
  <si>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</si>
  <si>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</si>
  <si>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</si>
  <si>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</si>
  <si>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</si>
  <si>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</si>
  <si>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</si>
  <si>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</si>
  <si>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</si>
  <si>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</si>
  <si>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</si>
  <si>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</si>
  <si>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</si>
  <si>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</si>
  <si>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</si>
  <si>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</si>
  <si>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</si>
  <si>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</si>
  <si>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</si>
  <si>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</si>
  <si>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</si>
  <si>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</si>
  <si>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</si>
  <si>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</si>
  <si>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</si>
  <si>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</si>
  <si>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</si>
  <si>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</si>
  <si>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</si>
  <si>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</si>
  <si>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</si>
  <si>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</si>
  <si>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</si>
  <si>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</si>
  <si>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</si>
  <si>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</si>
  <si>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</si>
  <si>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</si>
  <si>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</si>
  <si>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</si>
  <si>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</si>
  <si>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</si>
  <si>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</si>
  <si>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</si>
  <si>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</si>
  <si>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</si>
  <si>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</si>
  <si>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</si>
  <si>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</si>
  <si>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</si>
  <si>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</si>
  <si>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</si>
  <si>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</si>
  <si>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</si>
  <si>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</si>
  <si>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</si>
  <si>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</si>
  <si>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</si>
  <si>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</si>
  <si>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</si>
  <si>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</si>
  <si>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</si>
  <si>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</si>
  <si>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</si>
  <si>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</si>
  <si>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</si>
  <si>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</si>
  <si>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</si>
  <si>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</si>
  <si>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</si>
  <si>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</si>
  <si>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</si>
  <si>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</si>
  <si>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</si>
  <si>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</si>
  <si>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</si>
  <si>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</si>
  <si>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</si>
  <si>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</si>
  <si>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</si>
  <si>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</si>
  <si>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</si>
  <si>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</si>
  <si>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</si>
  <si>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</si>
  <si>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</si>
  <si>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</si>
  <si>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</si>
  <si>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</si>
  <si>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</si>
  <si>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</si>
  <si>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</si>
  <si>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</si>
  <si>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</si>
  <si>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</si>
  <si>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</si>
  <si>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</si>
  <si>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</si>
  <si>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</si>
  <si>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</si>
  <si>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</si>
  <si>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</si>
  <si>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</si>
  <si>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</si>
  <si>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</si>
  <si>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</si>
  <si>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</si>
  <si>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</si>
  <si>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</si>
  <si>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</si>
  <si>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</si>
  <si>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</si>
  <si>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</si>
  <si>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</si>
  <si>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</si>
  <si>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</si>
  <si>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</si>
  <si>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</si>
  <si>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</si>
  <si>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</si>
  <si>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</si>
  <si>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</si>
  <si>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</si>
  <si>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</si>
  <si>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</si>
  <si>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</si>
  <si>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</si>
  <si>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</si>
  <si>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</si>
  <si>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</si>
  <si>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</si>
  <si>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</si>
  <si>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</si>
  <si>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</si>
  <si>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</si>
  <si>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</si>
  <si>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</si>
  <si>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</si>
  <si>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</si>
  <si>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</si>
  <si>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</si>
  <si>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</si>
  <si>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</si>
  <si>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</si>
  <si>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</si>
  <si>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</si>
  <si>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</si>
  <si>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</si>
  <si>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</si>
  <si>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</si>
  <si>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</si>
  <si>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</si>
  <si>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</si>
  <si>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</si>
  <si>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</si>
  <si>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</si>
  <si>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</si>
  <si>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</si>
  <si>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</si>
  <si>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</si>
  <si>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</si>
  <si>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</si>
  <si>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</si>
  <si>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</si>
  <si>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</si>
  <si>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</si>
  <si>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</si>
  <si>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</si>
  <si>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</si>
  <si>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</si>
  <si>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</si>
  <si>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</si>
  <si>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</si>
  <si>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</si>
  <si>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</si>
  <si>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</si>
  <si>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</si>
  <si>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</si>
  <si>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</si>
  <si>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</si>
  <si>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</si>
  <si>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</si>
  <si>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</si>
  <si>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</si>
  <si>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</si>
  <si>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</si>
  <si>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</si>
  <si>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</si>
  <si>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</si>
  <si>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</si>
  <si>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</si>
  <si>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</si>
  <si>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</si>
  <si>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</si>
  <si>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</si>
  <si>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</si>
  <si>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</si>
  <si>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</si>
  <si>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</si>
  <si>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</si>
  <si>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</si>
  <si>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</si>
  <si>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</si>
  <si>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</si>
  <si>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</si>
  <si>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</si>
  <si>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</si>
  <si>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</si>
  <si>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</si>
  <si>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</si>
  <si>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</si>
  <si>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</si>
  <si>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</si>
  <si>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</si>
  <si>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</si>
  <si>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</si>
  <si>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</si>
  <si>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</si>
  <si>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</si>
  <si>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</si>
  <si>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</si>
  <si>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</si>
  <si>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</si>
  <si>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</si>
  <si>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</si>
  <si>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</si>
  <si>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</si>
  <si>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</si>
  <si>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</si>
  <si>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</si>
  <si>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</si>
  <si>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</si>
  <si>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</si>
  <si>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</si>
  <si>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</si>
  <si>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</si>
  <si>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</si>
  <si>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</si>
  <si>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</si>
  <si>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</si>
  <si>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</si>
  <si>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</si>
  <si>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</si>
  <si>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</si>
  <si>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</si>
  <si>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</si>
  <si>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</si>
  <si>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</si>
  <si>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</si>
  <si>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</si>
  <si>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</si>
  <si>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</si>
  <si>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</si>
  <si>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</si>
  <si>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</si>
  <si>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</si>
  <si>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</si>
  <si>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</si>
  <si>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</si>
  <si>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</si>
  <si>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</si>
  <si>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</si>
  <si>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</si>
  <si>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</si>
  <si>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</si>
  <si>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</si>
  <si>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</si>
  <si>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</si>
  <si>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</si>
  <si>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</si>
  <si>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</si>
  <si>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</si>
  <si>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</si>
  <si>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</si>
  <si>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</si>
  <si>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</si>
  <si>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</si>
  <si>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</si>
  <si>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</si>
  <si>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</si>
  <si>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</si>
  <si>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</si>
  <si>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</si>
  <si>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</si>
  <si>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</si>
  <si>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</si>
  <si>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</si>
  <si>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</si>
  <si>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</si>
  <si>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</si>
  <si>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</si>
  <si>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</si>
  <si>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</si>
  <si>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</si>
  <si>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</si>
  <si>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</si>
  <si>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</si>
  <si>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</si>
  <si>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</si>
  <si>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</si>
  <si>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</si>
  <si>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</si>
  <si>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</si>
  <si>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</si>
  <si>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</si>
  <si>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</si>
  <si>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</si>
  <si>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</si>
  <si>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</si>
  <si>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</si>
  <si>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</si>
  <si>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</si>
  <si>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</si>
  <si>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</si>
  <si>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</si>
  <si>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</si>
  <si>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</si>
  <si>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</si>
  <si>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</si>
  <si>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</si>
  <si>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</si>
  <si>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</si>
  <si>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</si>
  <si>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</si>
  <si>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</si>
  <si>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</si>
  <si>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</si>
  <si>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</si>
  <si>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</si>
  <si>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</si>
  <si>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</si>
  <si>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</si>
  <si>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</si>
  <si>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</si>
  <si>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</si>
  <si>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</si>
  <si>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</si>
  <si>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</si>
  <si>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</si>
  <si>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</si>
  <si>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</si>
  <si>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</si>
  <si>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</si>
  <si>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</si>
  <si>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</si>
  <si>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</si>
  <si>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</si>
  <si>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</si>
  <si>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</si>
  <si>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</si>
  <si>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</si>
  <si>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</si>
  <si>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</si>
  <si>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</si>
  <si>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</si>
  <si>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</si>
  <si>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</si>
  <si>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</si>
  <si>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</si>
  <si>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</si>
  <si>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</si>
  <si>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</si>
  <si>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</si>
  <si>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</si>
  <si>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</si>
  <si>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</si>
  <si>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</si>
  <si>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</si>
  <si>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</si>
  <si>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</si>
  <si>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</si>
  <si>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</si>
  <si>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</si>
  <si>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</si>
  <si>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</si>
  <si>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</si>
  <si>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</si>
  <si>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</si>
  <si>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</si>
  <si>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</si>
  <si>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</si>
  <si>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</si>
  <si>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</si>
  <si>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</si>
  <si>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</si>
  <si>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</si>
  <si>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</si>
  <si>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</si>
  <si>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</si>
  <si>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</si>
  <si>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</si>
  <si>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</si>
  <si>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</si>
  <si>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</si>
  <si>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</si>
  <si>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</si>
  <si>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</si>
  <si>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</si>
  <si>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</si>
  <si>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</si>
  <si>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</si>
  <si>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</si>
  <si>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</si>
  <si>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</si>
  <si>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</si>
  <si>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</si>
  <si>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</si>
  <si>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</si>
  <si>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</si>
  <si>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</si>
  <si>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</si>
  <si>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</si>
  <si>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</si>
  <si>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</si>
  <si>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</si>
  <si>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</si>
  <si>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</si>
  <si>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</si>
  <si>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</si>
  <si>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</si>
  <si>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</si>
  <si>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</si>
  <si>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</si>
  <si>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</si>
  <si>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</si>
  <si>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</si>
  <si>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</si>
  <si>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</si>
  <si>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</si>
  <si>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</si>
  <si>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</si>
  <si>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</si>
  <si>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</si>
  <si>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</si>
  <si>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</si>
  <si>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</si>
  <si>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</si>
  <si>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</si>
  <si>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</si>
  <si>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</si>
  <si>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</si>
  <si>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</si>
  <si>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</si>
  <si>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</si>
  <si>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</si>
  <si>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</si>
  <si>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</si>
  <si>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</si>
  <si>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</si>
  <si>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</si>
  <si>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</si>
  <si>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</si>
  <si>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</si>
  <si>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</si>
  <si>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</si>
  <si>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</si>
  <si>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</si>
  <si>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</si>
  <si>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</si>
  <si>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</si>
  <si>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</si>
  <si>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</si>
  <si>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</si>
  <si>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</si>
  <si>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</si>
  <si>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</si>
  <si>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</si>
  <si>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</si>
  <si>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</si>
  <si>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</si>
  <si>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</si>
  <si>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</si>
  <si>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</si>
  <si>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</si>
  <si>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</si>
  <si>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</si>
  <si>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</si>
  <si>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</si>
  <si>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</si>
  <si>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</si>
  <si>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</si>
  <si>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</si>
  <si>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</si>
  <si>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</si>
  <si>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</si>
  <si>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</si>
  <si>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</si>
  <si>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</si>
  <si>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</si>
  <si>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</si>
  <si>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</si>
  <si>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</si>
  <si>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</si>
  <si>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</si>
  <si>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</si>
  <si>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</si>
  <si>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</si>
  <si>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</si>
  <si>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</si>
  <si>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</si>
  <si>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</si>
  <si>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</si>
  <si>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</si>
  <si>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</si>
  <si>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</si>
  <si>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</si>
  <si>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</si>
  <si>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</si>
  <si>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</si>
  <si>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</si>
  <si>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</si>
  <si>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</si>
  <si>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</si>
  <si>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</si>
  <si>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</si>
  <si>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</si>
  <si>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</si>
  <si>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</si>
  <si>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</si>
  <si>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</si>
  <si>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</si>
  <si>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</si>
  <si>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</si>
  <si>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</si>
  <si>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</si>
  <si>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</si>
  <si>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</si>
  <si>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</si>
  <si>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</si>
  <si>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</si>
  <si>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</si>
  <si>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</si>
  <si>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</si>
  <si>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</si>
  <si>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</si>
  <si>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</si>
  <si>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</si>
  <si>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</si>
  <si>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</si>
  <si>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</si>
  <si>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</si>
  <si>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</si>
  <si>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</si>
  <si>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</si>
  <si>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</si>
  <si>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</si>
  <si>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</si>
  <si>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</si>
  <si>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</si>
  <si>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</si>
  <si>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</si>
  <si>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</si>
  <si>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</si>
  <si>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</si>
  <si>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</si>
  <si>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</si>
  <si>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</si>
  <si>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</si>
  <si>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</si>
  <si>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</si>
  <si>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</si>
  <si>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</si>
  <si>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</si>
  <si>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</si>
  <si>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</si>
  <si>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</si>
  <si>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</si>
  <si>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</si>
  <si>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</si>
  <si>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</si>
  <si>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</si>
  <si>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</si>
  <si>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</si>
  <si>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</si>
  <si>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</si>
  <si>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</si>
  <si>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</si>
  <si>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</si>
  <si>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</si>
  <si>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</si>
  <si>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</si>
  <si>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</si>
  <si>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</si>
  <si>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</si>
  <si>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</si>
  <si>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</si>
  <si>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</si>
  <si>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</si>
  <si>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</si>
  <si>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</si>
  <si>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</si>
  <si>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</si>
  <si>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</si>
  <si>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</si>
  <si>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</si>
  <si>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</si>
  <si>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</si>
  <si>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</si>
  <si>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</si>
  <si>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</si>
  <si>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</si>
  <si>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</si>
  <si>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</si>
  <si>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</si>
  <si>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</si>
  <si>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</si>
  <si>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</si>
  <si>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</si>
  <si>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</si>
  <si>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</si>
  <si>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</si>
  <si>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</si>
  <si>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</si>
  <si>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</si>
  <si>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</si>
  <si>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</si>
  <si>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</si>
  <si>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</si>
  <si>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</si>
  <si>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</si>
  <si>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</si>
  <si>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</si>
  <si>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</si>
  <si>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</si>
  <si>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</si>
  <si>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</si>
  <si>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</si>
  <si>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</si>
  <si>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</si>
  <si>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</si>
  <si>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</si>
  <si>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</si>
  <si>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</si>
  <si>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</si>
  <si>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</si>
  <si>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</si>
  <si>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</si>
  <si>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</si>
  <si>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</si>
  <si>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</si>
  <si>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</si>
  <si>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</si>
  <si>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</si>
  <si>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</si>
  <si>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</si>
  <si>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</si>
  <si>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</si>
  <si>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</si>
  <si>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</si>
  <si>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</si>
  <si>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</si>
  <si>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</si>
  <si>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</si>
  <si>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</si>
  <si>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</si>
  <si>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</si>
  <si>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</si>
  <si>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</si>
  <si>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</si>
  <si>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</si>
  <si>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</si>
  <si>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</si>
  <si>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</si>
  <si>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</si>
  <si>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</si>
  <si>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</si>
  <si>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</si>
  <si>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</si>
  <si>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</si>
  <si>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</si>
  <si>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</si>
  <si>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</si>
  <si>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</si>
  <si>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</si>
  <si>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</si>
  <si>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</si>
  <si>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</si>
  <si>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</si>
  <si>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</si>
  <si>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</si>
  <si>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</si>
  <si>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</si>
  <si>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</si>
  <si>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</si>
  <si>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</si>
  <si>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</si>
  <si>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</si>
  <si>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</si>
  <si>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</si>
  <si>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</si>
  <si>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</si>
  <si>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</si>
  <si>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</si>
  <si>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</si>
  <si>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</si>
  <si>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</si>
  <si>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</si>
  <si>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</si>
  <si>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</si>
  <si>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</si>
  <si>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</si>
  <si>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</si>
  <si>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</si>
  <si>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</si>
  <si>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</si>
  <si>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</si>
  <si>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</si>
  <si>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</si>
  <si>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</si>
  <si>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</si>
  <si>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</si>
  <si>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</si>
  <si>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</si>
  <si>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</si>
  <si>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</si>
  <si>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</si>
  <si>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</si>
  <si>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</si>
  <si>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</si>
  <si>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</si>
  <si>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</si>
  <si>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</si>
  <si>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</si>
  <si>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</si>
  <si>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</si>
  <si>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</si>
  <si>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</si>
  <si>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</si>
  <si>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</si>
  <si>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</si>
  <si>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</si>
  <si>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</si>
  <si>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</si>
  <si>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</si>
  <si>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</si>
  <si>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</si>
  <si>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</si>
  <si>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</si>
  <si>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</si>
  <si>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</si>
  <si>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</si>
  <si>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</si>
  <si>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</si>
  <si>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</si>
  <si>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</si>
  <si>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</si>
  <si>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</si>
  <si>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</si>
  <si>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</si>
  <si>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</si>
  <si>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</si>
  <si>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</si>
  <si>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</si>
  <si>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</si>
  <si>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</si>
  <si>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</si>
  <si>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</si>
  <si>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</si>
  <si>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</si>
  <si>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</si>
  <si>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</si>
  <si>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</si>
  <si>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</si>
  <si>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</si>
  <si>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</si>
  <si>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</si>
  <si>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</si>
  <si>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</si>
  <si>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</si>
  <si>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</si>
  <si>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</si>
  <si>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</si>
  <si>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</si>
  <si>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</si>
  <si>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</si>
  <si>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</si>
  <si>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</si>
  <si>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</si>
  <si>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</si>
  <si>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</si>
  <si>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</si>
  <si>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</si>
  <si>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</si>
  <si>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</si>
  <si>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</si>
  <si>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</si>
  <si>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</si>
  <si>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</si>
  <si>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</si>
  <si>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</si>
  <si>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</si>
  <si>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</si>
  <si>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</si>
  <si>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</si>
  <si>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</si>
  <si>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</si>
  <si>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</si>
  <si>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</si>
  <si>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</si>
  <si>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</si>
  <si>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</si>
  <si>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</si>
  <si>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</si>
  <si>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</si>
  <si>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</si>
  <si>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</si>
  <si>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</si>
  <si>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</si>
  <si>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</si>
  <si>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</si>
  <si>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</si>
  <si>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</si>
  <si>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</si>
  <si>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</si>
  <si>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</si>
  <si>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</si>
  <si>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</si>
  <si>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</si>
  <si>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</si>
  <si>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</si>
  <si>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</si>
  <si>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</si>
  <si>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</si>
  <si>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</si>
  <si>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</si>
  <si>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</si>
  <si>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</si>
  <si>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</si>
  <si>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</si>
  <si>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</si>
  <si>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</si>
  <si>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</si>
  <si>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</si>
  <si>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</si>
  <si>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</si>
  <si>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</si>
  <si>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</si>
  <si>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</si>
  <si>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</si>
  <si>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</si>
  <si>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</si>
  <si>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</si>
  <si>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</si>
  <si>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</si>
  <si>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</si>
  <si>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</si>
  <si>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</si>
  <si>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</si>
  <si>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</si>
  <si>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</si>
  <si>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</si>
  <si>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</si>
  <si>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</si>
  <si>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</si>
  <si>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</si>
  <si>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</si>
  <si>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</si>
  <si>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</si>
  <si>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</si>
  <si>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</si>
  <si>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</si>
  <si>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</si>
  <si>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</si>
  <si>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</si>
  <si>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</si>
  <si>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</si>
  <si>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</si>
  <si>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</si>
  <si>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</si>
  <si>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</si>
  <si>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</si>
  <si>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</si>
  <si>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</si>
  <si>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</si>
  <si>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</si>
  <si>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</si>
  <si>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</si>
  <si>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</si>
  <si>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</si>
  <si>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</si>
  <si>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</si>
  <si>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</si>
  <si>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</si>
  <si>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</si>
  <si>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</si>
  <si>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</si>
  <si>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</si>
  <si>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</si>
  <si>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</si>
  <si>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</si>
  <si>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</si>
  <si>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</si>
  <si>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</si>
  <si>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</si>
  <si>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</si>
  <si>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</si>
  <si>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</si>
  <si>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</si>
  <si>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</si>
  <si>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</si>
  <si>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</si>
  <si>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</si>
  <si>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</si>
  <si>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</si>
  <si>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</si>
  <si>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</si>
  <si>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</si>
  <si>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</si>
  <si>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</si>
  <si>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</si>
  <si>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</si>
  <si>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</si>
  <si>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</si>
  <si>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</si>
  <si>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</si>
  <si>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</si>
  <si>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</si>
  <si>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</si>
  <si>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</si>
  <si>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</si>
  <si>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Jo Daviess</t>
  </si>
  <si>
    <t>310 N. West Street</t>
  </si>
  <si>
    <t>Elizabeth</t>
  </si>
  <si>
    <t>carissa.brandt@nwseonline.onmicrosoft.com</t>
  </si>
  <si>
    <t>Tracy Dahl</t>
  </si>
  <si>
    <t>Matthew Schueler</t>
  </si>
  <si>
    <t>none</t>
  </si>
  <si>
    <t>n/a</t>
  </si>
  <si>
    <t>Adverse for not reporting under GASB 34</t>
  </si>
  <si>
    <t>US DEPARTMENT OF HEALTH &amp; HUMAN SERVICES</t>
  </si>
  <si>
    <t>Passed through Illinois Dept of Heathcare &amp; Family Services</t>
  </si>
  <si>
    <t xml:space="preserve">   Medicaid Administrative Outreach</t>
  </si>
  <si>
    <t xml:space="preserve">  Medicaid Administrative Outreach</t>
  </si>
  <si>
    <t>US DEPARTMENT OF EDUCATION</t>
  </si>
  <si>
    <t>Passed through Illinois State Board of Education</t>
  </si>
  <si>
    <t xml:space="preserve">  Fed Spec Ed IDEA Flow Through (M)</t>
  </si>
  <si>
    <t xml:space="preserve">  Fed Spec Ed Preschool Flow Through (M)</t>
  </si>
  <si>
    <t>18-4991-00</t>
  </si>
  <si>
    <t>19-4991-00</t>
  </si>
  <si>
    <t>18-4620-00</t>
  </si>
  <si>
    <t>19-4620-00</t>
  </si>
  <si>
    <t>18-4600-00</t>
  </si>
  <si>
    <t>19-4600-00</t>
  </si>
  <si>
    <t>Total Special Ed Cluster</t>
  </si>
  <si>
    <t>Passed through Illinois Department of Human Sevices</t>
  </si>
  <si>
    <t xml:space="preserve">   DORS- Secondary Transistion Experience Program</t>
  </si>
  <si>
    <t>US DEPARTMENT OF AGRICULTURE</t>
  </si>
  <si>
    <t xml:space="preserve">  National School Lunch</t>
  </si>
  <si>
    <t xml:space="preserve">  National School Breakfast</t>
  </si>
  <si>
    <t>Total Nutrition Cluster</t>
  </si>
  <si>
    <t>18-4998-00</t>
  </si>
  <si>
    <t>19-4998-00</t>
  </si>
  <si>
    <t>18-4210-00</t>
  </si>
  <si>
    <t>17-4210-00</t>
  </si>
  <si>
    <t>19-4210-00</t>
  </si>
  <si>
    <t>17-4220-00</t>
  </si>
  <si>
    <t>18-4220-00</t>
  </si>
  <si>
    <t>19-4220-00</t>
  </si>
  <si>
    <t>Total Federal Awards</t>
  </si>
  <si>
    <t>Medicaid outreach revenue reported on SEFA to reconcile to HFS confirmation</t>
  </si>
  <si>
    <r>
      <t>The accompanying Schedule of Expenditures of Federal Awards includes the federal grant activity of Northwest Special Education Cooperative and is presented on the accural</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</si>
  <si>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NW Illinois Special Education Coop provided federal awards to subrecipients as follows:</t>
  </si>
  <si>
    <t>Dakota CUSD #201 (08-089-2010-26)</t>
  </si>
  <si>
    <t>East Dubuque CUSD #119 (08-043-1190-22)</t>
  </si>
  <si>
    <t>Galena CUSD #120 (08-043-1200-22)</t>
  </si>
  <si>
    <t>Lena-Winslow CUSD #202 (08-089-2020-26)</t>
  </si>
  <si>
    <t>Orangeville CUSD #203 (08-089-2030-26)</t>
  </si>
  <si>
    <t>Pearl City CUSD #200 (08-089-2000-26)</t>
  </si>
  <si>
    <t>River Ridge CUSD #210 (08-043-2100-26)</t>
  </si>
  <si>
    <t>Scales Mound CUSD #211 (08-043-2110-26)</t>
  </si>
  <si>
    <t>Stockton CUSD #206 (08-043-2060-26)</t>
  </si>
  <si>
    <t>Warren CUSD #205 (08-043-2050-26)</t>
  </si>
  <si>
    <t>West Carroll CUSD #314 (08-008-3140-26)</t>
  </si>
  <si>
    <t>total</t>
  </si>
  <si>
    <t>no</t>
  </si>
  <si>
    <t>Adverse for GAAP, Unmodified for Regulatory</t>
  </si>
  <si>
    <t>Unmodified</t>
  </si>
  <si>
    <t>84.027 &amp; 84.173</t>
  </si>
  <si>
    <t>Special Education Cluster</t>
  </si>
  <si>
    <t>Management is responsible for establishing and maintaining internal controls and for the fair presentation of the financial statements including the related disclosures, in accordance with the regulatory basis of accounting</t>
  </si>
  <si>
    <t>The joint agreement does not have an internal control policy in place over annual financial reporting that would enable management to prepare its annual financial statements and ensure related footnote disclosures are complete and presented in accordance with the regulatory basis of accounting.</t>
  </si>
  <si>
    <t>The completeness of the financial statement disclosure and accuracy olf the overall financial presentation are negatively impacted as outside auditors do not have the same comprehensive understanding of the Joint Agreement as its internal financial staff</t>
  </si>
  <si>
    <t>The joint agreement relies on the audit firm to prepare the annual financial statements and related footnote disclosures.  However, they have reviewed and approved the annual financial statements and related footnote disclosures.</t>
  </si>
  <si>
    <t>The joint agreement should continue to evaluate the cost/benefit of hiring someone capable of producing regulatory basis financial statements.</t>
  </si>
  <si>
    <t xml:space="preserve">The joint agreement has determined it is not cost beneficial to hire </t>
  </si>
  <si>
    <t>Internal controls should be in place so that no one individual handles a transaction from inception to completion</t>
  </si>
  <si>
    <t>Due to the limited number of personnel available, there are situations within the system of internal control where there is not a complete or adequate segregation of duties</t>
  </si>
  <si>
    <t>Errors or irregularities could go undetected due to the inadequate segregation of duties</t>
  </si>
  <si>
    <t>There is a limited number of personnel available to completely segregate duties</t>
  </si>
  <si>
    <t>Continued effective oversight by the governing board and executive management compensates for some of the segregation issues.  We recommend the board continue to stay active in their oversight role and whenever possible, incompatible duties be segregated withing the accounting system</t>
  </si>
  <si>
    <t>Agree with auditor recommendation.  Board is active in reviewing and approving financial data and where possible, we will look for ways to segregate duties</t>
  </si>
  <si>
    <t>2018-001</t>
  </si>
  <si>
    <t>2018-002</t>
  </si>
  <si>
    <t>2017-001</t>
  </si>
  <si>
    <t>2017-002</t>
  </si>
  <si>
    <t>Report Preparation</t>
  </si>
  <si>
    <t>Segregation of duties</t>
  </si>
  <si>
    <t>Condition still exists</t>
  </si>
  <si>
    <t xml:space="preserve">Condition still exists </t>
  </si>
  <si>
    <t>Report preparation</t>
  </si>
  <si>
    <r>
      <t xml:space="preserve">The following amounts were expended in the form of non-cash assistance by </t>
    </r>
    <r>
      <rPr>
        <b/>
        <sz val="9"/>
        <rFont val="Calibri"/>
        <family val="2"/>
        <scheme val="minor"/>
      </rPr>
      <t>Northwest Special Education</t>
    </r>
    <r>
      <rPr>
        <sz val="9"/>
        <rFont val="Calibri"/>
        <family val="2"/>
        <scheme val="minor"/>
      </rPr>
      <t xml:space="preserve"> Cooperative and </t>
    </r>
    <r>
      <rPr>
        <b/>
        <sz val="9"/>
        <rFont val="Calibri"/>
        <family val="2"/>
        <scheme val="minor"/>
      </rPr>
      <t>should be</t>
    </r>
    <r>
      <rPr>
        <sz val="9"/>
        <rFont val="Calibri"/>
        <family val="2"/>
        <scheme val="minor"/>
      </rPr>
      <t xml:space="preserve"> included in the Schedule of Expenditures of Federal Awards:</t>
    </r>
  </si>
  <si>
    <r>
      <t xml:space="preserve">The following amounts were expended in the form of non-cash assistance by Northwest Special Edcuation Cooperative and </t>
    </r>
    <r>
      <rPr>
        <b/>
        <sz val="9"/>
        <rFont val="Calibri"/>
        <family val="2"/>
        <scheme val="minor"/>
      </rPr>
      <t>should be</t>
    </r>
    <r>
      <rPr>
        <sz val="9"/>
        <rFont val="Calibri"/>
        <family val="2"/>
        <scheme val="minor"/>
      </rPr>
      <t xml:space="preserve"> included in the Schedule of Expenditures of Federal Awards:</t>
    </r>
  </si>
  <si>
    <t>see attachment page for signed page</t>
  </si>
  <si>
    <t>Northwest Sp Ed Cooperative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</si>
</sst>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7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4" fillId="0" borderId="157" xfId="17" applyFont="1" applyBorder="1" applyAlignment="1" applyProtection="1">
      <alignment horizontal="left" vertical="top" wrapText="1"/>
      <protection locked="0"/>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6" fillId="0" borderId="147" xfId="3" applyFont="1" applyBorder="1" applyProtection="1">
      <protection locked="0"/>
    </xf>
    <xf numFmtId="0" fontId="57" fillId="0" borderId="0" xfId="3" applyFont="1" applyProtection="1"/>
    <xf numFmtId="0" fontId="57" fillId="0" borderId="0" xfId="3" applyFont="1" applyBorder="1" applyProtection="1"/>
    <xf numFmtId="0" fontId="55" fillId="0" borderId="0" xfId="3" applyFont="1" applyBorder="1" applyProtection="1"/>
    <xf numFmtId="0" fontId="57" fillId="0" borderId="0" xfId="3" applyFont="1" applyAlignment="1" applyProtection="1">
      <alignment horizontal="center"/>
    </xf>
    <xf numFmtId="0" fontId="65" fillId="0" borderId="0" xfId="3" applyFont="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57" fillId="0" borderId="0" xfId="3" applyFont="1" applyAlignment="1" applyProtection="1"/>
    <xf numFmtId="0" fontId="55" fillId="0" borderId="0" xfId="3" applyFont="1" applyBorder="1" applyAlignment="1" applyProtection="1">
      <alignment horizont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16" fillId="0" borderId="147" xfId="3" applyFont="1" applyBorder="1" applyProtection="1">
      <protection locked="0"/>
    </xf>
    <xf numFmtId="0" fontId="16" fillId="0" borderId="22" xfId="3" applyFont="1" applyBorder="1" applyAlignment="1" applyProtection="1">
      <alignment horizontal="center"/>
      <protection locked="0"/>
    </xf>
    <xf numFmtId="0" fontId="54" fillId="0" borderId="0" xfId="3" applyFont="1" applyBorder="1" applyAlignment="1" applyProtection="1">
      <alignment horizontal="center" vertical="center"/>
    </xf>
    <xf numFmtId="0" fontId="57" fillId="0" borderId="0" xfId="3" applyFont="1" applyProtection="1"/>
    <xf numFmtId="0" fontId="57" fillId="0" borderId="0" xfId="3" applyFont="1" applyBorder="1" applyProtection="1"/>
    <xf numFmtId="0" fontId="57" fillId="0" borderId="0" xfId="3" applyFont="1" applyAlignment="1" applyProtection="1">
      <alignment horizontal="center"/>
    </xf>
    <xf numFmtId="0" fontId="65" fillId="0" borderId="0" xfId="3" applyFont="1" applyProtection="1"/>
    <xf numFmtId="0" fontId="55" fillId="0" borderId="0" xfId="3" applyFont="1" applyProtection="1"/>
    <xf numFmtId="0" fontId="65" fillId="0" borderId="0" xfId="3" applyFont="1" applyBorder="1" applyProtection="1"/>
    <xf numFmtId="0" fontId="57" fillId="0" borderId="78" xfId="3" applyFont="1" applyBorder="1" applyProtection="1"/>
    <xf numFmtId="0" fontId="62" fillId="0" borderId="0" xfId="3" applyFont="1" applyProtection="1"/>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16" fillId="0" borderId="22" xfId="3" applyFont="1" applyBorder="1" applyAlignment="1" applyProtection="1">
      <alignment horizont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5"/>
    <cellStyle name="Normal 3 2 4" xfId="20"/>
    <cellStyle name="Normal 3 3" xfId="24"/>
    <cellStyle name="Normal 3 4" xfId="19"/>
    <cellStyle name="Normal 4" xfId="16"/>
    <cellStyle name="Normal 4 2" xfId="26"/>
    <cellStyle name="Normal 4 3"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55602DCB-A78E-4856-B186-443725ED1FA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CC999146-7756-4058-BB10-07E4E21E3D5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BB386F7-D542-4A0A-AD76-CE4FC08F0C15}"/>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104" t="s">
        <v>405</v>
      </c>
      <c r="J1" s="2105"/>
      <c r="K1" s="2105"/>
      <c r="L1" s="2105"/>
      <c r="M1" s="2105"/>
      <c r="N1" s="2105"/>
      <c r="O1" s="2105"/>
      <c r="P1" s="2105"/>
      <c r="Q1" s="2105"/>
      <c r="R1" s="2105"/>
      <c r="S1" s="2105"/>
    </row>
    <row r="2" spans="1:28" ht="12" customHeight="1" x14ac:dyDescent="0.2">
      <c r="A2" s="47" t="s">
        <v>1990</v>
      </c>
      <c r="D2" s="48"/>
      <c r="I2" s="2106" t="s">
        <v>979</v>
      </c>
      <c r="J2" s="2105"/>
      <c r="K2" s="2105"/>
      <c r="L2" s="2105"/>
      <c r="M2" s="2105"/>
      <c r="N2" s="2105"/>
      <c r="O2" s="2105"/>
      <c r="P2" s="2105"/>
      <c r="Q2" s="2105"/>
      <c r="R2" s="2105"/>
      <c r="S2" s="2105"/>
    </row>
    <row r="3" spans="1:28" ht="12" customHeight="1" x14ac:dyDescent="0.2">
      <c r="A3" s="155" t="s">
        <v>1942</v>
      </c>
      <c r="B3" s="156"/>
      <c r="C3" s="156"/>
      <c r="D3" s="157"/>
      <c r="I3" s="2106" t="s">
        <v>52</v>
      </c>
      <c r="J3" s="2105"/>
      <c r="K3" s="2105"/>
      <c r="L3" s="2105"/>
      <c r="M3" s="2105"/>
      <c r="N3" s="2105"/>
      <c r="O3" s="2105"/>
      <c r="P3" s="2105"/>
      <c r="Q3" s="2105"/>
      <c r="R3" s="2105"/>
      <c r="S3" s="2105"/>
    </row>
    <row r="4" spans="1:28" ht="12" customHeight="1" x14ac:dyDescent="0.2">
      <c r="A4" s="37"/>
      <c r="I4" s="2106" t="s">
        <v>524</v>
      </c>
      <c r="J4" s="2105"/>
      <c r="K4" s="2105"/>
      <c r="L4" s="2105"/>
      <c r="M4" s="2105"/>
      <c r="N4" s="2105"/>
      <c r="O4" s="2105"/>
      <c r="P4" s="2105"/>
      <c r="Q4" s="2105"/>
      <c r="R4" s="2105"/>
      <c r="S4" s="2105"/>
    </row>
    <row r="5" spans="1:28" ht="14.1" customHeight="1" x14ac:dyDescent="0.2">
      <c r="B5" s="104"/>
      <c r="C5" s="26" t="s">
        <v>910</v>
      </c>
      <c r="D5" s="84"/>
      <c r="E5" s="84"/>
      <c r="H5" s="38"/>
      <c r="I5" s="2113" t="s">
        <v>680</v>
      </c>
      <c r="J5" s="2058"/>
      <c r="K5" s="2058"/>
      <c r="L5" s="2058"/>
      <c r="M5" s="2058"/>
      <c r="N5" s="2058"/>
      <c r="O5" s="2058"/>
      <c r="P5" s="2058"/>
      <c r="Q5" s="2058"/>
      <c r="R5" s="2058"/>
      <c r="S5" s="2058"/>
    </row>
    <row r="6" spans="1:28" ht="14.1" customHeight="1" x14ac:dyDescent="0.2">
      <c r="B6" s="104" t="s">
        <v>2069</v>
      </c>
      <c r="C6" s="26" t="s">
        <v>911</v>
      </c>
      <c r="D6" s="84"/>
      <c r="E6" s="84"/>
      <c r="I6" s="2112" t="s">
        <v>883</v>
      </c>
      <c r="J6" s="2058"/>
      <c r="K6" s="2058"/>
      <c r="L6" s="2058"/>
      <c r="M6" s="2058"/>
      <c r="N6" s="2058"/>
      <c r="O6" s="2058"/>
      <c r="P6" s="2058"/>
      <c r="Q6" s="2058"/>
      <c r="R6" s="2058"/>
      <c r="S6" s="2058"/>
    </row>
    <row r="7" spans="1:28" ht="12.2" customHeight="1" x14ac:dyDescent="0.2">
      <c r="I7" s="2107">
        <v>43646</v>
      </c>
      <c r="J7" s="2108"/>
      <c r="K7" s="2108"/>
      <c r="L7" s="2108"/>
      <c r="M7" s="2108"/>
      <c r="N7" s="2108"/>
      <c r="O7" s="2108"/>
      <c r="P7" s="2108"/>
      <c r="Q7" s="2108"/>
      <c r="R7" s="2108"/>
      <c r="S7" s="21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09" t="s">
        <v>674</v>
      </c>
      <c r="J9" s="2110"/>
      <c r="K9" s="2110"/>
      <c r="L9" s="2110"/>
      <c r="M9" s="2110"/>
      <c r="N9" s="2110"/>
      <c r="O9" s="2110"/>
      <c r="P9" s="2110"/>
      <c r="Q9" s="2110"/>
      <c r="R9" s="2110"/>
      <c r="S9" s="2111"/>
      <c r="T9" s="2054" t="s">
        <v>533</v>
      </c>
      <c r="U9" s="2055"/>
      <c r="V9" s="2055"/>
      <c r="W9" s="2055"/>
      <c r="X9" s="2055"/>
      <c r="Y9" s="2055"/>
      <c r="Z9" s="2055"/>
      <c r="AA9" s="2056"/>
    </row>
    <row r="10" spans="1:28" ht="13.5" customHeight="1" x14ac:dyDescent="0.2">
      <c r="A10" s="2063" t="s">
        <v>675</v>
      </c>
      <c r="B10" s="2064"/>
      <c r="C10" s="2064"/>
      <c r="D10" s="2064"/>
      <c r="E10" s="2064"/>
      <c r="F10" s="2064"/>
      <c r="G10" s="2064"/>
      <c r="H10" s="2065"/>
      <c r="I10" s="29"/>
      <c r="J10" s="30"/>
      <c r="K10" s="28"/>
      <c r="R10" s="30"/>
      <c r="S10" s="30"/>
      <c r="T10" s="2057"/>
      <c r="U10" s="2058"/>
      <c r="V10" s="2058"/>
      <c r="W10" s="2058"/>
      <c r="X10" s="2058"/>
      <c r="Y10" s="2058"/>
      <c r="Z10" s="2058"/>
      <c r="AA10" s="2059"/>
    </row>
    <row r="11" spans="1:28" ht="14.25" customHeight="1" x14ac:dyDescent="0.2">
      <c r="A11" s="2066" t="s">
        <v>955</v>
      </c>
      <c r="B11" s="2067"/>
      <c r="C11" s="2067"/>
      <c r="D11" s="2067"/>
      <c r="E11" s="2067"/>
      <c r="F11" s="2067"/>
      <c r="G11" s="2067"/>
      <c r="H11" s="2068"/>
      <c r="I11" s="27"/>
      <c r="J11" s="74"/>
      <c r="K11" s="27"/>
      <c r="O11" s="148"/>
      <c r="P11" s="100" t="s">
        <v>201</v>
      </c>
      <c r="Q11" s="30"/>
      <c r="R11" s="28"/>
      <c r="S11" s="27"/>
      <c r="T11" s="2060"/>
      <c r="U11" s="2061"/>
      <c r="V11" s="2061"/>
      <c r="W11" s="2061"/>
      <c r="X11" s="2061"/>
      <c r="Y11" s="2061"/>
      <c r="Z11" s="2061"/>
      <c r="AA11" s="2062"/>
    </row>
    <row r="12" spans="1:28" ht="13.5" customHeight="1" x14ac:dyDescent="0.2">
      <c r="A12" s="85" t="s">
        <v>925</v>
      </c>
      <c r="B12" s="76"/>
      <c r="C12" s="76"/>
      <c r="D12" s="76"/>
      <c r="E12" s="76"/>
      <c r="F12" s="76"/>
      <c r="G12" s="76"/>
      <c r="H12" s="53"/>
      <c r="I12" s="29"/>
      <c r="J12" s="30"/>
      <c r="K12" s="28"/>
      <c r="O12" s="149" t="s">
        <v>2069</v>
      </c>
      <c r="P12" s="100" t="s">
        <v>202</v>
      </c>
      <c r="Q12" s="74"/>
      <c r="R12" s="30"/>
      <c r="S12" s="30"/>
      <c r="T12" s="85" t="s">
        <v>265</v>
      </c>
      <c r="U12" s="51"/>
      <c r="V12" s="51"/>
      <c r="W12" s="51"/>
      <c r="X12" s="51"/>
      <c r="Y12" s="45"/>
      <c r="Z12" s="45"/>
      <c r="AA12" s="46"/>
    </row>
    <row r="13" spans="1:28" ht="13.5" customHeight="1" x14ac:dyDescent="0.2">
      <c r="A13" s="2074">
        <v>8043210061</v>
      </c>
      <c r="B13" s="2075"/>
      <c r="C13" s="2075"/>
      <c r="D13" s="2075"/>
      <c r="E13" s="2075"/>
      <c r="F13" s="2075"/>
      <c r="G13" s="2075"/>
      <c r="H13" s="2076"/>
      <c r="I13" s="31"/>
      <c r="J13" s="30"/>
      <c r="K13" s="28"/>
      <c r="L13" s="30"/>
      <c r="M13" s="30"/>
      <c r="N13" s="30"/>
      <c r="O13" s="30"/>
      <c r="P13" s="30"/>
      <c r="Q13" s="30"/>
      <c r="R13" s="30"/>
      <c r="S13" s="30"/>
      <c r="T13" s="2079" t="s">
        <v>2061</v>
      </c>
      <c r="U13" s="2080"/>
      <c r="V13" s="2080"/>
      <c r="W13" s="2080"/>
      <c r="X13" s="2080"/>
      <c r="Y13" s="2081"/>
      <c r="Z13" s="2081"/>
      <c r="AA13" s="208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72" t="s">
        <v>2070</v>
      </c>
      <c r="B15" s="2077"/>
      <c r="C15" s="2077"/>
      <c r="D15" s="2077"/>
      <c r="E15" s="2077"/>
      <c r="F15" s="2077"/>
      <c r="G15" s="2077"/>
      <c r="H15" s="2078"/>
      <c r="T15" s="2040" t="s">
        <v>2075</v>
      </c>
      <c r="U15" s="2041"/>
      <c r="V15" s="2041"/>
      <c r="W15" s="2041"/>
      <c r="X15" s="2041"/>
      <c r="Y15" s="2083"/>
      <c r="Z15" s="2083"/>
      <c r="AA15" s="208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32" t="s">
        <v>2153</v>
      </c>
      <c r="B17" s="2102"/>
      <c r="C17" s="2102"/>
      <c r="D17" s="2102"/>
      <c r="E17" s="2102"/>
      <c r="F17" s="2102"/>
      <c r="G17" s="2102"/>
      <c r="H17" s="2103"/>
      <c r="T17" s="2089" t="s">
        <v>2062</v>
      </c>
      <c r="U17" s="2090"/>
      <c r="V17" s="2090"/>
      <c r="W17" s="2090"/>
      <c r="X17" s="2090"/>
      <c r="Y17" s="2090"/>
      <c r="Z17" s="2090"/>
      <c r="AA17" s="2091"/>
    </row>
    <row r="18" spans="1:27" ht="13.5" customHeight="1" x14ac:dyDescent="0.2">
      <c r="A18" s="85" t="s">
        <v>530</v>
      </c>
      <c r="B18" s="76"/>
      <c r="C18" s="72"/>
      <c r="D18" s="76"/>
      <c r="E18" s="76"/>
      <c r="F18" s="76"/>
      <c r="G18" s="76"/>
      <c r="H18" s="56"/>
      <c r="I18" s="2099" t="s">
        <v>676</v>
      </c>
      <c r="J18" s="2100"/>
      <c r="K18" s="2100"/>
      <c r="L18" s="2100"/>
      <c r="M18" s="2100"/>
      <c r="N18" s="2100"/>
      <c r="O18" s="2100"/>
      <c r="P18" s="2100"/>
      <c r="Q18" s="2100"/>
      <c r="R18" s="2100"/>
      <c r="S18" s="2101"/>
      <c r="T18" s="85" t="s">
        <v>711</v>
      </c>
      <c r="U18" s="51"/>
      <c r="V18" s="72"/>
      <c r="W18" s="50"/>
      <c r="X18" s="85" t="s">
        <v>266</v>
      </c>
      <c r="Y18" s="81"/>
      <c r="Z18" s="159" t="s">
        <v>677</v>
      </c>
      <c r="AA18" s="46"/>
    </row>
    <row r="19" spans="1:27" ht="13.5" customHeight="1" x14ac:dyDescent="0.2">
      <c r="A19" s="2072" t="s">
        <v>2071</v>
      </c>
      <c r="B19" s="2073"/>
      <c r="C19" s="2073"/>
      <c r="D19" s="2073"/>
      <c r="E19" s="2073"/>
      <c r="F19" s="2073"/>
      <c r="G19" s="2073"/>
      <c r="H19" s="2071"/>
      <c r="I19" s="30"/>
      <c r="J19" s="99"/>
      <c r="K19" s="40"/>
      <c r="L19" s="38"/>
      <c r="M19" s="112" t="s">
        <v>315</v>
      </c>
      <c r="P19" s="27"/>
      <c r="Q19" s="27"/>
      <c r="R19" s="27"/>
      <c r="S19" s="31"/>
      <c r="T19" s="2072" t="s">
        <v>2063</v>
      </c>
      <c r="U19" s="2070"/>
      <c r="V19" s="2070"/>
      <c r="W19" s="2071"/>
      <c r="X19" s="2087" t="s">
        <v>2064</v>
      </c>
      <c r="Y19" s="2088"/>
      <c r="Z19" s="2085">
        <v>61081</v>
      </c>
      <c r="AA19" s="208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69" t="s">
        <v>2072</v>
      </c>
      <c r="B21" s="2070"/>
      <c r="C21" s="2070"/>
      <c r="D21" s="2070"/>
      <c r="E21" s="2070"/>
      <c r="F21" s="2070"/>
      <c r="G21" s="2070"/>
      <c r="H21" s="2071"/>
      <c r="I21" s="2095" t="s">
        <v>678</v>
      </c>
      <c r="J21" s="2058"/>
      <c r="K21" s="2058"/>
      <c r="L21" s="2058"/>
      <c r="M21" s="2058"/>
      <c r="N21" s="2058"/>
      <c r="O21" s="2058"/>
      <c r="P21" s="2058"/>
      <c r="Q21" s="2058"/>
      <c r="R21" s="2058"/>
      <c r="S21" s="2059"/>
      <c r="T21" s="2037" t="s">
        <v>2065</v>
      </c>
      <c r="U21" s="2038"/>
      <c r="V21" s="2038"/>
      <c r="W21" s="2038"/>
      <c r="X21" s="2051" t="s">
        <v>2066</v>
      </c>
      <c r="Y21" s="2052"/>
      <c r="Z21" s="2052"/>
      <c r="AA21" s="2053"/>
    </row>
    <row r="22" spans="1:27" ht="13.5" customHeight="1" x14ac:dyDescent="0.2">
      <c r="A22" s="87" t="s">
        <v>531</v>
      </c>
      <c r="B22" s="59"/>
      <c r="C22" s="59"/>
      <c r="D22" s="59"/>
      <c r="E22" s="59"/>
      <c r="F22" s="59"/>
      <c r="G22" s="59"/>
      <c r="H22" s="60"/>
      <c r="I22" s="2096" t="s">
        <v>1429</v>
      </c>
      <c r="J22" s="2097"/>
      <c r="K22" s="2097"/>
      <c r="L22" s="2097"/>
      <c r="M22" s="2097"/>
      <c r="N22" s="2097"/>
      <c r="O22" s="2097"/>
      <c r="P22" s="2097"/>
      <c r="Q22" s="2097"/>
      <c r="R22" s="2097"/>
      <c r="S22" s="2098"/>
      <c r="T22" s="85" t="s">
        <v>1516</v>
      </c>
      <c r="U22" s="51"/>
      <c r="V22" s="72"/>
      <c r="W22" s="51"/>
      <c r="X22" s="160" t="s">
        <v>1318</v>
      </c>
      <c r="Z22" s="45"/>
      <c r="AA22" s="46"/>
    </row>
    <row r="23" spans="1:27" ht="13.5" customHeight="1" x14ac:dyDescent="0.2">
      <c r="A23" s="2092" t="s">
        <v>2073</v>
      </c>
      <c r="B23" s="2093"/>
      <c r="C23" s="2093"/>
      <c r="D23" s="2093"/>
      <c r="E23" s="2093"/>
      <c r="F23" s="2093"/>
      <c r="G23" s="2093"/>
      <c r="H23" s="2094"/>
      <c r="T23" s="2032" t="s">
        <v>2067</v>
      </c>
      <c r="U23" s="2033"/>
      <c r="V23" s="2033"/>
      <c r="W23" s="2033"/>
      <c r="X23" s="2048">
        <v>44530</v>
      </c>
      <c r="Y23" s="2049"/>
      <c r="Z23" s="2049"/>
      <c r="AA23" s="2050"/>
    </row>
    <row r="24" spans="1:27" ht="14.1" customHeight="1" x14ac:dyDescent="0.2">
      <c r="A24" s="88" t="s">
        <v>677</v>
      </c>
      <c r="B24" s="49"/>
      <c r="C24" s="49"/>
      <c r="D24" s="49"/>
      <c r="E24" s="49"/>
      <c r="F24" s="49"/>
      <c r="G24" s="49"/>
      <c r="H24" s="61"/>
      <c r="J24" s="2134" t="str">
        <f>IF(B5="x",IF(AUDITCHECK!D29="AFR form Incomplete.","",IF(AUDITCHECK!D29="Deficit reduction plan is required.","School District must complete a deficit reduction plan in the 2019-2020 Budget",)),"")</f>
        <v/>
      </c>
      <c r="K24" s="2134"/>
      <c r="L24" s="2134"/>
      <c r="M24" s="2134"/>
      <c r="N24" s="2134"/>
      <c r="O24" s="2134"/>
      <c r="P24" s="2134"/>
      <c r="Q24" s="2134"/>
      <c r="R24" s="2134"/>
      <c r="S24" s="2135"/>
      <c r="T24" s="105" t="s">
        <v>531</v>
      </c>
      <c r="U24" s="106"/>
      <c r="V24" s="106"/>
      <c r="W24" s="106"/>
      <c r="X24" s="107"/>
      <c r="Y24" s="107"/>
      <c r="Z24" s="107"/>
      <c r="AA24" s="108"/>
    </row>
    <row r="25" spans="1:27" ht="14.1" customHeight="1" x14ac:dyDescent="0.2">
      <c r="A25" s="2069">
        <v>61028</v>
      </c>
      <c r="B25" s="2070"/>
      <c r="C25" s="2070"/>
      <c r="D25" s="2070"/>
      <c r="E25" s="2070"/>
      <c r="F25" s="2070"/>
      <c r="G25" s="2070"/>
      <c r="H25" s="2071"/>
      <c r="I25" s="113"/>
      <c r="J25" s="2136"/>
      <c r="K25" s="2136"/>
      <c r="L25" s="2136"/>
      <c r="M25" s="2136"/>
      <c r="N25" s="2136"/>
      <c r="O25" s="2136"/>
      <c r="P25" s="2136"/>
      <c r="Q25" s="2136"/>
      <c r="R25" s="2136"/>
      <c r="S25" s="2137"/>
      <c r="T25" s="2029" t="s">
        <v>2068</v>
      </c>
      <c r="U25" s="2030"/>
      <c r="V25" s="2030"/>
      <c r="W25" s="2030"/>
      <c r="X25" s="2030"/>
      <c r="Y25" s="2030"/>
      <c r="Z25" s="2030"/>
      <c r="AA25" s="203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27" t="s">
        <v>1511</v>
      </c>
      <c r="J27" s="2100"/>
      <c r="K27" s="2100"/>
      <c r="L27" s="2100"/>
      <c r="M27" s="2100"/>
      <c r="N27" s="2100"/>
      <c r="O27" s="2100"/>
      <c r="P27" s="2100"/>
      <c r="Q27" s="2100"/>
      <c r="R27" s="2100"/>
      <c r="S27" s="210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2069</v>
      </c>
      <c r="F29" s="141" t="s">
        <v>1316</v>
      </c>
      <c r="G29" s="114"/>
      <c r="I29" s="54"/>
      <c r="J29" s="148" t="s">
        <v>2069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2069</v>
      </c>
      <c r="C30" s="124" t="s">
        <v>1164</v>
      </c>
      <c r="D30" s="28"/>
      <c r="E30" s="28"/>
      <c r="F30" s="140"/>
      <c r="G30" s="114"/>
      <c r="H30" s="114"/>
      <c r="I30" s="54"/>
      <c r="J30" s="148" t="s">
        <v>2069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73"/>
      <c r="Q35" s="2070"/>
      <c r="R35" s="20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32" t="s">
        <v>2074</v>
      </c>
      <c r="B38" s="2102"/>
      <c r="C38" s="2102"/>
      <c r="D38" s="2102"/>
      <c r="E38" s="2102"/>
      <c r="F38" s="2070"/>
      <c r="G38" s="2070"/>
      <c r="H38" s="2071"/>
      <c r="I38" s="2121"/>
      <c r="J38" s="2041"/>
      <c r="K38" s="2041"/>
      <c r="L38" s="2041"/>
      <c r="M38" s="2041"/>
      <c r="N38" s="2041"/>
      <c r="O38" s="2041"/>
      <c r="P38" s="2042"/>
      <c r="Q38" s="2042"/>
      <c r="R38" s="2042"/>
      <c r="S38" s="2043"/>
      <c r="T38" s="2040"/>
      <c r="U38" s="2041"/>
      <c r="V38" s="2041"/>
      <c r="W38" s="2041"/>
      <c r="X38" s="2042"/>
      <c r="Y38" s="2042"/>
      <c r="Z38" s="2042"/>
      <c r="AA38" s="2043"/>
    </row>
    <row r="39" spans="1:27" ht="12" customHeight="1" x14ac:dyDescent="0.2">
      <c r="A39" s="2125" t="s">
        <v>531</v>
      </c>
      <c r="B39" s="2126"/>
      <c r="C39" s="72"/>
      <c r="D39" s="69"/>
      <c r="E39" s="69"/>
      <c r="F39" s="79"/>
      <c r="G39" s="69"/>
      <c r="H39" s="56"/>
      <c r="I39" s="2125" t="s">
        <v>531</v>
      </c>
      <c r="J39" s="2126"/>
      <c r="K39" s="2126"/>
      <c r="L39" s="2126"/>
      <c r="M39" s="2126"/>
      <c r="N39" s="67"/>
      <c r="O39" s="72"/>
      <c r="P39" s="72"/>
      <c r="Q39" s="78"/>
      <c r="R39" s="72"/>
      <c r="S39" s="56"/>
      <c r="T39" s="72" t="s">
        <v>531</v>
      </c>
      <c r="U39" s="51"/>
      <c r="V39" s="72"/>
      <c r="W39" s="50"/>
      <c r="X39" s="78"/>
      <c r="Y39" s="45"/>
      <c r="Z39" s="45"/>
      <c r="AA39" s="46"/>
    </row>
    <row r="40" spans="1:27" ht="13.5" customHeight="1" x14ac:dyDescent="0.2">
      <c r="A40" s="2128"/>
      <c r="B40" s="2129"/>
      <c r="C40" s="2130"/>
      <c r="D40" s="2130"/>
      <c r="E40" s="2130"/>
      <c r="F40" s="2131"/>
      <c r="G40" s="2131"/>
      <c r="H40" s="2132"/>
      <c r="I40" s="2044"/>
      <c r="J40" s="2046"/>
      <c r="K40" s="2046"/>
      <c r="L40" s="2046"/>
      <c r="M40" s="2046"/>
      <c r="N40" s="2046"/>
      <c r="O40" s="2046"/>
      <c r="P40" s="2046"/>
      <c r="Q40" s="2046"/>
      <c r="R40" s="2046"/>
      <c r="S40" s="2047"/>
      <c r="T40" s="2044"/>
      <c r="U40" s="2045"/>
      <c r="V40" s="2046"/>
      <c r="W40" s="2046"/>
      <c r="X40" s="2046"/>
      <c r="Y40" s="2046"/>
      <c r="Z40" s="2046"/>
      <c r="AA40" s="204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18"/>
      <c r="B42" s="2119"/>
      <c r="C42" s="2120"/>
      <c r="D42" s="2133"/>
      <c r="E42" s="2119"/>
      <c r="F42" s="2119"/>
      <c r="G42" s="2119"/>
      <c r="H42" s="2120"/>
      <c r="I42" s="2039"/>
      <c r="J42" s="2035"/>
      <c r="K42" s="2035"/>
      <c r="L42" s="2035"/>
      <c r="M42" s="2035"/>
      <c r="N42" s="2035"/>
      <c r="O42" s="2036"/>
      <c r="P42" s="2034"/>
      <c r="Q42" s="2035"/>
      <c r="R42" s="2035"/>
      <c r="S42" s="2036"/>
      <c r="T42" s="2039"/>
      <c r="U42" s="2035"/>
      <c r="V42" s="2035"/>
      <c r="W42" s="2036"/>
      <c r="X42" s="2034"/>
      <c r="Y42" s="2035"/>
      <c r="Z42" s="2035"/>
      <c r="AA42" s="203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22"/>
      <c r="B44" s="2123"/>
      <c r="C44" s="2123"/>
      <c r="D44" s="2123"/>
      <c r="E44" s="2123"/>
      <c r="F44" s="2123"/>
      <c r="G44" s="2123"/>
      <c r="H44" s="2124"/>
      <c r="I44" s="2114"/>
      <c r="J44" s="2116"/>
      <c r="K44" s="2116"/>
      <c r="L44" s="2116"/>
      <c r="M44" s="2116"/>
      <c r="N44" s="2116"/>
      <c r="O44" s="2116"/>
      <c r="P44" s="2116"/>
      <c r="Q44" s="2116"/>
      <c r="R44" s="2116"/>
      <c r="S44" s="2117"/>
      <c r="T44" s="2114"/>
      <c r="U44" s="2115"/>
      <c r="V44" s="2115"/>
      <c r="W44" s="2115"/>
      <c r="X44" s="2115"/>
      <c r="Y44" s="2115"/>
      <c r="Z44" s="2116"/>
      <c r="AA44" s="211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X29" sqref="X2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71" t="s">
        <v>1799</v>
      </c>
      <c r="B2" s="1528" t="s">
        <v>1948</v>
      </c>
      <c r="C2" s="714" t="s">
        <v>1949</v>
      </c>
      <c r="D2" s="714" t="s">
        <v>1950</v>
      </c>
      <c r="E2" s="714" t="s">
        <v>1951</v>
      </c>
      <c r="F2" s="714" t="s">
        <v>1952</v>
      </c>
    </row>
    <row r="3" spans="1:6" ht="12" customHeight="1" x14ac:dyDescent="0.2">
      <c r="A3" s="227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colorId="8" zoomScale="110" zoomScaleNormal="110" workbookViewId="0">
      <selection activeCell="X29" sqref="X2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7" t="s">
        <v>629</v>
      </c>
      <c r="B1" s="2278"/>
      <c r="C1" s="721"/>
    </row>
    <row r="2" spans="1:7" ht="33.75" x14ac:dyDescent="0.2">
      <c r="A2" s="2286" t="s">
        <v>1799</v>
      </c>
      <c r="B2" s="2287"/>
      <c r="C2" s="1884" t="s">
        <v>1953</v>
      </c>
      <c r="D2" s="723" t="s">
        <v>1954</v>
      </c>
      <c r="E2" s="723" t="s">
        <v>1955</v>
      </c>
      <c r="F2" s="1884" t="s">
        <v>1956</v>
      </c>
    </row>
    <row r="3" spans="1:7" ht="15.75" customHeight="1" x14ac:dyDescent="0.2">
      <c r="A3" s="2290" t="s">
        <v>1114</v>
      </c>
      <c r="B3" s="2291"/>
      <c r="C3" s="2279"/>
      <c r="D3" s="2280"/>
      <c r="E3" s="2280"/>
      <c r="F3" s="2281"/>
    </row>
    <row r="4" spans="1:7" ht="12.75" customHeight="1" thickBot="1" x14ac:dyDescent="0.25">
      <c r="A4" s="2288" t="s">
        <v>630</v>
      </c>
      <c r="B4" s="2289"/>
      <c r="C4" s="581"/>
      <c r="D4" s="581"/>
      <c r="E4" s="581"/>
      <c r="F4" s="1755">
        <f>SUM(C4+D4)-E4</f>
        <v>0</v>
      </c>
    </row>
    <row r="5" spans="1:7" ht="15.75" customHeight="1" thickTop="1" x14ac:dyDescent="0.2">
      <c r="A5" s="2273" t="s">
        <v>1110</v>
      </c>
      <c r="B5" s="2274"/>
      <c r="C5" s="2282"/>
      <c r="D5" s="2283"/>
      <c r="E5" s="2283"/>
      <c r="F5" s="228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75" t="s">
        <v>631</v>
      </c>
      <c r="B15" s="2276"/>
      <c r="C15" s="1755">
        <f>SUM(C6:C14)</f>
        <v>0</v>
      </c>
      <c r="D15" s="1755">
        <f>SUM(D6:D14)</f>
        <v>0</v>
      </c>
      <c r="E15" s="1755">
        <f>SUM(E6:E14)</f>
        <v>0</v>
      </c>
      <c r="F15" s="1755">
        <f>SUM(F6:F14)</f>
        <v>0</v>
      </c>
      <c r="G15" s="552"/>
    </row>
    <row r="16" spans="1:7" s="202" customFormat="1" ht="15.75" customHeight="1" thickTop="1" x14ac:dyDescent="0.2">
      <c r="A16" s="2285" t="s">
        <v>1111</v>
      </c>
      <c r="B16" s="2274"/>
      <c r="C16" s="2282"/>
      <c r="D16" s="2283"/>
      <c r="E16" s="2283"/>
      <c r="F16" s="2284"/>
    </row>
    <row r="17" spans="1:11" ht="12.75" customHeight="1" thickBot="1" x14ac:dyDescent="0.25">
      <c r="A17" s="2298" t="s">
        <v>64</v>
      </c>
      <c r="B17" s="2299"/>
      <c r="C17" s="726"/>
      <c r="D17" s="585"/>
      <c r="E17" s="726"/>
      <c r="F17" s="1755">
        <f>SUM(C17+D17)-E17</f>
        <v>0</v>
      </c>
    </row>
    <row r="18" spans="1:11" ht="12.75" customHeight="1" thickTop="1" thickBot="1" x14ac:dyDescent="0.25">
      <c r="A18" s="2298" t="s">
        <v>6</v>
      </c>
      <c r="B18" s="2299"/>
      <c r="C18" s="726"/>
      <c r="D18" s="585"/>
      <c r="E18" s="726"/>
      <c r="F18" s="1755">
        <f>SUM(C18+D18)-E18</f>
        <v>0</v>
      </c>
    </row>
    <row r="19" spans="1:11" ht="12.75" customHeight="1" thickTop="1" thickBot="1" x14ac:dyDescent="0.25">
      <c r="A19" s="2298" t="s">
        <v>388</v>
      </c>
      <c r="B19" s="2299"/>
      <c r="C19" s="726"/>
      <c r="D19" s="585"/>
      <c r="E19" s="726"/>
      <c r="F19" s="1755">
        <f>SUM(C19+D19)-E19</f>
        <v>0</v>
      </c>
    </row>
    <row r="20" spans="1:11" ht="12.75" customHeight="1" thickTop="1" thickBot="1" x14ac:dyDescent="0.25">
      <c r="A20" s="2298" t="s">
        <v>448</v>
      </c>
      <c r="B20" s="2299"/>
      <c r="C20" s="726"/>
      <c r="D20" s="585"/>
      <c r="E20" s="726"/>
      <c r="F20" s="1755">
        <f>SUM(C20+D20)-E20</f>
        <v>0</v>
      </c>
    </row>
    <row r="21" spans="1:11" ht="14.25" thickTop="1" thickBot="1" x14ac:dyDescent="0.25">
      <c r="A21" s="2275" t="s">
        <v>632</v>
      </c>
      <c r="B21" s="2276"/>
      <c r="C21" s="1755">
        <f>SUM(C17:C20)</f>
        <v>0</v>
      </c>
      <c r="D21" s="1755">
        <f>SUM(D17:D20)</f>
        <v>0</v>
      </c>
      <c r="E21" s="1755">
        <f>SUM(E17:E20)</f>
        <v>0</v>
      </c>
      <c r="F21" s="1755">
        <f>SUM(F17:F20)</f>
        <v>0</v>
      </c>
      <c r="G21" s="552"/>
    </row>
    <row r="22" spans="1:11" ht="15.75" customHeight="1" thickTop="1" x14ac:dyDescent="0.2">
      <c r="A22" s="2300" t="s">
        <v>1112</v>
      </c>
      <c r="B22" s="2274"/>
      <c r="C22" s="2282"/>
      <c r="D22" s="2283"/>
      <c r="E22" s="2283"/>
      <c r="F22" s="2284"/>
    </row>
    <row r="23" spans="1:11" ht="13.5" thickBot="1" x14ac:dyDescent="0.25">
      <c r="A23" s="2288" t="s">
        <v>633</v>
      </c>
      <c r="B23" s="2289"/>
      <c r="C23" s="581"/>
      <c r="D23" s="581"/>
      <c r="E23" s="581"/>
      <c r="F23" s="1755">
        <f>SUM(C23+D23)-E23</f>
        <v>0</v>
      </c>
      <c r="G23" s="552"/>
    </row>
    <row r="24" spans="1:11" ht="15.75" customHeight="1" thickTop="1" x14ac:dyDescent="0.2">
      <c r="A24" s="2300" t="s">
        <v>1113</v>
      </c>
      <c r="B24" s="2274"/>
      <c r="C24" s="2282"/>
      <c r="D24" s="2283"/>
      <c r="E24" s="2283"/>
      <c r="F24" s="2284"/>
    </row>
    <row r="25" spans="1:11" ht="13.5" thickBot="1" x14ac:dyDescent="0.25">
      <c r="A25" s="2288" t="s">
        <v>634</v>
      </c>
      <c r="B25" s="2289"/>
      <c r="C25" s="581"/>
      <c r="D25" s="581"/>
      <c r="E25" s="581"/>
      <c r="F25" s="1755">
        <f>SUM(C25+D25)-E25</f>
        <v>0</v>
      </c>
      <c r="G25" s="552"/>
    </row>
    <row r="26" spans="1:11" ht="15.75" customHeight="1" thickTop="1" x14ac:dyDescent="0.2">
      <c r="A26" s="2273" t="s">
        <v>657</v>
      </c>
      <c r="B26" s="2274"/>
      <c r="C26" s="727"/>
      <c r="D26" s="727"/>
      <c r="E26" s="727"/>
      <c r="F26" s="728"/>
    </row>
    <row r="27" spans="1:11" ht="13.5" thickBot="1" x14ac:dyDescent="0.25">
      <c r="A27" s="2275" t="s">
        <v>1070</v>
      </c>
      <c r="B27" s="2276"/>
      <c r="C27" s="585"/>
      <c r="D27" s="585"/>
      <c r="E27" s="585"/>
      <c r="F27" s="1755">
        <f>SUM(C27+D27)-E27</f>
        <v>0</v>
      </c>
      <c r="G27" s="552"/>
    </row>
    <row r="28" spans="1:11" ht="7.5" customHeight="1" thickTop="1" x14ac:dyDescent="0.2">
      <c r="A28" s="593"/>
    </row>
    <row r="29" spans="1:11" ht="23.25" customHeight="1" x14ac:dyDescent="0.2">
      <c r="A29" s="2301" t="s">
        <v>582</v>
      </c>
      <c r="B29" s="2278"/>
      <c r="C29" s="729"/>
      <c r="D29" s="729"/>
      <c r="E29" s="729"/>
      <c r="F29" s="729"/>
      <c r="G29" s="729"/>
      <c r="H29" s="729"/>
      <c r="I29" s="729"/>
      <c r="J29" s="729"/>
    </row>
    <row r="30" spans="1:11" ht="33.75" x14ac:dyDescent="0.2">
      <c r="A30" s="1529" t="s">
        <v>1071</v>
      </c>
      <c r="B30" s="730" t="s">
        <v>1124</v>
      </c>
      <c r="C30" s="1885" t="s">
        <v>583</v>
      </c>
      <c r="D30" s="1885" t="s">
        <v>1673</v>
      </c>
      <c r="E30" s="1885" t="s">
        <v>1957</v>
      </c>
      <c r="F30" s="1885" t="s">
        <v>1958</v>
      </c>
      <c r="G30" s="1885" t="s">
        <v>1908</v>
      </c>
      <c r="H30" s="1885" t="s">
        <v>1959</v>
      </c>
      <c r="I30" s="1885" t="s">
        <v>1960</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92" t="s">
        <v>584</v>
      </c>
      <c r="C52" s="2293"/>
      <c r="D52" s="2293"/>
      <c r="E52" s="749" t="s">
        <v>845</v>
      </c>
      <c r="F52" s="2294"/>
      <c r="G52" s="2295"/>
      <c r="H52" s="736"/>
      <c r="I52" s="736"/>
      <c r="J52" s="746"/>
    </row>
    <row r="53" spans="1:11" ht="11.25" customHeight="1" x14ac:dyDescent="0.2">
      <c r="A53" s="750" t="s">
        <v>913</v>
      </c>
      <c r="B53" s="751" t="s">
        <v>951</v>
      </c>
      <c r="C53" s="746"/>
      <c r="D53" s="737"/>
      <c r="E53" s="749" t="s">
        <v>497</v>
      </c>
      <c r="F53" s="2296"/>
      <c r="G53" s="2297"/>
      <c r="H53" s="736"/>
      <c r="I53" s="736"/>
      <c r="J53" s="746"/>
    </row>
    <row r="54" spans="1:11" ht="11.25" customHeight="1" x14ac:dyDescent="0.2">
      <c r="A54" s="752" t="s">
        <v>914</v>
      </c>
      <c r="B54" s="747" t="s">
        <v>952</v>
      </c>
      <c r="C54" s="746"/>
      <c r="D54" s="737"/>
      <c r="E54" s="749" t="s">
        <v>498</v>
      </c>
      <c r="F54" s="2296"/>
      <c r="G54" s="229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X29" sqref="X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26" t="s">
        <v>856</v>
      </c>
      <c r="B1" s="2327"/>
      <c r="C1" s="2327"/>
      <c r="D1" s="2327"/>
      <c r="E1" s="2327"/>
      <c r="F1" s="2327"/>
      <c r="G1" s="2328"/>
      <c r="H1" s="1530"/>
      <c r="I1" s="760"/>
      <c r="J1" s="433"/>
    </row>
    <row r="2" spans="1:11" ht="26.25" x14ac:dyDescent="0.2">
      <c r="A2" s="2305" t="s">
        <v>1677</v>
      </c>
      <c r="B2" s="2306"/>
      <c r="C2" s="2306"/>
      <c r="D2" s="2306"/>
      <c r="E2" s="2307"/>
      <c r="F2" s="761" t="s">
        <v>904</v>
      </c>
      <c r="G2" s="762" t="s">
        <v>1674</v>
      </c>
      <c r="H2" s="762" t="s">
        <v>410</v>
      </c>
      <c r="I2" s="762" t="s">
        <v>1158</v>
      </c>
      <c r="J2" s="762" t="s">
        <v>1809</v>
      </c>
      <c r="K2" s="762" t="s">
        <v>138</v>
      </c>
    </row>
    <row r="3" spans="1:11" x14ac:dyDescent="0.2">
      <c r="A3" s="2308" t="s">
        <v>1961</v>
      </c>
      <c r="B3" s="2309"/>
      <c r="C3" s="2309"/>
      <c r="D3" s="2309"/>
      <c r="E3" s="2310"/>
      <c r="F3" s="763"/>
      <c r="G3" s="764"/>
      <c r="H3" s="764"/>
      <c r="I3" s="764"/>
      <c r="J3" s="765"/>
      <c r="K3" s="765"/>
    </row>
    <row r="4" spans="1:11" x14ac:dyDescent="0.2">
      <c r="A4" s="2311" t="s">
        <v>369</v>
      </c>
      <c r="B4" s="2312"/>
      <c r="C4" s="2312"/>
      <c r="D4" s="2312"/>
      <c r="E4" s="2293"/>
      <c r="F4" s="766"/>
      <c r="G4" s="767"/>
      <c r="H4" s="768"/>
      <c r="I4" s="767"/>
      <c r="J4" s="769"/>
      <c r="K4" s="769"/>
    </row>
    <row r="5" spans="1:11" x14ac:dyDescent="0.2">
      <c r="A5" s="2329" t="s">
        <v>1069</v>
      </c>
      <c r="B5" s="2302"/>
      <c r="C5" s="2302"/>
      <c r="D5" s="2302"/>
      <c r="E5" s="233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329" t="s">
        <v>1810</v>
      </c>
      <c r="B10" s="2302"/>
      <c r="C10" s="2302"/>
      <c r="D10" s="2302"/>
      <c r="E10" s="2331"/>
      <c r="F10" s="783" t="s">
        <v>862</v>
      </c>
      <c r="G10" s="782"/>
      <c r="H10" s="784"/>
      <c r="I10" s="764"/>
      <c r="J10" s="765"/>
      <c r="K10" s="765"/>
    </row>
    <row r="11" spans="1:11" x14ac:dyDescent="0.2">
      <c r="A11" s="2329" t="s">
        <v>160</v>
      </c>
      <c r="B11" s="2302"/>
      <c r="C11" s="2302"/>
      <c r="D11" s="2302"/>
      <c r="E11" s="2330"/>
      <c r="F11" s="770" t="s">
        <v>852</v>
      </c>
      <c r="G11" s="771"/>
      <c r="H11" s="764"/>
      <c r="I11" s="764"/>
      <c r="J11" s="765"/>
      <c r="K11" s="773"/>
    </row>
    <row r="12" spans="1:11" ht="13.5" thickBot="1" x14ac:dyDescent="0.25">
      <c r="A12" s="2319" t="s">
        <v>905</v>
      </c>
      <c r="B12" s="2320"/>
      <c r="C12" s="2320"/>
      <c r="D12" s="2320"/>
      <c r="E12" s="2321"/>
      <c r="F12" s="1757"/>
      <c r="G12" s="1758">
        <f>SUM(G5:G11)</f>
        <v>0</v>
      </c>
      <c r="H12" s="1758">
        <f>SUM(H5:H11)</f>
        <v>0</v>
      </c>
      <c r="I12" s="1758">
        <f>SUM(I5:I11)</f>
        <v>0</v>
      </c>
      <c r="J12" s="1758">
        <f>SUM(J5:J11)</f>
        <v>0</v>
      </c>
      <c r="K12" s="1758">
        <f>SUM(K5:K11)</f>
        <v>0</v>
      </c>
    </row>
    <row r="13" spans="1:11" ht="13.5" thickTop="1" x14ac:dyDescent="0.2">
      <c r="A13" s="2313" t="s">
        <v>370</v>
      </c>
      <c r="B13" s="2314"/>
      <c r="C13" s="2314"/>
      <c r="D13" s="2314"/>
      <c r="E13" s="2315"/>
      <c r="F13" s="785"/>
      <c r="G13" s="786"/>
      <c r="H13" s="787"/>
      <c r="I13" s="788"/>
      <c r="J13" s="788"/>
      <c r="K13" s="788"/>
    </row>
    <row r="14" spans="1:11" x14ac:dyDescent="0.2">
      <c r="A14" s="2335" t="s">
        <v>456</v>
      </c>
      <c r="B14" s="2335"/>
      <c r="C14" s="2335"/>
      <c r="D14" s="2335"/>
      <c r="E14" s="2336"/>
      <c r="F14" s="789" t="s">
        <v>854</v>
      </c>
      <c r="G14" s="782"/>
      <c r="H14" s="764"/>
      <c r="I14" s="771"/>
      <c r="J14" s="773"/>
      <c r="K14" s="765"/>
    </row>
    <row r="15" spans="1:11" x14ac:dyDescent="0.2">
      <c r="A15" s="2302" t="s">
        <v>4</v>
      </c>
      <c r="B15" s="2302"/>
      <c r="C15" s="2302"/>
      <c r="D15" s="2302"/>
      <c r="E15" s="2330"/>
      <c r="F15" s="789" t="s">
        <v>855</v>
      </c>
      <c r="G15" s="771"/>
      <c r="H15" s="764"/>
      <c r="I15" s="764"/>
      <c r="J15" s="765"/>
      <c r="K15" s="765"/>
    </row>
    <row r="16" spans="1:11" x14ac:dyDescent="0.2">
      <c r="A16" s="2302" t="s">
        <v>298</v>
      </c>
      <c r="B16" s="2302"/>
      <c r="C16" s="2302"/>
      <c r="D16" s="2302"/>
      <c r="E16" s="2330"/>
      <c r="F16" s="789" t="s">
        <v>923</v>
      </c>
      <c r="G16" s="772"/>
      <c r="H16" s="767"/>
      <c r="I16" s="767"/>
      <c r="J16" s="769"/>
      <c r="K16" s="769"/>
    </row>
    <row r="17" spans="1:11" x14ac:dyDescent="0.2">
      <c r="A17" s="2324" t="s">
        <v>935</v>
      </c>
      <c r="B17" s="2324"/>
      <c r="C17" s="2324"/>
      <c r="D17" s="2324"/>
      <c r="E17" s="2325"/>
      <c r="F17" s="790"/>
      <c r="G17" s="791"/>
      <c r="H17" s="792"/>
      <c r="I17" s="792"/>
      <c r="J17" s="793"/>
      <c r="K17" s="794"/>
    </row>
    <row r="18" spans="1:11" x14ac:dyDescent="0.2">
      <c r="A18" s="2316" t="s">
        <v>368</v>
      </c>
      <c r="B18" s="2317"/>
      <c r="C18" s="2317"/>
      <c r="D18" s="2317"/>
      <c r="E18" s="2318"/>
      <c r="F18" s="789" t="s">
        <v>932</v>
      </c>
      <c r="G18" s="782"/>
      <c r="H18" s="782"/>
      <c r="I18" s="782"/>
      <c r="J18" s="765"/>
      <c r="K18" s="795"/>
    </row>
    <row r="19" spans="1:11" ht="21.75" customHeight="1" x14ac:dyDescent="0.2">
      <c r="A19" s="2337" t="s">
        <v>1806</v>
      </c>
      <c r="B19" s="2337"/>
      <c r="C19" s="2337"/>
      <c r="D19" s="2337"/>
      <c r="E19" s="2338"/>
      <c r="F19" s="789" t="s">
        <v>933</v>
      </c>
      <c r="G19" s="782"/>
      <c r="H19" s="782"/>
      <c r="I19" s="782"/>
      <c r="J19" s="765"/>
      <c r="K19" s="795"/>
    </row>
    <row r="20" spans="1:11" x14ac:dyDescent="0.2">
      <c r="A20" s="2316" t="s">
        <v>1811</v>
      </c>
      <c r="B20" s="2317"/>
      <c r="C20" s="2317"/>
      <c r="D20" s="2317"/>
      <c r="E20" s="2318"/>
      <c r="F20" s="789" t="s">
        <v>934</v>
      </c>
      <c r="G20" s="782"/>
      <c r="H20" s="782"/>
      <c r="I20" s="782"/>
      <c r="J20" s="765"/>
      <c r="K20" s="795"/>
    </row>
    <row r="21" spans="1:11" ht="13.5" thickBot="1" x14ac:dyDescent="0.25">
      <c r="A21" s="2322" t="s">
        <v>638</v>
      </c>
      <c r="B21" s="2322"/>
      <c r="C21" s="2322"/>
      <c r="D21" s="2322"/>
      <c r="E21" s="2322"/>
      <c r="F21" s="1759"/>
      <c r="G21" s="792"/>
      <c r="H21" s="796"/>
      <c r="I21" s="796"/>
      <c r="J21" s="1760">
        <f>SUM(J18:J20)</f>
        <v>0</v>
      </c>
      <c r="K21" s="793"/>
    </row>
    <row r="22" spans="1:11" ht="13.5" thickTop="1" x14ac:dyDescent="0.2">
      <c r="A22" s="2302" t="s">
        <v>1812</v>
      </c>
      <c r="B22" s="2302"/>
      <c r="C22" s="2302"/>
      <c r="D22" s="2302"/>
      <c r="E22" s="2330"/>
      <c r="F22" s="789" t="s">
        <v>862</v>
      </c>
      <c r="G22" s="782"/>
      <c r="H22" s="764"/>
      <c r="I22" s="764"/>
      <c r="J22" s="797"/>
      <c r="K22" s="765"/>
    </row>
    <row r="23" spans="1:11" ht="13.5" thickBot="1" x14ac:dyDescent="0.25">
      <c r="A23" s="2323" t="s">
        <v>906</v>
      </c>
      <c r="B23" s="2322"/>
      <c r="C23" s="2322"/>
      <c r="D23" s="2322"/>
      <c r="E23" s="2322"/>
      <c r="F23" s="1761"/>
      <c r="G23" s="1758">
        <f>SUM(G14:G16,G21,G22)</f>
        <v>0</v>
      </c>
      <c r="H23" s="1758">
        <f>SUM(H14:H16,H21,H22)</f>
        <v>0</v>
      </c>
      <c r="I23" s="1758">
        <f>SUM(I14:I16,I21,I22)</f>
        <v>0</v>
      </c>
      <c r="J23" s="1758">
        <f>SUM(J14:J16,J21,J22)</f>
        <v>0</v>
      </c>
      <c r="K23" s="1758">
        <f>SUM(K14:K16,K21,K22)</f>
        <v>0</v>
      </c>
    </row>
    <row r="24" spans="1:11" ht="14.25" thickTop="1" thickBot="1" x14ac:dyDescent="0.25">
      <c r="A24" s="2323" t="s">
        <v>1962</v>
      </c>
      <c r="B24" s="2322"/>
      <c r="C24" s="2322"/>
      <c r="D24" s="2322"/>
      <c r="E24" s="232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1907</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332"/>
      <c r="I31" s="2333"/>
      <c r="J31" s="2333"/>
      <c r="K31" s="2333"/>
    </row>
    <row r="32" spans="1:11" x14ac:dyDescent="0.2">
      <c r="A32" s="809"/>
      <c r="B32" s="237"/>
      <c r="C32" s="237"/>
      <c r="D32" s="237"/>
      <c r="E32" s="805"/>
      <c r="F32" s="811" t="s">
        <v>540</v>
      </c>
      <c r="G32" s="764"/>
      <c r="H32" s="2334"/>
      <c r="I32" s="2333"/>
      <c r="J32" s="2333"/>
      <c r="K32" s="2333"/>
    </row>
    <row r="33" spans="1:11" ht="1.5" customHeight="1" x14ac:dyDescent="0.2">
      <c r="A33" s="812" t="s">
        <v>1169</v>
      </c>
      <c r="B33" s="364"/>
      <c r="C33" s="364"/>
      <c r="D33" s="364"/>
      <c r="E33" s="364"/>
      <c r="F33" s="364"/>
      <c r="G33" s="813"/>
      <c r="H33" s="2334"/>
      <c r="I33" s="2333"/>
      <c r="J33" s="2333"/>
      <c r="K33" s="233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302" t="s">
        <v>541</v>
      </c>
      <c r="B41" s="2303"/>
      <c r="C41" s="2303"/>
      <c r="D41" s="2303"/>
      <c r="E41" s="2303"/>
      <c r="F41" s="230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41" t="s">
        <v>1906</v>
      </c>
      <c r="B1" s="2342"/>
      <c r="C1" s="2343"/>
      <c r="D1" s="826"/>
      <c r="E1" s="827"/>
      <c r="F1" s="827"/>
      <c r="G1" s="828"/>
      <c r="H1" s="829"/>
      <c r="I1" s="830"/>
      <c r="J1" s="2339"/>
      <c r="K1" s="2340"/>
      <c r="L1" s="2340"/>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0</v>
      </c>
      <c r="D5" s="841"/>
      <c r="E5" s="841"/>
      <c r="F5" s="1760">
        <f>(C5+D5)-E5</f>
        <v>0</v>
      </c>
      <c r="G5" s="837"/>
      <c r="H5" s="842"/>
      <c r="I5" s="842"/>
      <c r="J5" s="842"/>
      <c r="K5" s="793"/>
      <c r="L5" s="1769">
        <f>F5-K5</f>
        <v>0</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0</v>
      </c>
      <c r="D8" s="844"/>
      <c r="E8" s="844"/>
      <c r="F8" s="1760">
        <f>(C8+D8)-E8</f>
        <v>0</v>
      </c>
      <c r="G8" s="843">
        <v>50</v>
      </c>
      <c r="H8" s="765">
        <v>0</v>
      </c>
      <c r="I8" s="765"/>
      <c r="J8" s="765"/>
      <c r="K8" s="1769">
        <f>(H8+I8)-J8</f>
        <v>0</v>
      </c>
      <c r="L8" s="1769">
        <f>F8-K8</f>
        <v>0</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0</v>
      </c>
      <c r="D10" s="846"/>
      <c r="E10" s="846"/>
      <c r="F10" s="1764">
        <f>(C10+D10)-E10</f>
        <v>0</v>
      </c>
      <c r="G10" s="843">
        <v>20</v>
      </c>
      <c r="H10" s="847">
        <v>0</v>
      </c>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189236</v>
      </c>
      <c r="D12" s="844">
        <v>11896</v>
      </c>
      <c r="E12" s="844"/>
      <c r="F12" s="1760">
        <f>(C12+D12)-E12</f>
        <v>201132</v>
      </c>
      <c r="G12" s="843">
        <v>10</v>
      </c>
      <c r="H12" s="765">
        <v>158656</v>
      </c>
      <c r="I12" s="765">
        <v>7061</v>
      </c>
      <c r="J12" s="765"/>
      <c r="K12" s="1769">
        <f>(H12+I12)-J12</f>
        <v>165717</v>
      </c>
      <c r="L12" s="1769">
        <f>F12-K12</f>
        <v>35415</v>
      </c>
    </row>
    <row r="13" spans="1:14" ht="14.25" thickTop="1" thickBot="1" x14ac:dyDescent="0.25">
      <c r="A13" s="848" t="s">
        <v>1122</v>
      </c>
      <c r="B13" s="840">
        <v>252</v>
      </c>
      <c r="C13" s="844">
        <v>0</v>
      </c>
      <c r="D13" s="844"/>
      <c r="E13" s="844"/>
      <c r="F13" s="1760">
        <f>(C13+D13)-E13</f>
        <v>0</v>
      </c>
      <c r="G13" s="843">
        <v>5</v>
      </c>
      <c r="H13" s="765">
        <v>0</v>
      </c>
      <c r="I13" s="765"/>
      <c r="J13" s="765"/>
      <c r="K13" s="1769">
        <f>(H13+I13)-J13</f>
        <v>0</v>
      </c>
      <c r="L13" s="1769">
        <f>F13-K13</f>
        <v>0</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189236</v>
      </c>
      <c r="D16" s="1760">
        <f>SUM(D3,D5:D6,D8:D10,D12:D15)</f>
        <v>11896</v>
      </c>
      <c r="E16" s="1760">
        <f>SUM(E3,E5:E6,E8:E10,E12:E15)</f>
        <v>0</v>
      </c>
      <c r="F16" s="1760">
        <f>SUM(F3,F5:F6,F8:F10,F12:F15)</f>
        <v>201132</v>
      </c>
      <c r="G16" s="843"/>
      <c r="H16" s="1760">
        <f>SUM(H3,H6,H8:H10,H12:H14,)</f>
        <v>158656</v>
      </c>
      <c r="I16" s="1760">
        <f>SUM(I3,I6,I8:I10,I12:I14,)</f>
        <v>7061</v>
      </c>
      <c r="J16" s="1760">
        <f>SUM(J3,J6,J8:J10,J12:J14,)</f>
        <v>0</v>
      </c>
      <c r="K16" s="1760">
        <f>(H16+I16)-J16</f>
        <v>165717</v>
      </c>
      <c r="L16" s="1760">
        <f>F16-K16</f>
        <v>35415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7061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0" activePane="bottomLeft" state="frozen"/>
      <selection activeCell="X29" sqref="X29"/>
      <selection pane="bottomLeft" activeCell="X29" sqref="X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47" t="s">
        <v>1972</v>
      </c>
      <c r="B1" s="2348"/>
      <c r="C1" s="2348"/>
      <c r="D1" s="2348"/>
      <c r="E1" s="2348"/>
      <c r="F1" s="2349"/>
      <c r="G1" s="855"/>
    </row>
    <row r="2" spans="1:7" ht="15" customHeight="1" thickBot="1" x14ac:dyDescent="0.25">
      <c r="A2" s="2350" t="s">
        <v>477</v>
      </c>
      <c r="B2" s="2351"/>
      <c r="C2" s="2351"/>
      <c r="D2" s="2351"/>
      <c r="E2" s="2351"/>
      <c r="F2" s="235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53"/>
      <c r="B5" s="2354"/>
      <c r="C5" s="2354"/>
      <c r="D5" s="2354"/>
      <c r="E5" s="2354"/>
      <c r="F5" s="2354"/>
    </row>
    <row r="6" spans="1:7" ht="13.5" customHeight="1" thickBot="1" x14ac:dyDescent="0.25">
      <c r="A6" s="2344" t="s">
        <v>1104</v>
      </c>
      <c r="B6" s="2345"/>
      <c r="C6" s="2345"/>
      <c r="D6" s="2345"/>
      <c r="E6" s="2345"/>
      <c r="F6" s="234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4316644</v>
      </c>
      <c r="G8" s="865"/>
    </row>
    <row r="9" spans="1:7" x14ac:dyDescent="0.2">
      <c r="A9" s="869" t="s">
        <v>460</v>
      </c>
      <c r="B9" s="870" t="s">
        <v>1874</v>
      </c>
      <c r="C9" s="871"/>
      <c r="D9" s="869" t="s">
        <v>501</v>
      </c>
      <c r="E9" s="868"/>
      <c r="F9" s="1909">
        <f>'Expenditures 15-22'!K151</f>
        <v>0</v>
      </c>
      <c r="G9" s="872"/>
    </row>
    <row r="10" spans="1:7" x14ac:dyDescent="0.2">
      <c r="A10" s="869" t="s">
        <v>499</v>
      </c>
      <c r="B10" s="870" t="s">
        <v>1875</v>
      </c>
      <c r="C10" s="871"/>
      <c r="D10" s="869" t="s">
        <v>501</v>
      </c>
      <c r="E10" s="868"/>
      <c r="F10" s="1909">
        <f>'Expenditures 15-22'!K174</f>
        <v>0</v>
      </c>
      <c r="G10" s="872"/>
    </row>
    <row r="11" spans="1:7" x14ac:dyDescent="0.2">
      <c r="A11" s="869" t="s">
        <v>461</v>
      </c>
      <c r="B11" s="870" t="s">
        <v>1876</v>
      </c>
      <c r="C11" s="871"/>
      <c r="D11" s="869" t="s">
        <v>501</v>
      </c>
      <c r="E11" s="868"/>
      <c r="F11" s="1909">
        <f>'Expenditures 15-22'!K210</f>
        <v>0</v>
      </c>
      <c r="G11" s="872"/>
    </row>
    <row r="12" spans="1:7" x14ac:dyDescent="0.2">
      <c r="A12" s="869" t="s">
        <v>462</v>
      </c>
      <c r="B12" s="870" t="s">
        <v>1877</v>
      </c>
      <c r="C12" s="871"/>
      <c r="D12" s="869" t="s">
        <v>501</v>
      </c>
      <c r="E12" s="868"/>
      <c r="F12" s="1909">
        <f>'Expenditures 15-22'!K295</f>
        <v>0</v>
      </c>
      <c r="G12" s="872"/>
    </row>
    <row r="13" spans="1:7" x14ac:dyDescent="0.2">
      <c r="A13" s="869" t="s">
        <v>106</v>
      </c>
      <c r="B13" s="870" t="s">
        <v>1878</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4316644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4">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1999</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1035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1784610</v>
      </c>
      <c r="G53" s="865"/>
    </row>
    <row r="54" spans="1:7" x14ac:dyDescent="0.2">
      <c r="A54" s="869" t="s">
        <v>459</v>
      </c>
      <c r="B54" s="869" t="s">
        <v>1476</v>
      </c>
      <c r="C54" s="889" t="s">
        <v>982</v>
      </c>
      <c r="D54" s="885" t="s">
        <v>1095</v>
      </c>
      <c r="E54" s="868"/>
      <c r="F54" s="1913">
        <f>'Expenditures 15-22'!G114</f>
        <v>11896</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3">
        <f>'Expenditures 15-22'!K139</f>
        <v>0</v>
      </c>
      <c r="G57" s="865"/>
    </row>
    <row r="58" spans="1:7" x14ac:dyDescent="0.2">
      <c r="A58" s="869" t="s">
        <v>460</v>
      </c>
      <c r="B58" s="869" t="s">
        <v>1880</v>
      </c>
      <c r="C58" s="886" t="s">
        <v>982</v>
      </c>
      <c r="D58" s="885" t="s">
        <v>1095</v>
      </c>
      <c r="E58" s="868"/>
      <c r="F58" s="1915">
        <f>'Expenditures 15-22'!G151</f>
        <v>0</v>
      </c>
      <c r="G58" s="865"/>
    </row>
    <row r="59" spans="1:7" x14ac:dyDescent="0.2">
      <c r="A59" s="893" t="s">
        <v>460</v>
      </c>
      <c r="B59" s="856" t="s">
        <v>1881</v>
      </c>
      <c r="C59" s="894" t="s">
        <v>982</v>
      </c>
      <c r="D59" s="856" t="s">
        <v>291</v>
      </c>
      <c r="F59" s="1916">
        <f>'Expenditures 15-22'!I151</f>
        <v>0</v>
      </c>
      <c r="G59" s="865"/>
    </row>
    <row r="60" spans="1:7" x14ac:dyDescent="0.2">
      <c r="A60" s="893" t="s">
        <v>499</v>
      </c>
      <c r="B60" s="856" t="s">
        <v>1882</v>
      </c>
      <c r="C60" s="894">
        <v>4000</v>
      </c>
      <c r="D60" s="856" t="s">
        <v>312</v>
      </c>
      <c r="F60" s="1914">
        <f>'Expenditures 15-22'!K160</f>
        <v>0</v>
      </c>
      <c r="G60" s="865"/>
    </row>
    <row r="61" spans="1:7" x14ac:dyDescent="0.2">
      <c r="A61" s="895" t="s">
        <v>499</v>
      </c>
      <c r="B61" s="895" t="s">
        <v>1883</v>
      </c>
      <c r="C61" s="896" t="str">
        <f>'Expenditures 15-22'!B170</f>
        <v>5300</v>
      </c>
      <c r="D61" s="897" t="s">
        <v>311</v>
      </c>
      <c r="E61" s="879"/>
      <c r="F61" s="1913">
        <f>'Expenditures 15-22'!K170</f>
        <v>0</v>
      </c>
      <c r="G61" s="865"/>
    </row>
    <row r="62" spans="1:7" x14ac:dyDescent="0.2">
      <c r="A62" s="869" t="s">
        <v>461</v>
      </c>
      <c r="B62" s="869" t="s">
        <v>1884</v>
      </c>
      <c r="C62" s="886">
        <f>'Expenditures 15-22'!B185</f>
        <v>3000</v>
      </c>
      <c r="D62" s="876" t="s">
        <v>449</v>
      </c>
      <c r="E62" s="868"/>
      <c r="F62" s="1913">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1886</v>
      </c>
      <c r="C64" s="896" t="str">
        <f>'Expenditures 15-22'!B206</f>
        <v>5300</v>
      </c>
      <c r="D64" s="892" t="s">
        <v>311</v>
      </c>
      <c r="E64" s="868"/>
      <c r="F64" s="1913">
        <f>'Expenditures 15-22'!K206</f>
        <v>0</v>
      </c>
      <c r="G64" s="865"/>
    </row>
    <row r="65" spans="1:8" x14ac:dyDescent="0.2">
      <c r="A65" s="869" t="s">
        <v>461</v>
      </c>
      <c r="B65" s="869" t="s">
        <v>1887</v>
      </c>
      <c r="C65" s="886" t="s">
        <v>982</v>
      </c>
      <c r="D65" s="885" t="s">
        <v>1095</v>
      </c>
      <c r="E65" s="868"/>
      <c r="F65" s="1913">
        <f>'Expenditures 15-22'!G210</f>
        <v>0</v>
      </c>
      <c r="G65" s="865"/>
    </row>
    <row r="66" spans="1:8" x14ac:dyDescent="0.2">
      <c r="A66" s="869" t="s">
        <v>461</v>
      </c>
      <c r="B66" s="869" t="s">
        <v>1888</v>
      </c>
      <c r="C66" s="886" t="s">
        <v>982</v>
      </c>
      <c r="D66" s="885" t="s">
        <v>291</v>
      </c>
      <c r="E66" s="868"/>
      <c r="F66" s="1913">
        <f>'Expenditures 15-22'!I210</f>
        <v>0</v>
      </c>
      <c r="G66" s="865"/>
    </row>
    <row r="67" spans="1:8" x14ac:dyDescent="0.2">
      <c r="A67" s="869" t="s">
        <v>462</v>
      </c>
      <c r="B67" s="869" t="s">
        <v>1889</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1891</v>
      </c>
      <c r="C70" s="886">
        <f>'Expenditures 15-22'!B221</f>
        <v>1300</v>
      </c>
      <c r="D70" s="887" t="str">
        <f>'Expenditures 15-22'!A221</f>
        <v>Adult/Continuing Education Programs</v>
      </c>
      <c r="E70" s="868"/>
      <c r="F70" s="1913">
        <f>'Expenditures 15-22'!K221</f>
        <v>0</v>
      </c>
      <c r="G70" s="865"/>
    </row>
    <row r="71" spans="1:8" x14ac:dyDescent="0.2">
      <c r="A71" s="869" t="s">
        <v>462</v>
      </c>
      <c r="B71" s="869" t="s">
        <v>1892</v>
      </c>
      <c r="C71" s="886">
        <f>'Expenditures 15-22'!B224</f>
        <v>1600</v>
      </c>
      <c r="D71" s="887" t="str">
        <f>'Expenditures 15-22'!A224</f>
        <v>Summer School Programs</v>
      </c>
      <c r="E71" s="868"/>
      <c r="F71" s="1913">
        <f>'Expenditures 15-22'!K224</f>
        <v>0</v>
      </c>
      <c r="G71" s="865"/>
    </row>
    <row r="72" spans="1:8" x14ac:dyDescent="0.2">
      <c r="A72" s="869" t="s">
        <v>462</v>
      </c>
      <c r="B72" s="869" t="s">
        <v>1893</v>
      </c>
      <c r="C72" s="886">
        <f>'Expenditures 15-22'!B280</f>
        <v>3000</v>
      </c>
      <c r="D72" s="876" t="s">
        <v>449</v>
      </c>
      <c r="E72" s="868"/>
      <c r="F72" s="1913">
        <f>'Expenditures 15-22'!K280</f>
        <v>0</v>
      </c>
      <c r="G72" s="865"/>
    </row>
    <row r="73" spans="1:8" x14ac:dyDescent="0.2">
      <c r="A73" s="869" t="s">
        <v>462</v>
      </c>
      <c r="B73" s="869" t="s">
        <v>1894</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1895</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1896</v>
      </c>
      <c r="E76" s="1774" t="s">
        <v>958</v>
      </c>
      <c r="F76" s="1778">
        <f>SUM(F18:F74)</f>
        <v>1797541</v>
      </c>
      <c r="G76" s="865"/>
    </row>
    <row r="77" spans="1:8" s="893" customFormat="1" ht="12" customHeight="1" thickTop="1" thickBot="1" x14ac:dyDescent="0.25">
      <c r="A77" s="1779"/>
      <c r="B77" s="1776"/>
      <c r="C77" s="1772"/>
      <c r="D77" s="1777" t="s">
        <v>1897</v>
      </c>
      <c r="E77" s="1774"/>
      <c r="F77" s="1780">
        <f>(F14-F76)</f>
        <v>2519103</v>
      </c>
      <c r="G77" s="869"/>
    </row>
    <row r="78" spans="1:8" s="893" customFormat="1" ht="12" customHeight="1" thickTop="1" x14ac:dyDescent="0.2">
      <c r="A78" s="1781"/>
      <c r="B78" s="1776"/>
      <c r="C78" s="1772"/>
      <c r="D78" s="1777" t="s">
        <v>2059</v>
      </c>
      <c r="E78" s="1774"/>
      <c r="F78" s="898">
        <v>0</v>
      </c>
      <c r="G78" s="899"/>
      <c r="H78" s="869"/>
    </row>
    <row r="79" spans="1:8" s="893" customFormat="1" ht="12" customHeight="1" thickBot="1" x14ac:dyDescent="0.25">
      <c r="A79" s="1782"/>
      <c r="B79" s="1776"/>
      <c r="C79" s="1772"/>
      <c r="D79" s="1777" t="s">
        <v>1898</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344" t="s">
        <v>1105</v>
      </c>
      <c r="B81" s="2345"/>
      <c r="C81" s="2345"/>
      <c r="D81" s="2345"/>
      <c r="E81" s="2345"/>
      <c r="F81" s="234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1258991</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2000</v>
      </c>
      <c r="C105" s="913">
        <v>3100</v>
      </c>
      <c r="D105" s="919" t="str">
        <f>'Revenues 9-14'!A132</f>
        <v>Total Special Education</v>
      </c>
      <c r="E105" s="906"/>
      <c r="F105" s="1789">
        <f>SUM('Revenues 9-14'!C132:D132,'Revenues 9-14'!F132)</f>
        <v>225486</v>
      </c>
      <c r="G105" s="912"/>
    </row>
    <row r="106" spans="1:7" x14ac:dyDescent="0.2">
      <c r="A106" s="908" t="s">
        <v>673</v>
      </c>
      <c r="B106" s="908" t="s">
        <v>2001</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2002</v>
      </c>
      <c r="C107" s="920">
        <v>3300</v>
      </c>
      <c r="D107" s="911" t="str">
        <f>'Revenues 9-14'!A145</f>
        <v>Total Bilingual Ed</v>
      </c>
      <c r="E107" s="906"/>
      <c r="F107" s="1789">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9">
        <f>'Revenues 9-14'!C146</f>
        <v>0</v>
      </c>
      <c r="G108" s="912"/>
    </row>
    <row r="109" spans="1:7" x14ac:dyDescent="0.2">
      <c r="A109" s="908" t="s">
        <v>673</v>
      </c>
      <c r="B109" s="908" t="s">
        <v>2004</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9">
        <f>SUM('Revenues 9-14'!C148,'Revenues 9-14'!D148)</f>
        <v>0</v>
      </c>
      <c r="G110" s="912"/>
    </row>
    <row r="111" spans="1:7" x14ac:dyDescent="0.2">
      <c r="A111" s="908" t="s">
        <v>668</v>
      </c>
      <c r="B111" s="908" t="s">
        <v>2006</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2007</v>
      </c>
      <c r="C112" s="920">
        <f>'Revenues 9-14'!B156</f>
        <v>3610</v>
      </c>
      <c r="D112" s="911" t="str">
        <f>'Revenues 9-14'!A156</f>
        <v>Learning Improvement - Change Grants</v>
      </c>
      <c r="E112" s="906"/>
      <c r="F112" s="1789">
        <f>'Revenues 9-14'!C156</f>
        <v>0</v>
      </c>
      <c r="G112" s="912"/>
    </row>
    <row r="113" spans="1:7" x14ac:dyDescent="0.2">
      <c r="A113" s="908" t="s">
        <v>668</v>
      </c>
      <c r="B113" s="908" t="s">
        <v>2008</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7">
        <f>SUM('Revenues 9-14'!C163:G163)</f>
        <v>0</v>
      </c>
      <c r="G118" s="912"/>
    </row>
    <row r="119" spans="1:7" x14ac:dyDescent="0.2">
      <c r="A119" s="923" t="s">
        <v>504</v>
      </c>
      <c r="B119" s="923" t="s">
        <v>2014</v>
      </c>
      <c r="C119" s="924">
        <f>'Revenues 9-14'!B164</f>
        <v>3815</v>
      </c>
      <c r="D119" s="925" t="str">
        <f>'Revenues 9-14'!A164</f>
        <v>State Charter Schools</v>
      </c>
      <c r="E119" s="906"/>
      <c r="F119" s="1907">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9">
        <f>'Revenues 9-14'!D167</f>
        <v>0</v>
      </c>
      <c r="G120" s="930"/>
    </row>
    <row r="121" spans="1:7" x14ac:dyDescent="0.2">
      <c r="A121" s="927" t="s">
        <v>500</v>
      </c>
      <c r="B121" s="927" t="s">
        <v>2016</v>
      </c>
      <c r="C121" s="928">
        <f>'Revenues 9-14'!B168</f>
        <v>3999</v>
      </c>
      <c r="D121" s="929" t="s">
        <v>543</v>
      </c>
      <c r="E121" s="931"/>
      <c r="F121" s="1789">
        <f>SUM('Revenues 9-14'!C168:G168,'Revenues 9-14'!J168)</f>
        <v>0</v>
      </c>
      <c r="G121" s="930"/>
    </row>
    <row r="122" spans="1:7" x14ac:dyDescent="0.2">
      <c r="A122" s="927" t="s">
        <v>459</v>
      </c>
      <c r="B122" s="927" t="s">
        <v>2017</v>
      </c>
      <c r="C122" s="932">
        <f>'Revenues 9-14'!B177</f>
        <v>4045</v>
      </c>
      <c r="D122" s="929" t="str">
        <f>'Revenues 9-14'!A177 &amp; " (Subtract)"</f>
        <v>Head Start (Subtract)</v>
      </c>
      <c r="E122" s="906"/>
      <c r="F122" s="1789">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2019</v>
      </c>
      <c r="C124" s="932">
        <v>4100</v>
      </c>
      <c r="D124" s="933" t="str">
        <f>'Revenues 9-14'!A188</f>
        <v>Total Title V</v>
      </c>
      <c r="E124" s="906"/>
      <c r="F124" s="1789">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9">
        <f>SUM('Revenues 9-14'!C198,'Revenues 9-14'!G198)</f>
        <v>11190</v>
      </c>
      <c r="G125" s="930"/>
    </row>
    <row r="126" spans="1:7" x14ac:dyDescent="0.2">
      <c r="A126" s="927" t="s">
        <v>668</v>
      </c>
      <c r="B126" s="927" t="s">
        <v>2021</v>
      </c>
      <c r="C126" s="932">
        <v>4300</v>
      </c>
      <c r="D126" s="933" t="str">
        <f>'Revenues 9-14'!A204</f>
        <v>Total Title I</v>
      </c>
      <c r="E126" s="906"/>
      <c r="F126" s="1789">
        <f>SUM('Revenues 9-14'!C204,'Revenues 9-14'!D204,'Revenues 9-14'!F204,'Revenues 9-14'!G204)</f>
        <v>0</v>
      </c>
      <c r="G126" s="930"/>
    </row>
    <row r="127" spans="1:7" x14ac:dyDescent="0.2">
      <c r="A127" s="927" t="s">
        <v>668</v>
      </c>
      <c r="B127" s="927" t="s">
        <v>2022</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9">
        <f>SUM('Revenues 9-14'!C213:D213,'Revenues 9-14'!F213:G213)</f>
        <v>1735376</v>
      </c>
      <c r="G128" s="930"/>
    </row>
    <row r="129" spans="1:7" x14ac:dyDescent="0.2">
      <c r="A129" s="927" t="s">
        <v>668</v>
      </c>
      <c r="B129" s="927" t="s">
        <v>2024</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2025</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2026</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2027</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9">
        <v>0</v>
      </c>
      <c r="G138" s="905"/>
    </row>
    <row r="139" spans="1:7" s="867" customFormat="1" hidden="1" x14ac:dyDescent="0.2">
      <c r="A139" s="934" t="s">
        <v>206</v>
      </c>
      <c r="B139" s="934" t="s">
        <v>2033</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2038</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2041</v>
      </c>
      <c r="C157" s="940" t="s">
        <v>841</v>
      </c>
      <c r="D157" s="941" t="s">
        <v>777</v>
      </c>
      <c r="E157" s="942"/>
      <c r="F157" s="1789">
        <f>SUM(F133:F156)</f>
        <v>0</v>
      </c>
      <c r="G157" s="905"/>
    </row>
    <row r="158" spans="1:7" s="867" customFormat="1" x14ac:dyDescent="0.2">
      <c r="A158" s="938" t="s">
        <v>459</v>
      </c>
      <c r="B158" s="939" t="s">
        <v>2042</v>
      </c>
      <c r="C158" s="940" t="s">
        <v>1427</v>
      </c>
      <c r="D158" s="941" t="s">
        <v>1428</v>
      </c>
      <c r="E158" s="942"/>
      <c r="F158" s="1789">
        <f>SUM('Revenues 9-14'!C253)</f>
        <v>0</v>
      </c>
      <c r="G158" s="905"/>
    </row>
    <row r="159" spans="1:7" s="867" customFormat="1" x14ac:dyDescent="0.2">
      <c r="A159" s="938" t="s">
        <v>500</v>
      </c>
      <c r="B159" s="939" t="s">
        <v>2043</v>
      </c>
      <c r="C159" s="940" t="s">
        <v>1466</v>
      </c>
      <c r="D159" s="941" t="s">
        <v>1467</v>
      </c>
      <c r="E159" s="942"/>
      <c r="F159" s="1789">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2045</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2046</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2049</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9">
        <f>SUM('Revenues 9-14'!C263:D263,'Revenues 9-14'!F263:G263)</f>
        <v>40930</v>
      </c>
      <c r="G168" s="947">
        <v>6320</v>
      </c>
    </row>
    <row r="169" spans="1:7" x14ac:dyDescent="0.2">
      <c r="A169" s="927" t="s">
        <v>668</v>
      </c>
      <c r="B169" s="927" t="s">
        <v>2051</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2052</v>
      </c>
      <c r="C170" s="945">
        <f>'Revenues 9-14'!B265</f>
        <v>4999</v>
      </c>
      <c r="D170" s="946" t="str">
        <f>'Revenues 9-14'!A265</f>
        <v>Other Restricted Revenue from Federal Sources (Describe &amp; Itemize)</v>
      </c>
      <c r="E170" s="906"/>
      <c r="F170" s="1789">
        <f>SUM('Revenues 9-14'!C265:D265,'Revenues 9-14'!F265:G265)</f>
        <v>95928</v>
      </c>
      <c r="G170" s="927"/>
    </row>
    <row r="171" spans="1:7" x14ac:dyDescent="0.2">
      <c r="A171" s="1918" t="s">
        <v>5</v>
      </c>
      <c r="B171" s="1919" t="s">
        <v>1917</v>
      </c>
      <c r="C171" s="1920">
        <v>3100</v>
      </c>
      <c r="D171" s="1921" t="s">
        <v>1919</v>
      </c>
      <c r="E171" s="906"/>
      <c r="F171" s="1906"/>
      <c r="G171" s="927"/>
    </row>
    <row r="172" spans="1:7" x14ac:dyDescent="0.2">
      <c r="A172" s="1918" t="s">
        <v>664</v>
      </c>
      <c r="B172" s="1919" t="s">
        <v>1917</v>
      </c>
      <c r="C172" s="1920">
        <v>3300</v>
      </c>
      <c r="D172" s="1921" t="s">
        <v>1920</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2053</v>
      </c>
      <c r="E174" s="1787" t="s">
        <v>958</v>
      </c>
      <c r="F174" s="1788">
        <f>SUM(F84:F132,F157:F172)</f>
        <v>3367901</v>
      </c>
    </row>
    <row r="175" spans="1:7" ht="12" customHeight="1" x14ac:dyDescent="0.2">
      <c r="A175" s="1770"/>
      <c r="B175" s="1784"/>
      <c r="C175" s="1785"/>
      <c r="D175" s="1786" t="s">
        <v>2054</v>
      </c>
      <c r="E175" s="1787"/>
      <c r="F175" s="1789">
        <f>'PCTC-OEPP 27-28'!F77-F174</f>
        <v>-848798</v>
      </c>
    </row>
    <row r="176" spans="1:7" ht="12" customHeight="1" x14ac:dyDescent="0.2">
      <c r="A176" s="1770"/>
      <c r="B176" s="1784"/>
      <c r="C176" s="1785"/>
      <c r="D176" s="1786" t="s">
        <v>1814</v>
      </c>
      <c r="E176" s="1787"/>
      <c r="F176" s="1789">
        <f>'Cap Outlay Deprec 26'!I18</f>
        <v>7061</v>
      </c>
    </row>
    <row r="177" spans="1:7" ht="12" customHeight="1" x14ac:dyDescent="0.2">
      <c r="A177" s="1770"/>
      <c r="B177" s="1784"/>
      <c r="C177" s="1785"/>
      <c r="D177" s="1786" t="s">
        <v>2055</v>
      </c>
      <c r="E177" s="1787"/>
      <c r="F177" s="1789">
        <f>F175+F176</f>
        <v>-841737</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2056</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2" customFormat="1" ht="12.2" customHeight="1" x14ac:dyDescent="0.2">
      <c r="A182" s="1922" t="s">
        <v>1991</v>
      </c>
      <c r="B182" s="1923"/>
      <c r="C182" s="1924"/>
      <c r="D182" s="1923"/>
      <c r="E182" s="1924"/>
      <c r="F182" s="1923"/>
      <c r="G182" s="1923"/>
    </row>
    <row r="183" spans="1:7" s="1922" customFormat="1" ht="12.2" customHeight="1" x14ac:dyDescent="0.2">
      <c r="A183" s="1925" t="s">
        <v>1993</v>
      </c>
      <c r="C183" s="1924"/>
      <c r="D183" s="1923"/>
      <c r="E183" s="1924"/>
      <c r="F183" s="1923"/>
      <c r="G183" s="1923"/>
    </row>
    <row r="184" spans="1:7" ht="12" customHeight="1" x14ac:dyDescent="0.2">
      <c r="C184" s="949"/>
      <c r="D184" s="930"/>
      <c r="E184" s="949"/>
      <c r="F184" s="930"/>
      <c r="G184" s="930"/>
    </row>
    <row r="185" spans="1:7" x14ac:dyDescent="0.2">
      <c r="A185" s="1926" t="s">
        <v>1922</v>
      </c>
      <c r="B185" s="1927"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topLeftCell="A10" zoomScaleNormal="100" workbookViewId="0">
      <selection activeCell="D19" sqref="D19"/>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58" t="s">
        <v>1815</v>
      </c>
      <c r="B4" s="2359"/>
      <c r="C4" s="2359"/>
      <c r="D4" s="2359"/>
      <c r="E4" s="2359"/>
      <c r="F4" s="2359"/>
      <c r="G4" s="2360"/>
    </row>
    <row r="5" spans="1:7" x14ac:dyDescent="0.25">
      <c r="A5" s="2361"/>
      <c r="B5" s="2362"/>
      <c r="C5" s="2362"/>
      <c r="D5" s="2362"/>
      <c r="E5" s="2362"/>
      <c r="F5" s="2362"/>
      <c r="G5" s="2363"/>
    </row>
    <row r="6" spans="1:7" ht="18.75" x14ac:dyDescent="0.25">
      <c r="A6" s="1534" t="s">
        <v>1816</v>
      </c>
      <c r="B6" s="1535"/>
      <c r="C6" s="1535"/>
      <c r="D6" s="1535"/>
      <c r="E6" s="1535"/>
      <c r="F6" s="1535"/>
      <c r="G6" s="1536"/>
    </row>
    <row r="7" spans="1:7" ht="30.75" customHeight="1" x14ac:dyDescent="0.25">
      <c r="A7" s="2364" t="s">
        <v>1929</v>
      </c>
      <c r="B7" s="2365"/>
      <c r="C7" s="2365"/>
      <c r="D7" s="2365"/>
      <c r="E7" s="2365"/>
      <c r="F7" s="2365"/>
      <c r="G7" s="2366"/>
    </row>
    <row r="8" spans="1:7" ht="15.75" customHeight="1" x14ac:dyDescent="0.25">
      <c r="A8" s="2367" t="s">
        <v>1904</v>
      </c>
      <c r="B8" s="2368"/>
      <c r="C8" s="2368"/>
      <c r="D8" s="2368"/>
      <c r="E8" s="2368"/>
      <c r="F8" s="2368"/>
      <c r="G8" s="2369"/>
    </row>
    <row r="9" spans="1:7" ht="35.25" customHeight="1" x14ac:dyDescent="0.25">
      <c r="A9" s="2364" t="s">
        <v>1932</v>
      </c>
      <c r="B9" s="2365"/>
      <c r="C9" s="2365"/>
      <c r="D9" s="2365"/>
      <c r="E9" s="2365"/>
      <c r="F9" s="2365"/>
      <c r="G9" s="2366"/>
    </row>
    <row r="10" spans="1:7" ht="15" customHeight="1" x14ac:dyDescent="0.25">
      <c r="A10" s="1537" t="s">
        <v>1817</v>
      </c>
      <c r="B10" s="1538"/>
      <c r="C10" s="1538"/>
      <c r="D10" s="1538"/>
      <c r="E10" s="1538"/>
      <c r="F10" s="1538"/>
      <c r="G10" s="1539"/>
    </row>
    <row r="11" spans="1:7" ht="17.25" customHeight="1" x14ac:dyDescent="0.25">
      <c r="A11" s="2364" t="s">
        <v>1931</v>
      </c>
      <c r="B11" s="2365"/>
      <c r="C11" s="2365"/>
      <c r="D11" s="2365"/>
      <c r="E11" s="2365"/>
      <c r="F11" s="2365"/>
      <c r="G11" s="2366"/>
    </row>
    <row r="12" spans="1:7" ht="15" customHeight="1" x14ac:dyDescent="0.25">
      <c r="A12" s="1537" t="s">
        <v>1822</v>
      </c>
      <c r="B12" s="1538"/>
      <c r="C12" s="1538"/>
      <c r="D12" s="1538"/>
      <c r="E12" s="1538"/>
      <c r="F12" s="1538"/>
      <c r="G12" s="1539"/>
    </row>
    <row r="13" spans="1:7" ht="32.25" customHeight="1" x14ac:dyDescent="0.25">
      <c r="A13" s="2355" t="s">
        <v>1973</v>
      </c>
      <c r="B13" s="2356"/>
      <c r="C13" s="2356"/>
      <c r="D13" s="2356"/>
      <c r="E13" s="2356"/>
      <c r="F13" s="2356"/>
      <c r="G13" s="2357"/>
    </row>
    <row r="14" spans="1:7" x14ac:dyDescent="0.25">
      <c r="A14" s="1661" t="s">
        <v>1830</v>
      </c>
      <c r="B14" s="1662"/>
      <c r="C14" s="1662"/>
      <c r="D14" s="1662"/>
      <c r="E14" s="1662"/>
      <c r="F14" s="1662"/>
      <c r="G14" s="1663"/>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8" t="s">
        <v>2076</v>
      </c>
      <c r="B18" s="1939" t="s">
        <v>2077</v>
      </c>
      <c r="C18" s="1656"/>
      <c r="D18" s="1844">
        <v>0</v>
      </c>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70" t="s">
        <v>1679</v>
      </c>
      <c r="B5" s="2371"/>
      <c r="C5" s="2371"/>
      <c r="D5" s="2371"/>
      <c r="E5" s="2371"/>
      <c r="F5" s="2371"/>
      <c r="G5" s="237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75" t="s">
        <v>1974</v>
      </c>
      <c r="B11" s="2376"/>
      <c r="C11" s="2376"/>
      <c r="D11" s="2377"/>
      <c r="E11" s="977">
        <v>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671457</v>
      </c>
      <c r="F19" s="1799"/>
      <c r="G19" s="1801">
        <f>'Expenditures 15-22'!K33-SUM('Expenditures 15-22'!G33,'Expenditures 15-22'!I33)+'Expenditures 15-22'!D229</f>
        <v>671457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1284054</v>
      </c>
      <c r="F21" s="1802"/>
      <c r="G21" s="1805">
        <f>'Expenditures 15-22'!K42-SUM('Expenditures 15-22'!G42,'Expenditures 15-22'!I42)+'Expenditures 15-22'!K120-SUM('Expenditures 15-22'!G120,'Expenditures 15-22'!I120)+'Expenditures 15-22'!K180-SUM('Expenditures 15-22'!G180,'Expenditures 15-22'!I180)+'Expenditures 15-22'!D238</f>
        <v>1284054</v>
      </c>
      <c r="H21" s="987"/>
      <c r="I21" s="162"/>
    </row>
    <row r="22" spans="1:9" s="668" customFormat="1" ht="12" customHeight="1" x14ac:dyDescent="0.2">
      <c r="A22" s="994" t="s">
        <v>564</v>
      </c>
      <c r="B22" s="995"/>
      <c r="C22" s="993">
        <v>2200</v>
      </c>
      <c r="D22" s="1802"/>
      <c r="E22" s="1804">
        <f>'Expenditures 15-22'!K47-SUM('Expenditures 15-22'!G47,'Expenditures 15-22'!I47)+'Expenditures 15-22'!D243</f>
        <v>53590</v>
      </c>
      <c r="F22" s="1802"/>
      <c r="G22" s="1805">
        <f>'Expenditures 15-22'!K47-SUM('Expenditures 15-22'!G47,'Expenditures 15-22'!I47)+'Expenditures 15-22'!D243</f>
        <v>53590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306816</v>
      </c>
      <c r="F23" s="1802"/>
      <c r="G23" s="1804">
        <f>'Expenditures 15-22'!K53-SUM('Expenditures 15-22'!G53,'Expenditures 15-22'!I53)+'Expenditures 15-22'!D257+'Expenditures 15-22'!K330-SUM('Expenditures 15-22'!G330,'Expenditures 15-22'!I330)</f>
        <v>306816</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148410</v>
      </c>
      <c r="E26" s="1804">
        <f>'Expenditures 15-22'!K122-SUM('Expenditures 15-22'!G122,'Expenditures 15-22'!I122)+E7</f>
        <v>0</v>
      </c>
      <c r="F26" s="1804">
        <f>'Expenditures 15-22'!K59-SUM('Expenditures 15-22'!G59,'Expenditures 15-22'!I59)+'Expenditures 15-22'!D263-E7</f>
        <v>148410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55811</v>
      </c>
      <c r="E27" s="1804">
        <f>E8</f>
        <v>0</v>
      </c>
      <c r="F27" s="1804">
        <f>'Expenditures 15-22'!K60-SUM('Expenditures 15-22'!G60,'Expenditures 15-22'!I60)+'Expenditures 15-22'!D264-E8</f>
        <v>55811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204221</v>
      </c>
      <c r="E41" s="1806">
        <f>SUM(E19:E40)</f>
        <v>2315917</v>
      </c>
      <c r="F41" s="1806">
        <f>SUM(F19:F39)</f>
        <v>204221</v>
      </c>
      <c r="G41" s="1806">
        <f>SUM(G19:G40)</f>
        <v>2315917</v>
      </c>
    </row>
    <row r="42" spans="1:7" x14ac:dyDescent="0.2">
      <c r="A42" s="987"/>
      <c r="B42" s="162"/>
      <c r="C42" s="1001"/>
      <c r="D42" s="2373" t="s">
        <v>522</v>
      </c>
      <c r="E42" s="2374"/>
      <c r="F42" s="1002" t="s">
        <v>523</v>
      </c>
      <c r="G42" s="1003"/>
    </row>
    <row r="43" spans="1:7" ht="12" customHeight="1" x14ac:dyDescent="0.2">
      <c r="A43" s="987"/>
      <c r="B43" s="162"/>
      <c r="C43" s="1001"/>
      <c r="D43" s="1807" t="s">
        <v>473</v>
      </c>
      <c r="E43" s="1808">
        <f>D41</f>
        <v>204221</v>
      </c>
      <c r="F43" s="1807" t="s">
        <v>473</v>
      </c>
      <c r="G43" s="1808">
        <f>F41</f>
        <v>204221</v>
      </c>
    </row>
    <row r="44" spans="1:7" ht="12" customHeight="1" x14ac:dyDescent="0.2">
      <c r="A44" s="987"/>
      <c r="B44" s="162"/>
      <c r="C44" s="1001"/>
      <c r="D44" s="1807" t="s">
        <v>474</v>
      </c>
      <c r="E44" s="1808">
        <f>E41</f>
        <v>2315917</v>
      </c>
      <c r="F44" s="1807" t="s">
        <v>474</v>
      </c>
      <c r="G44" s="1808">
        <f>G41</f>
        <v>2315917</v>
      </c>
    </row>
    <row r="45" spans="1:7" ht="12" customHeight="1" x14ac:dyDescent="0.2">
      <c r="A45" s="987"/>
      <c r="B45" s="162"/>
      <c r="C45" s="162"/>
      <c r="D45" s="1809" t="s">
        <v>1006</v>
      </c>
      <c r="E45" s="1810">
        <f>(E43/E44)</f>
        <v>8.8181484915046612E-2</v>
      </c>
      <c r="F45" s="1809" t="s">
        <v>1006</v>
      </c>
      <c r="G45" s="1810">
        <f>(G43/G44)</f>
        <v>8.8181484915046612E-2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5" activePane="bottomLeft" state="frozen"/>
      <selection activeCell="X29" sqref="X29"/>
      <selection pane="bottomLeft" activeCell="C40" sqref="C40:F4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81" t="s">
        <v>1379</v>
      </c>
      <c r="B1" s="2381"/>
      <c r="C1" s="2381"/>
      <c r="D1" s="2381"/>
      <c r="E1" s="2381"/>
      <c r="F1" s="2381"/>
    </row>
    <row r="2" spans="1:10" x14ac:dyDescent="0.2">
      <c r="A2" s="1887" t="s">
        <v>1909</v>
      </c>
      <c r="B2" s="1848"/>
      <c r="C2" s="1887"/>
      <c r="D2" s="1848"/>
      <c r="E2" s="1848"/>
      <c r="F2" s="1849"/>
    </row>
    <row r="3" spans="1:10" x14ac:dyDescent="0.2">
      <c r="A3" s="1887" t="s">
        <v>1975</v>
      </c>
      <c r="B3" s="1848"/>
      <c r="C3" s="1887"/>
      <c r="D3" s="1848"/>
      <c r="E3" s="1848"/>
      <c r="F3" s="1849"/>
    </row>
    <row r="4" spans="1:10" ht="3.75" customHeight="1" x14ac:dyDescent="0.2">
      <c r="A4" s="1848"/>
      <c r="B4" s="1848"/>
      <c r="C4" s="1848"/>
      <c r="D4" s="1848"/>
      <c r="E4" s="1848"/>
      <c r="F4" s="1849"/>
    </row>
    <row r="5" spans="1:10" ht="15" x14ac:dyDescent="0.25">
      <c r="A5" s="2382" t="s">
        <v>1546</v>
      </c>
      <c r="B5" s="2383"/>
      <c r="C5" s="2384"/>
      <c r="D5" s="2384"/>
      <c r="E5" s="2384"/>
      <c r="F5" s="2384"/>
    </row>
    <row r="6" spans="1:10" ht="12" customHeight="1" x14ac:dyDescent="0.25">
      <c r="A6" s="1850"/>
      <c r="B6" s="1851"/>
      <c r="C6" s="2385" t="str">
        <f>COVER!A17</f>
        <v>Northwest Sp Ed Cooperative</v>
      </c>
      <c r="D6" s="2385"/>
      <c r="E6" s="2385"/>
      <c r="F6" s="1852"/>
    </row>
    <row r="7" spans="1:10" ht="11.25" customHeight="1" thickBot="1" x14ac:dyDescent="0.3">
      <c r="A7" s="1850"/>
      <c r="B7" s="1851"/>
      <c r="C7" s="2386">
        <f>COVER!A13</f>
        <v>8043210061</v>
      </c>
      <c r="D7" s="2386"/>
      <c r="E7" s="2386"/>
      <c r="F7" s="1852"/>
    </row>
    <row r="8" spans="1:10" ht="25.5" customHeight="1" thickBot="1" x14ac:dyDescent="0.25">
      <c r="A8" s="1893" t="s">
        <v>1905</v>
      </c>
      <c r="B8" s="1853" t="s">
        <v>2069</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87"/>
      <c r="D35" s="2387"/>
      <c r="E35" s="2387"/>
      <c r="F35" s="2388"/>
    </row>
    <row r="36" spans="1:11" ht="12" customHeight="1" x14ac:dyDescent="0.2">
      <c r="A36" s="2378"/>
      <c r="B36" s="2379"/>
      <c r="C36" s="2379"/>
      <c r="D36" s="2379"/>
      <c r="E36" s="2379"/>
      <c r="F36" s="2380"/>
    </row>
    <row r="37" spans="1:11" ht="12" customHeight="1" x14ac:dyDescent="0.2">
      <c r="A37" s="2378"/>
      <c r="B37" s="2379"/>
      <c r="C37" s="2379"/>
      <c r="D37" s="2379"/>
      <c r="E37" s="2379"/>
      <c r="F37" s="2380"/>
    </row>
    <row r="38" spans="1:11" ht="12" customHeight="1" x14ac:dyDescent="0.2">
      <c r="A38" s="2392"/>
      <c r="B38" s="2393"/>
      <c r="C38" s="2393"/>
      <c r="D38" s="2393"/>
      <c r="E38" s="2393"/>
      <c r="F38" s="2394"/>
    </row>
    <row r="39" spans="1:11" ht="4.5" hidden="1" customHeight="1" x14ac:dyDescent="0.2">
      <c r="A39" s="1873"/>
      <c r="B39" s="1873"/>
      <c r="C39" s="1873"/>
      <c r="D39" s="1873"/>
      <c r="E39" s="1873"/>
      <c r="F39" s="1873"/>
    </row>
    <row r="40" spans="1:11" s="1870" customFormat="1" ht="12" customHeight="1" x14ac:dyDescent="0.25">
      <c r="A40" s="1874" t="s">
        <v>1391</v>
      </c>
      <c r="B40" s="1875"/>
      <c r="C40" s="2395"/>
      <c r="D40" s="2395"/>
      <c r="E40" s="2395"/>
      <c r="F40" s="2396"/>
      <c r="H40" s="1879"/>
      <c r="I40" s="1879"/>
      <c r="J40" s="1879"/>
      <c r="K40" s="1879"/>
    </row>
    <row r="41" spans="1:11" s="1870" customFormat="1" ht="12" customHeight="1" x14ac:dyDescent="0.25">
      <c r="A41" s="2397"/>
      <c r="B41" s="2398"/>
      <c r="C41" s="2398"/>
      <c r="D41" s="2398"/>
      <c r="E41" s="2398"/>
      <c r="F41" s="2399"/>
      <c r="H41" s="1879"/>
      <c r="I41" s="1879"/>
      <c r="J41" s="1879"/>
      <c r="K41" s="1879"/>
    </row>
    <row r="42" spans="1:11" s="1870" customFormat="1" ht="12" customHeight="1" x14ac:dyDescent="0.25">
      <c r="A42" s="2397"/>
      <c r="B42" s="2398"/>
      <c r="C42" s="2398"/>
      <c r="D42" s="2398"/>
      <c r="E42" s="2398"/>
      <c r="F42" s="2399"/>
      <c r="H42" s="1879"/>
      <c r="I42" s="1879"/>
      <c r="J42" s="1879"/>
      <c r="K42" s="1879"/>
    </row>
    <row r="43" spans="1:11" s="1870" customFormat="1" ht="15" x14ac:dyDescent="0.25">
      <c r="A43" s="2389"/>
      <c r="B43" s="2390"/>
      <c r="C43" s="2390"/>
      <c r="D43" s="2390"/>
      <c r="E43" s="2390"/>
      <c r="F43" s="2391"/>
      <c r="H43" s="1879"/>
      <c r="I43" s="1879"/>
      <c r="J43" s="1879"/>
      <c r="K43" s="1879"/>
    </row>
    <row r="44" spans="1:11" s="1870" customFormat="1" ht="12" hidden="1" customHeight="1" x14ac:dyDescent="0.25">
      <c r="A44" s="2389"/>
      <c r="B44" s="2390"/>
      <c r="C44" s="2390"/>
      <c r="D44" s="2390"/>
      <c r="E44" s="2390"/>
      <c r="F44" s="23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X29" sqref="X2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405" t="str">
        <f>COVER!A17</f>
        <v>Northwest Sp Ed Cooperative</v>
      </c>
      <c r="J6" s="2406"/>
      <c r="Q6" s="1664"/>
    </row>
    <row r="7" spans="1:17" x14ac:dyDescent="0.2">
      <c r="A7" s="2407" t="s">
        <v>869</v>
      </c>
      <c r="B7" s="2408"/>
      <c r="C7" s="2408"/>
      <c r="D7" s="2408"/>
      <c r="E7" s="2409"/>
      <c r="F7" s="1017"/>
      <c r="G7" s="1009"/>
      <c r="H7" s="1016" t="s">
        <v>372</v>
      </c>
      <c r="I7" s="2410">
        <f>COVER!A13</f>
        <v>8043210061</v>
      </c>
      <c r="J7" s="241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1976</v>
      </c>
      <c r="F9" s="1023"/>
      <c r="G9" s="1023"/>
      <c r="H9" s="1896"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411" t="s">
        <v>481</v>
      </c>
      <c r="B11" s="2412"/>
      <c r="C11" s="241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307414</v>
      </c>
      <c r="F12" s="1039"/>
      <c r="G12" s="1811">
        <f t="shared" ref="G12:G18" si="0">SUM(E12:F12)</f>
        <v>307414</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148410</v>
      </c>
      <c r="F15" s="1811">
        <f>'Expenditures 15-22'!K122</f>
        <v>0</v>
      </c>
      <c r="G15" s="1811">
        <f t="shared" si="0"/>
        <v>148410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414" t="s">
        <v>7</v>
      </c>
      <c r="C18" s="2415"/>
      <c r="D18" s="241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455824</v>
      </c>
      <c r="F19" s="1813">
        <f t="shared" si="2"/>
        <v>0</v>
      </c>
      <c r="G19" s="1813">
        <f t="shared" si="2"/>
        <v>455824</v>
      </c>
      <c r="H19" s="1813">
        <f t="shared" si="2"/>
        <v>0</v>
      </c>
      <c r="I19" s="1813">
        <f t="shared" si="2"/>
        <v>0</v>
      </c>
      <c r="J19" s="1813">
        <f t="shared" si="2"/>
        <v>0</v>
      </c>
    </row>
    <row r="20" spans="1:10" ht="13.5" thickTop="1" x14ac:dyDescent="0.2">
      <c r="A20" s="1035">
        <v>9</v>
      </c>
      <c r="B20" s="2417" t="s">
        <v>1978</v>
      </c>
      <c r="C20" s="2417"/>
      <c r="D20" s="241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423"/>
      <c r="D26" s="2423"/>
      <c r="E26" s="1050"/>
      <c r="F26" s="2422"/>
      <c r="G26" s="2422"/>
    </row>
    <row r="27" spans="1:10" x14ac:dyDescent="0.2">
      <c r="B27" s="1047"/>
      <c r="C27" s="1051" t="s">
        <v>1033</v>
      </c>
      <c r="D27" s="1052"/>
      <c r="E27" s="1053"/>
      <c r="F27" s="2419" t="s">
        <v>1509</v>
      </c>
      <c r="G27" s="2419"/>
    </row>
    <row r="28" spans="1:10" ht="28.5" customHeight="1" x14ac:dyDescent="0.2">
      <c r="B28" s="1047"/>
      <c r="C28" s="2421"/>
      <c r="D28" s="2421"/>
      <c r="E28" s="1054"/>
      <c r="F28" s="2421"/>
      <c r="G28" s="2421"/>
    </row>
    <row r="29" spans="1:10" x14ac:dyDescent="0.2">
      <c r="B29" s="1047"/>
      <c r="C29" s="1055" t="s">
        <v>1561</v>
      </c>
      <c r="E29" s="1056"/>
      <c r="F29" s="2420" t="s">
        <v>1510</v>
      </c>
      <c r="G29" s="242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402" t="s">
        <v>132</v>
      </c>
      <c r="D33" s="2403"/>
      <c r="E33" s="2403"/>
      <c r="F33" s="2403"/>
      <c r="G33" s="2403"/>
      <c r="H33" s="2403"/>
      <c r="I33" s="2403"/>
    </row>
    <row r="34" spans="1:10" ht="10.35" customHeight="1" x14ac:dyDescent="0.2">
      <c r="C34" s="2403"/>
      <c r="D34" s="2403"/>
      <c r="E34" s="2403"/>
      <c r="F34" s="2403"/>
      <c r="G34" s="2403"/>
      <c r="H34" s="2403"/>
      <c r="I34" s="2403"/>
    </row>
    <row r="35" spans="1:10" ht="7.5" customHeight="1" x14ac:dyDescent="0.2">
      <c r="C35" s="1062"/>
    </row>
    <row r="36" spans="1:10" ht="13.5" customHeight="1" x14ac:dyDescent="0.2">
      <c r="B36" s="1061"/>
      <c r="C36" s="2404" t="s">
        <v>1980</v>
      </c>
      <c r="D36" s="2403"/>
      <c r="E36" s="2403"/>
      <c r="F36" s="2403"/>
      <c r="G36" s="2403"/>
      <c r="H36" s="2403"/>
      <c r="I36" s="2403"/>
      <c r="J36" s="1063"/>
    </row>
    <row r="37" spans="1:10" ht="22.5" customHeight="1" x14ac:dyDescent="0.2">
      <c r="C37" s="2403"/>
      <c r="D37" s="2403"/>
      <c r="E37" s="2403"/>
      <c r="F37" s="2403"/>
      <c r="G37" s="2403"/>
      <c r="H37" s="2403"/>
      <c r="I37" s="2403"/>
      <c r="J37" s="1063"/>
    </row>
    <row r="38" spans="1:10" ht="7.5" customHeight="1" x14ac:dyDescent="0.2">
      <c r="C38" s="1062"/>
      <c r="D38" s="1064"/>
      <c r="E38" s="1065"/>
      <c r="F38" s="1066"/>
      <c r="G38" s="1065"/>
    </row>
    <row r="39" spans="1:10" ht="13.5" customHeight="1" x14ac:dyDescent="0.2">
      <c r="B39" s="1061"/>
      <c r="C39" s="2400" t="s">
        <v>882</v>
      </c>
      <c r="D39" s="2401"/>
      <c r="E39" s="2401"/>
      <c r="F39" s="2401"/>
      <c r="G39" s="2401"/>
      <c r="H39" s="2401"/>
      <c r="I39" s="240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X29" sqref="X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Northwest Sp Ed Cooperative</v>
      </c>
    </row>
    <row r="65" spans="2:2" x14ac:dyDescent="0.2">
      <c r="B65" s="1070">
        <f>COVER!A13</f>
        <v>8043210061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6" t="s">
        <v>1611</v>
      </c>
    </row>
    <row r="23" spans="1:5" x14ac:dyDescent="0.2">
      <c r="A23" s="168"/>
      <c r="B23" s="162" t="s">
        <v>1854</v>
      </c>
      <c r="D23" s="167" t="s">
        <v>637</v>
      </c>
      <c r="E23" s="1836"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41" t="s">
        <v>1065</v>
      </c>
      <c r="B35" s="2141"/>
      <c r="C35" s="2141"/>
      <c r="D35" s="2141"/>
      <c r="E35" s="214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8" t="s">
        <v>691</v>
      </c>
      <c r="B40" s="2138"/>
      <c r="C40" s="2138"/>
      <c r="D40" s="2138"/>
      <c r="E40" s="2138"/>
    </row>
    <row r="41" spans="1:5" x14ac:dyDescent="0.2">
      <c r="A41" s="2139" t="s">
        <v>1608</v>
      </c>
      <c r="B41" s="2139"/>
      <c r="C41" s="2139"/>
      <c r="D41" s="2139"/>
      <c r="E41" s="2139"/>
    </row>
    <row r="42" spans="1:5" ht="12.75" customHeight="1" x14ac:dyDescent="0.2">
      <c r="A42" s="2140" t="s">
        <v>1022</v>
      </c>
      <c r="B42" s="2140"/>
      <c r="C42" s="2140"/>
      <c r="D42" s="2140"/>
      <c r="E42" s="2140"/>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424" t="s">
        <v>1685</v>
      </c>
      <c r="B18" s="242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686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Document.2015"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5" t="s">
        <v>1690</v>
      </c>
      <c r="B1" s="2426"/>
      <c r="C1" s="2426"/>
      <c r="D1" s="2426"/>
      <c r="E1" s="2426"/>
      <c r="F1" s="2427"/>
    </row>
    <row r="2" spans="1:8" ht="45" customHeight="1" x14ac:dyDescent="0.2">
      <c r="A2" s="2435" t="s">
        <v>1984</v>
      </c>
      <c r="B2" s="2436"/>
      <c r="C2" s="2436"/>
      <c r="D2" s="2436"/>
      <c r="E2" s="2436"/>
      <c r="F2" s="2437"/>
      <c r="G2" s="1074"/>
      <c r="H2" s="1074"/>
    </row>
    <row r="3" spans="1:8" ht="57" customHeight="1" x14ac:dyDescent="0.2">
      <c r="A3" s="2438" t="s">
        <v>1686</v>
      </c>
      <c r="B3" s="2439"/>
      <c r="C3" s="2439"/>
      <c r="D3" s="2439"/>
      <c r="E3" s="2439"/>
      <c r="F3" s="2440"/>
      <c r="G3" s="1074"/>
      <c r="H3" s="1074"/>
    </row>
    <row r="4" spans="1:8" ht="14.25" customHeight="1" x14ac:dyDescent="0.2">
      <c r="A4" s="2444" t="s">
        <v>1985</v>
      </c>
      <c r="B4" s="2445"/>
      <c r="C4" s="2445"/>
      <c r="D4" s="2445"/>
      <c r="E4" s="2445"/>
      <c r="F4" s="2446"/>
      <c r="G4" s="1074"/>
      <c r="H4" s="1074"/>
    </row>
    <row r="5" spans="1:8" ht="14.25" customHeight="1" x14ac:dyDescent="0.2">
      <c r="A5" s="2447" t="s">
        <v>1981</v>
      </c>
      <c r="B5" s="2448"/>
      <c r="C5" s="2448"/>
      <c r="D5" s="2448"/>
      <c r="E5" s="2448"/>
      <c r="F5" s="2449"/>
      <c r="G5" s="1074"/>
      <c r="H5" s="1074"/>
    </row>
    <row r="6" spans="1:8" s="1075" customFormat="1" ht="41.25" customHeight="1" x14ac:dyDescent="0.2">
      <c r="A6" s="2441" t="s">
        <v>1691</v>
      </c>
      <c r="B6" s="2442"/>
      <c r="C6" s="2442"/>
      <c r="D6" s="2442"/>
      <c r="E6" s="2442"/>
      <c r="F6" s="244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4170305</v>
      </c>
      <c r="C8" s="1815">
        <f>'Acct Summary 7-8'!D8</f>
        <v>0</v>
      </c>
      <c r="D8" s="1815">
        <f>'Acct Summary 7-8'!F8</f>
        <v>0</v>
      </c>
      <c r="E8" s="1815">
        <f>'Acct Summary 7-8'!I8</f>
        <v>0</v>
      </c>
      <c r="F8" s="1815">
        <f>SUM(B8:E8)</f>
        <v>4170305</v>
      </c>
    </row>
    <row r="9" spans="1:8" s="1079" customFormat="1" ht="14.25" customHeight="1" thickBot="1" x14ac:dyDescent="0.25">
      <c r="A9" s="1078" t="s">
        <v>1369</v>
      </c>
      <c r="B9" s="1816">
        <f>'Acct Summary 7-8'!C17</f>
        <v>4316644</v>
      </c>
      <c r="C9" s="1816">
        <f>'Acct Summary 7-8'!D17</f>
        <v>0</v>
      </c>
      <c r="D9" s="1816">
        <f>'Acct Summary 7-8'!F17</f>
        <v>0</v>
      </c>
      <c r="E9" s="1815"/>
      <c r="F9" s="1815">
        <f>SUM(B9:E9)</f>
        <v>4316644</v>
      </c>
    </row>
    <row r="10" spans="1:8" s="1079" customFormat="1" ht="14.25" thickTop="1" thickBot="1" x14ac:dyDescent="0.25">
      <c r="A10" s="1080" t="s">
        <v>1370</v>
      </c>
      <c r="B10" s="1817">
        <f>(B8-B9)</f>
        <v>-146339</v>
      </c>
      <c r="C10" s="1817">
        <f>(C8-C9)</f>
        <v>0</v>
      </c>
      <c r="D10" s="1817">
        <f>(D8-D9)</f>
        <v>0</v>
      </c>
      <c r="E10" s="1816">
        <f>(E8-E9)</f>
        <v>0</v>
      </c>
      <c r="F10" s="1818">
        <f>SUM(F8-F9)</f>
        <v>-146339</v>
      </c>
    </row>
    <row r="11" spans="1:8" s="1079" customFormat="1" ht="14.25" thickTop="1" thickBot="1" x14ac:dyDescent="0.25">
      <c r="A11" s="1081" t="s">
        <v>1982</v>
      </c>
      <c r="B11" s="1819">
        <f>'Acct Summary 7-8'!C81</f>
        <v>1020530</v>
      </c>
      <c r="C11" s="1819">
        <f>'Acct Summary 7-8'!D81</f>
        <v>0</v>
      </c>
      <c r="D11" s="1819">
        <f>'Acct Summary 7-8'!F81</f>
        <v>0</v>
      </c>
      <c r="E11" s="1819">
        <f>'Acct Summary 7-8'!I81</f>
        <v>0</v>
      </c>
      <c r="F11" s="1820">
        <f>SUM(B11:E11)</f>
        <v>1020530</v>
      </c>
    </row>
    <row r="12" spans="1:8" ht="16.5" customHeight="1" thickTop="1" x14ac:dyDescent="0.2">
      <c r="A12" s="1082"/>
      <c r="B12" s="1083"/>
      <c r="C12" s="2429" t="str">
        <f>IF(AND(F10&lt;0,F11&gt;=0,ABS(F10*3)&gt;ABS(F11)),A16,IF(AND(F10&lt;0,F11&gt;0,ABS(F10*3)&lt;=ABS(F11)),A17,IF(AND(F10&lt;0,F11&lt;0),A16,IF(F11=0,A19,A18))))</f>
        <v>Unbalanced -  however, a deficit reduction plan is not required at this time.</v>
      </c>
      <c r="D12" s="2430"/>
      <c r="E12" s="2430"/>
      <c r="F12" s="2431"/>
    </row>
    <row r="13" spans="1:8" ht="19.5" customHeight="1" x14ac:dyDescent="0.2">
      <c r="A13" s="1084"/>
      <c r="B13" s="1085"/>
      <c r="C13" s="2429"/>
      <c r="D13" s="2430"/>
      <c r="E13" s="2430"/>
      <c r="F13" s="2431"/>
      <c r="H13" s="1074"/>
    </row>
    <row r="14" spans="1:8" ht="19.5" customHeight="1" x14ac:dyDescent="0.2">
      <c r="A14" s="1084"/>
      <c r="B14" s="1085"/>
      <c r="C14" s="2429"/>
      <c r="D14" s="2430"/>
      <c r="E14" s="2430"/>
      <c r="F14" s="2431"/>
      <c r="H14" s="1074"/>
    </row>
    <row r="15" spans="1:8" ht="17.25" customHeight="1" x14ac:dyDescent="0.2">
      <c r="A15" s="1084"/>
      <c r="B15" s="1085"/>
      <c r="C15" s="2432"/>
      <c r="D15" s="2433"/>
      <c r="E15" s="2433"/>
      <c r="F15" s="2434"/>
      <c r="H15" s="1074"/>
    </row>
    <row r="16" spans="1:8" s="310" customFormat="1" ht="51.75" hidden="1" customHeight="1" x14ac:dyDescent="0.2">
      <c r="A16" s="2428" t="s">
        <v>1687</v>
      </c>
      <c r="B16" s="2428"/>
      <c r="C16" s="2428"/>
      <c r="D16" s="2428"/>
      <c r="E16" s="242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62" colorId="8" zoomScale="110" zoomScaleNormal="110" workbookViewId="0">
      <selection activeCell="X29" sqref="X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450" t="s">
        <v>665</v>
      </c>
      <c r="B3" s="2451"/>
      <c r="C3" s="2451"/>
      <c r="D3" s="245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61" t="s">
        <v>1504</v>
      </c>
      <c r="D7" s="2462"/>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53" t="s">
        <v>1008</v>
      </c>
      <c r="B15" s="2454"/>
      <c r="C15" s="2454"/>
      <c r="D15" s="2455"/>
    </row>
    <row r="16" spans="1:4" s="668" customFormat="1" ht="24" customHeight="1" x14ac:dyDescent="0.2">
      <c r="A16" s="2456" t="s">
        <v>663</v>
      </c>
      <c r="B16" s="2457"/>
      <c r="C16" s="2457"/>
      <c r="D16" s="245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65" t="s">
        <v>314</v>
      </c>
      <c r="D21" s="2466"/>
    </row>
    <row r="22" spans="1:10" ht="12.75" x14ac:dyDescent="0.2">
      <c r="A22" s="1139"/>
      <c r="B22" s="1140">
        <v>2</v>
      </c>
      <c r="C22" s="2463" t="s">
        <v>1524</v>
      </c>
      <c r="D22" s="2464"/>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67" t="s">
        <v>536</v>
      </c>
      <c r="D43" s="246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59" t="s">
        <v>784</v>
      </c>
      <c r="D56" s="246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459" t="s">
        <v>1696</v>
      </c>
      <c r="D70" s="246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8043210061</v>
      </c>
    </row>
    <row r="3" spans="1:2" x14ac:dyDescent="0.2">
      <c r="A3" t="s">
        <v>956</v>
      </c>
      <c r="B3" s="138" t="str">
        <f>COVER!A15</f>
        <v>Jo Daviess</v>
      </c>
    </row>
    <row r="4" spans="1:2" x14ac:dyDescent="0.2">
      <c r="A4" t="s">
        <v>1007</v>
      </c>
      <c r="B4" s="138" t="str">
        <f>COVER!A17</f>
        <v>Northwest Sp Ed Cooperative</v>
      </c>
    </row>
    <row r="5" spans="1:2" x14ac:dyDescent="0.2">
      <c r="A5" t="s">
        <v>704</v>
      </c>
      <c r="B5" s="138" t="str">
        <f>COVER!A38</f>
        <v>Tracy Dahl</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066-004023</v>
      </c>
    </row>
    <row r="16" spans="1:2" x14ac:dyDescent="0.2">
      <c r="A16" t="s">
        <v>422</v>
      </c>
      <c r="B16" s="138" t="str">
        <f>COVER!T13</f>
        <v>Wipfli LLP</v>
      </c>
    </row>
    <row r="17" spans="1:2" x14ac:dyDescent="0.2">
      <c r="A17" t="s">
        <v>884</v>
      </c>
      <c r="B17" s="138" t="str">
        <f>COVER!T15</f>
        <v>Matthew Schueler</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39485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1536093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34598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515563</v>
      </c>
      <c r="C91" s="2" t="s">
        <v>573</v>
      </c>
      <c r="D91" s="2" t="str">
        <f t="shared" si="0"/>
        <v>Error?</v>
      </c>
    </row>
    <row r="92" spans="1:4" x14ac:dyDescent="0.2">
      <c r="A92" s="5">
        <v>31</v>
      </c>
      <c r="B92" s="138">
        <f>'Assets-Liab 5-6'!C39</f>
        <v>1020530</v>
      </c>
      <c r="D92" s="2" t="str">
        <f t="shared" si="0"/>
        <v>Error?</v>
      </c>
    </row>
    <row r="93" spans="1:4" x14ac:dyDescent="0.2">
      <c r="A93" s="5">
        <v>32</v>
      </c>
      <c r="B93" s="138">
        <f>'Assets-Liab 5-6'!C41</f>
        <v>1536093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35415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35415</v>
      </c>
      <c r="C279" s="2" t="s">
        <v>573</v>
      </c>
      <c r="D279" s="2" t="str">
        <f t="shared" si="3"/>
        <v>Error?</v>
      </c>
    </row>
    <row r="280" spans="1:4" x14ac:dyDescent="0.2">
      <c r="A280" s="5">
        <v>219</v>
      </c>
      <c r="B280" s="138">
        <f>'Assets-Liab 5-6'!M40</f>
        <v>35415</v>
      </c>
      <c r="D280" s="2" t="str">
        <f t="shared" si="3"/>
        <v>Error?</v>
      </c>
    </row>
    <row r="281" spans="1:4" x14ac:dyDescent="0.2">
      <c r="A281" s="5">
        <v>220</v>
      </c>
      <c r="B281" s="138">
        <f>'Assets-Liab 5-6'!M41</f>
        <v>35415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46303</v>
      </c>
      <c r="D717" s="2" t="str">
        <f t="shared" si="10"/>
        <v>Error?</v>
      </c>
    </row>
    <row r="718" spans="1:4" x14ac:dyDescent="0.2">
      <c r="A718" s="5">
        <v>657</v>
      </c>
      <c r="B718" s="138">
        <f>'Expenditures 15-22'!C14</f>
        <v>0</v>
      </c>
      <c r="D718" s="2" t="str">
        <f t="shared" si="10"/>
        <v>Error?</v>
      </c>
    </row>
    <row r="719" spans="1:4" x14ac:dyDescent="0.2">
      <c r="A719" s="5">
        <v>658</v>
      </c>
      <c r="B719" s="138">
        <f>'Expenditures 15-22'!C15</f>
        <v>858</v>
      </c>
      <c r="D719" s="2" t="str">
        <f t="shared" si="10"/>
        <v>Error?</v>
      </c>
    </row>
    <row r="720" spans="1:4" x14ac:dyDescent="0.2">
      <c r="A720" s="5">
        <v>659</v>
      </c>
      <c r="B720" s="138">
        <f>'Expenditures 15-22'!C33</f>
        <v>455699</v>
      </c>
      <c r="C720" s="2" t="s">
        <v>573</v>
      </c>
      <c r="D720" s="2" t="str">
        <f t="shared" si="10"/>
        <v>Error?</v>
      </c>
    </row>
    <row r="721" spans="1:4" x14ac:dyDescent="0.2">
      <c r="A721" s="5">
        <v>660</v>
      </c>
      <c r="B721" s="138">
        <f>'Expenditures 15-22'!C36</f>
        <v>235898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400737</v>
      </c>
      <c r="D723" s="2" t="str">
        <f t="shared" si="10"/>
        <v>Error?</v>
      </c>
    </row>
    <row r="724" spans="1:4" x14ac:dyDescent="0.2">
      <c r="A724" s="5">
        <v>663</v>
      </c>
      <c r="B724" s="138">
        <f>'Expenditures 15-22'!C39</f>
        <v>194530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50743</v>
      </c>
      <c r="D726" s="2" t="str">
        <f t="shared" si="10"/>
        <v>Error?</v>
      </c>
    </row>
    <row r="727" spans="1:4" x14ac:dyDescent="0.2">
      <c r="A727" s="5">
        <v>666</v>
      </c>
      <c r="B727" s="138">
        <f>'Expenditures 15-22'!C42</f>
        <v>881908</v>
      </c>
      <c r="C727" s="2" t="s">
        <v>573</v>
      </c>
      <c r="D727" s="2" t="str">
        <f t="shared" si="10"/>
        <v>Error?</v>
      </c>
    </row>
    <row r="728" spans="1:4" x14ac:dyDescent="0.2">
      <c r="A728" s="5">
        <v>667</v>
      </c>
      <c r="B728" s="138">
        <f>'Expenditures 15-22'!C44</f>
        <v>400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218493</v>
      </c>
      <c r="D733" s="2" t="str">
        <f t="shared" si="10"/>
        <v>Error?</v>
      </c>
    </row>
    <row r="734" spans="1:4" x14ac:dyDescent="0.2">
      <c r="A734" s="5">
        <v>673</v>
      </c>
      <c r="B734" s="138">
        <f>'Expenditures 15-22'!C53</f>
        <v>218493</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40665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40665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1141466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1597165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17100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139</v>
      </c>
      <c r="D777" s="2" t="str">
        <f t="shared" si="11"/>
        <v>Error?</v>
      </c>
    </row>
    <row r="778" spans="1:4" x14ac:dyDescent="0.2">
      <c r="A778" s="5">
        <v>717</v>
      </c>
      <c r="B778" s="138">
        <f>'Expenditures 15-22'!D33</f>
        <v>145652</v>
      </c>
      <c r="C778" s="2" t="s">
        <v>573</v>
      </c>
      <c r="D778" s="2" t="str">
        <f t="shared" si="11"/>
        <v>Error?</v>
      </c>
    </row>
    <row r="779" spans="1:4" x14ac:dyDescent="0.2">
      <c r="A779" s="5">
        <v>718</v>
      </c>
      <c r="B779" s="138">
        <f>'Expenditures 15-22'!D36</f>
        <v>66900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134528</v>
      </c>
      <c r="D781" s="2" t="str">
        <f t="shared" si="11"/>
        <v>Error?</v>
      </c>
    </row>
    <row r="782" spans="1:4" x14ac:dyDescent="0.2">
      <c r="A782" s="5">
        <v>721</v>
      </c>
      <c r="B782" s="138">
        <f>'Expenditures 15-22'!D39</f>
        <v>44518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3060</v>
      </c>
      <c r="D784" s="2" t="str">
        <f t="shared" si="11"/>
        <v>Error?</v>
      </c>
    </row>
    <row r="785" spans="1:4" x14ac:dyDescent="0.2">
      <c r="A785" s="5">
        <v>724</v>
      </c>
      <c r="B785" s="138">
        <f>'Expenditures 15-22'!D42</f>
        <v>249006</v>
      </c>
      <c r="C785" s="2" t="s">
        <v>573</v>
      </c>
      <c r="D785" s="2" t="str">
        <f t="shared" si="11"/>
        <v>Error?</v>
      </c>
    </row>
    <row r="786" spans="1:4" x14ac:dyDescent="0.2">
      <c r="A786" s="5">
        <v>725</v>
      </c>
      <c r="B786" s="138">
        <f>'Expenditures 15-22'!D44</f>
        <v>788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71139</v>
      </c>
      <c r="D791" s="2" t="str">
        <f t="shared" si="11"/>
        <v>Error?</v>
      </c>
    </row>
    <row r="792" spans="1:4" x14ac:dyDescent="0.2">
      <c r="A792" s="5">
        <v>731</v>
      </c>
      <c r="B792" s="138">
        <f>'Expenditures 15-22'!D53</f>
        <v>71139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15146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15146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336079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481731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1787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38</v>
      </c>
      <c r="D835" s="2" t="str">
        <f t="shared" si="12"/>
        <v>Error?</v>
      </c>
    </row>
    <row r="836" spans="1:4" x14ac:dyDescent="0.2">
      <c r="A836" s="5">
        <v>775</v>
      </c>
      <c r="B836" s="138">
        <f>'Expenditures 15-22'!E33</f>
        <v>61704</v>
      </c>
      <c r="C836" s="2" t="s">
        <v>573</v>
      </c>
      <c r="D836" s="2" t="str">
        <f t="shared" si="12"/>
        <v>Error?</v>
      </c>
    </row>
    <row r="837" spans="1:4" x14ac:dyDescent="0.2">
      <c r="A837" s="5">
        <v>776</v>
      </c>
      <c r="B837" s="138">
        <f>'Expenditures 15-22'!E36</f>
        <v>1027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20705</v>
      </c>
      <c r="D839" s="2" t="str">
        <f t="shared" si="12"/>
        <v>Error?</v>
      </c>
    </row>
    <row r="840" spans="1:4" x14ac:dyDescent="0.2">
      <c r="A840" s="5">
        <v>779</v>
      </c>
      <c r="B840" s="138">
        <f>'Expenditures 15-22'!E39</f>
        <v>116834</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3028</v>
      </c>
      <c r="D842" s="2" t="str">
        <f t="shared" si="12"/>
        <v>Error?</v>
      </c>
    </row>
    <row r="843" spans="1:4" x14ac:dyDescent="0.2">
      <c r="A843" s="5">
        <v>782</v>
      </c>
      <c r="B843" s="138">
        <f>'Expenditures 15-22'!E42</f>
        <v>141594</v>
      </c>
      <c r="C843" s="2" t="s">
        <v>573</v>
      </c>
      <c r="D843" s="2" t="str">
        <f t="shared" si="12"/>
        <v>Error?</v>
      </c>
    </row>
    <row r="844" spans="1:4" x14ac:dyDescent="0.2">
      <c r="A844" s="5">
        <v>783</v>
      </c>
      <c r="B844" s="138">
        <f>'Expenditures 15-22'!E44</f>
        <v>45095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45095</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12455</v>
      </c>
      <c r="D849" s="2" t="str">
        <f t="shared" si="12"/>
        <v>Error?</v>
      </c>
    </row>
    <row r="850" spans="1:4" x14ac:dyDescent="0.2">
      <c r="A850" s="5">
        <v>789</v>
      </c>
      <c r="B850" s="138">
        <f>'Expenditures 15-22'!E53</f>
        <v>12455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142141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142141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341285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402989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8402</v>
      </c>
      <c r="C894" s="2" t="s">
        <v>573</v>
      </c>
      <c r="D894" s="2" t="str">
        <f t="shared" si="12"/>
        <v>Error?</v>
      </c>
    </row>
    <row r="895" spans="1:4" x14ac:dyDescent="0.2">
      <c r="A895" s="5">
        <v>834</v>
      </c>
      <c r="B895" s="138">
        <f>'Expenditures 15-22'!F36</f>
        <v>1405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4871</v>
      </c>
      <c r="D897" s="2" t="str">
        <f t="shared" si="13"/>
        <v>Error?</v>
      </c>
    </row>
    <row r="898" spans="1:4" x14ac:dyDescent="0.2">
      <c r="A898" s="5">
        <v>837</v>
      </c>
      <c r="B898" s="138">
        <f>'Expenditures 15-22'!F39</f>
        <v>4967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303</v>
      </c>
      <c r="D900" s="2" t="str">
        <f t="shared" si="13"/>
        <v>Error?</v>
      </c>
    </row>
    <row r="901" spans="1:4" x14ac:dyDescent="0.2">
      <c r="A901" s="5">
        <v>840</v>
      </c>
      <c r="B901" s="138">
        <f>'Expenditures 15-22'!F42</f>
        <v>11546</v>
      </c>
      <c r="C901" s="2" t="s">
        <v>573</v>
      </c>
      <c r="D901" s="2" t="str">
        <f t="shared" si="13"/>
        <v>Error?</v>
      </c>
    </row>
    <row r="902" spans="1:4" x14ac:dyDescent="0.2">
      <c r="A902" s="5">
        <v>841</v>
      </c>
      <c r="B902" s="138">
        <f>'Expenditures 15-22'!F44</f>
        <v>7307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7307</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6269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6269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25122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33524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2391</v>
      </c>
      <c r="C952" s="2" t="s">
        <v>573</v>
      </c>
      <c r="D952" s="2" t="str">
        <f t="shared" si="13"/>
        <v>Error?</v>
      </c>
    </row>
    <row r="953" spans="1:4" x14ac:dyDescent="0.2">
      <c r="A953" s="5">
        <v>892</v>
      </c>
      <c r="B953" s="138">
        <f>'Expenditures 15-22'!G36</f>
        <v>1196</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2260</v>
      </c>
      <c r="D955" s="2" t="str">
        <f t="shared" si="13"/>
        <v>Error?</v>
      </c>
    </row>
    <row r="956" spans="1:4" x14ac:dyDescent="0.2">
      <c r="A956" s="5">
        <v>895</v>
      </c>
      <c r="B956" s="138">
        <f>'Expenditures 15-22'!G39</f>
        <v>5451</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8907</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598</v>
      </c>
      <c r="D965" s="2" t="str">
        <f t="shared" si="14"/>
        <v>Error?</v>
      </c>
    </row>
    <row r="966" spans="1:4" x14ac:dyDescent="0.2">
      <c r="A966" s="5">
        <v>905</v>
      </c>
      <c r="B966" s="138">
        <f>'Expenditures 15-22'!G53</f>
        <v>598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9505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4729</v>
      </c>
      <c r="D1023" s="2" t="str">
        <f t="shared" ref="D1023:D1086" si="15">IF(ISBLANK(B1023),"OK",IF(A1023-B1023=0,"OK","Error?"))</f>
        <v>Error?</v>
      </c>
    </row>
    <row r="1024" spans="1:4" x14ac:dyDescent="0.2">
      <c r="A1024" s="5">
        <v>963</v>
      </c>
      <c r="B1024" s="138">
        <f>'Expenditures 15-22'!H53</f>
        <v>4729</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4729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1784610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1789339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65190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1035</v>
      </c>
      <c r="C1107" s="2" t="s">
        <v>573</v>
      </c>
      <c r="D1107" s="2" t="str">
        <f t="shared" si="16"/>
        <v>Error?</v>
      </c>
    </row>
    <row r="1108" spans="1:4" x14ac:dyDescent="0.2">
      <c r="A1108" s="5">
        <v>1047</v>
      </c>
      <c r="B1108" s="138">
        <f>'Expenditures 15-22'!K33</f>
        <v>673848</v>
      </c>
      <c r="C1108" s="2" t="s">
        <v>573</v>
      </c>
      <c r="D1108" s="2" t="str">
        <f t="shared" si="16"/>
        <v>Error?</v>
      </c>
    </row>
    <row r="1109" spans="1:4" x14ac:dyDescent="0.2">
      <c r="A1109" s="5">
        <v>1048</v>
      </c>
      <c r="B1109" s="138">
        <f>'Expenditures 15-22'!K36</f>
        <v>306426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563101</v>
      </c>
      <c r="C1111" s="2" t="s">
        <v>573</v>
      </c>
      <c r="D1111" s="2" t="str">
        <f t="shared" si="16"/>
        <v>Error?</v>
      </c>
    </row>
    <row r="1112" spans="1:4" x14ac:dyDescent="0.2">
      <c r="A1112" s="5">
        <v>1051</v>
      </c>
      <c r="B1112" s="138">
        <f>'Expenditures 15-22'!K39</f>
        <v>366300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57134</v>
      </c>
      <c r="C1114" s="2" t="s">
        <v>573</v>
      </c>
      <c r="D1114" s="2" t="str">
        <f t="shared" si="16"/>
        <v>Error?</v>
      </c>
    </row>
    <row r="1115" spans="1:4" x14ac:dyDescent="0.2">
      <c r="A1115" s="5">
        <v>1054</v>
      </c>
      <c r="B1115" s="138">
        <f>'Expenditures 15-22'!K42</f>
        <v>1292961</v>
      </c>
      <c r="C1115" s="2" t="s">
        <v>573</v>
      </c>
      <c r="D1115" s="2" t="str">
        <f t="shared" si="16"/>
        <v>Error?</v>
      </c>
    </row>
    <row r="1116" spans="1:4" x14ac:dyDescent="0.2">
      <c r="A1116" s="5">
        <v>1055</v>
      </c>
      <c r="B1116" s="138">
        <f>'Expenditures 15-22'!K44</f>
        <v>53590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53590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307414</v>
      </c>
      <c r="C1121" s="2" t="s">
        <v>573</v>
      </c>
      <c r="D1121" s="2" t="str">
        <f t="shared" si="16"/>
        <v>Error?</v>
      </c>
    </row>
    <row r="1122" spans="1:4" x14ac:dyDescent="0.2">
      <c r="A1122" s="5">
        <v>1061</v>
      </c>
      <c r="B1122" s="138">
        <f>'Expenditures 15-22'!K53</f>
        <v>307414</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148410</v>
      </c>
      <c r="C1126" s="2" t="s">
        <v>573</v>
      </c>
      <c r="D1126" s="2" t="str">
        <f t="shared" si="16"/>
        <v>Error?</v>
      </c>
    </row>
    <row r="1127" spans="1:4" x14ac:dyDescent="0.2">
      <c r="A1127" s="5">
        <v>1066</v>
      </c>
      <c r="B1127" s="138">
        <f>'Expenditures 15-22'!K60</f>
        <v>55811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204221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1858186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1784610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4316644</v>
      </c>
      <c r="C1152" s="2" t="s">
        <v>573</v>
      </c>
      <c r="D1152" s="2" t="str">
        <f t="shared" si="17"/>
        <v>Error?</v>
      </c>
    </row>
    <row r="1153" spans="1:4" x14ac:dyDescent="0.2">
      <c r="A1153" s="5">
        <v>1092</v>
      </c>
      <c r="B1153" s="138">
        <f>'Expenditures 15-22'!K115</f>
        <v>-146339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1166869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1020530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189236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189236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11896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11896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201132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201132</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158656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158656</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7061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7061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165717</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165717</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35415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35415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1958572</v>
      </c>
      <c r="C2551" s="2" t="s">
        <v>573</v>
      </c>
      <c r="D2551" s="2" t="str">
        <f t="shared" si="38"/>
        <v>Error?</v>
      </c>
    </row>
    <row r="2552" spans="1:4" x14ac:dyDescent="0.2">
      <c r="A2552" s="10">
        <v>2491</v>
      </c>
      <c r="D2552" s="2" t="str">
        <f t="shared" si="38"/>
        <v>OK</v>
      </c>
    </row>
    <row r="2553" spans="1:4" x14ac:dyDescent="0.2">
      <c r="A2553" s="5">
        <v>2492</v>
      </c>
      <c r="B2553" s="138">
        <f>'Acct Summary 7-8'!C6</f>
        <v>225486</v>
      </c>
      <c r="C2553" s="2" t="s">
        <v>573</v>
      </c>
      <c r="D2553" s="2" t="str">
        <f t="shared" si="38"/>
        <v>Error?</v>
      </c>
    </row>
    <row r="2554" spans="1:4" x14ac:dyDescent="0.2">
      <c r="A2554" s="5">
        <v>2493</v>
      </c>
      <c r="B2554" s="138">
        <f>'Acct Summary 7-8'!C7</f>
        <v>1986247</v>
      </c>
      <c r="C2554" s="2" t="s">
        <v>573</v>
      </c>
      <c r="D2554" s="2" t="str">
        <f t="shared" si="38"/>
        <v>Error?</v>
      </c>
    </row>
    <row r="2555" spans="1:4" x14ac:dyDescent="0.2">
      <c r="A2555" s="5">
        <v>2494</v>
      </c>
      <c r="B2555" s="138">
        <f>'Acct Summary 7-8'!C8</f>
        <v>4170305</v>
      </c>
      <c r="C2555" s="2" t="s">
        <v>573</v>
      </c>
      <c r="D2555" s="2" t="str">
        <f t="shared" si="38"/>
        <v>Error?</v>
      </c>
    </row>
    <row r="2556" spans="1:4" x14ac:dyDescent="0.2">
      <c r="A2556" s="5">
        <v>2495</v>
      </c>
      <c r="B2556" s="138">
        <f>'Acct Summary 7-8'!C12</f>
        <v>673848</v>
      </c>
      <c r="C2556" s="2" t="s">
        <v>573</v>
      </c>
      <c r="D2556" s="2" t="str">
        <f t="shared" si="38"/>
        <v>Error?</v>
      </c>
    </row>
    <row r="2557" spans="1:4" x14ac:dyDescent="0.2">
      <c r="A2557" s="5">
        <v>2496</v>
      </c>
      <c r="B2557" s="138">
        <f>'Acct Summary 7-8'!C13</f>
        <v>1858186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1784610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4316644</v>
      </c>
      <c r="C2561" s="2" t="s">
        <v>573</v>
      </c>
      <c r="D2561" s="2" t="str">
        <f t="shared" si="39"/>
        <v>Error?</v>
      </c>
    </row>
    <row r="2562" spans="1:4" x14ac:dyDescent="0.2">
      <c r="A2562" s="5">
        <v>2501</v>
      </c>
      <c r="B2562" s="138">
        <f>'Acct Summary 7-8'!C20</f>
        <v>-146339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1541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1541</v>
      </c>
      <c r="D2914" s="2" t="str">
        <f t="shared" si="44"/>
        <v>Error?</v>
      </c>
    </row>
    <row r="2915" spans="1:4" x14ac:dyDescent="0.2">
      <c r="A2915" s="10">
        <v>2854</v>
      </c>
      <c r="D2915" s="2" t="str">
        <f t="shared" si="44"/>
        <v>OK</v>
      </c>
    </row>
    <row r="2916" spans="1:4" x14ac:dyDescent="0.2">
      <c r="A2916" s="5">
        <v>2855</v>
      </c>
      <c r="B2916" s="138">
        <f>'Assets-Liab 5-6'!L34</f>
        <v>1541</v>
      </c>
      <c r="C2916" s="2" t="s">
        <v>573</v>
      </c>
      <c r="D2916" s="2" t="str">
        <f t="shared" si="44"/>
        <v>Error?</v>
      </c>
    </row>
    <row r="2917" spans="1:4" x14ac:dyDescent="0.2">
      <c r="A2917" s="5">
        <v>2856</v>
      </c>
      <c r="B2917" s="138">
        <f>'Assets-Liab 5-6'!L41</f>
        <v>1541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-146339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408538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128413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59879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8402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2391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607623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714590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892815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5063120</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892815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5209459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1020530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40930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95928</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699419</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699419</v>
      </c>
      <c r="C5087" s="2" t="s">
        <v>573</v>
      </c>
      <c r="D5087" s="2" t="str">
        <f t="shared" si="78"/>
        <v>Error?</v>
      </c>
    </row>
    <row r="5088" spans="1:4" x14ac:dyDescent="0.2">
      <c r="A5088" s="5">
        <v>5027</v>
      </c>
      <c r="B5088" s="138">
        <f>'Revenues 9-14'!C65</f>
        <v>162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1258991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1258991</v>
      </c>
      <c r="C5120" s="2" t="s">
        <v>573</v>
      </c>
      <c r="D5120" s="2" t="str">
        <f t="shared" si="79"/>
        <v>Error?</v>
      </c>
    </row>
    <row r="5121" spans="1:4" x14ac:dyDescent="0.2">
      <c r="A5121" s="5">
        <v>5060</v>
      </c>
      <c r="B5121" s="138">
        <f>'Revenues 9-14'!C109</f>
        <v>1958572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225486</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225486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225486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225486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11190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11190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102823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1735376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1838199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1986247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1986247</v>
      </c>
      <c r="C5326" s="2" t="s">
        <v>573</v>
      </c>
      <c r="D5326" s="2" t="str">
        <f t="shared" si="82"/>
        <v>Error?</v>
      </c>
    </row>
    <row r="5327" spans="1:5" x14ac:dyDescent="0.2">
      <c r="A5327" s="5">
        <v>5266</v>
      </c>
      <c r="B5327" s="138">
        <f>'Revenues 9-14'!C268</f>
        <v>4170305</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779485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2533</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294612</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15740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170613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-146339</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-0.14339509862522415</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1784610</v>
      </c>
      <c r="D6996" s="2" t="str">
        <f t="shared" si="108"/>
        <v>Error?</v>
      </c>
    </row>
    <row r="6997" spans="1:4" x14ac:dyDescent="0.2">
      <c r="A6997">
        <v>6936</v>
      </c>
      <c r="B6997" s="138">
        <f>'Expenditures 15-22'!K93</f>
        <v>1784610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1784610</v>
      </c>
      <c r="D7012" s="2" t="str">
        <f t="shared" si="108"/>
        <v>Error?</v>
      </c>
    </row>
    <row r="7013" spans="1:4" x14ac:dyDescent="0.2">
      <c r="A7013">
        <v>6952</v>
      </c>
      <c r="B7013" s="138">
        <f>'Expenditures 15-22'!K100</f>
        <v>1784610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7061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0</v>
      </c>
      <c r="D7797" s="2" t="str">
        <f t="shared" si="127"/>
        <v>Error?</v>
      </c>
      <c r="E7797" s="4" t="s">
        <v>1901</v>
      </c>
    </row>
    <row r="7798" spans="1:5" x14ac:dyDescent="0.2">
      <c r="A7798">
        <v>7737</v>
      </c>
      <c r="B7798" s="138">
        <f>'Contracts Paid in CY 29'!F141</f>
        <v>0</v>
      </c>
      <c r="D7798" s="2" t="str">
        <f t="shared" si="127"/>
        <v>Error?</v>
      </c>
      <c r="E7798" s="4" t="s">
        <v>1901</v>
      </c>
    </row>
    <row r="7799" spans="1:5" x14ac:dyDescent="0.2">
      <c r="A7799">
        <v>7738</v>
      </c>
      <c r="B7799" s="138">
        <f>'Contracts Paid in CY 29'!G141</f>
        <v>0</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28" zoomScale="110" zoomScaleNormal="110" workbookViewId="0">
      <selection activeCell="B48" sqref="B4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69" t="s">
        <v>1191</v>
      </c>
      <c r="B2" s="2469"/>
      <c r="C2" s="2469"/>
      <c r="D2" s="2469"/>
      <c r="E2" s="2469"/>
      <c r="F2" s="2469"/>
      <c r="G2" s="2469"/>
      <c r="H2" s="2469"/>
      <c r="I2" s="2469"/>
      <c r="J2" s="2469"/>
      <c r="K2" s="2469"/>
      <c r="L2" s="2469"/>
    </row>
    <row r="3" spans="1:29" ht="13.5" customHeight="1" x14ac:dyDescent="0.2">
      <c r="A3" s="2500" t="s">
        <v>1190</v>
      </c>
      <c r="B3" s="2500"/>
      <c r="C3" s="2500"/>
      <c r="D3" s="2500"/>
      <c r="E3" s="2500"/>
      <c r="F3" s="2500"/>
      <c r="G3" s="2500"/>
      <c r="H3" s="2500"/>
      <c r="I3" s="2500"/>
      <c r="J3" s="2500"/>
      <c r="K3" s="2500"/>
      <c r="L3" s="2500"/>
    </row>
    <row r="4" spans="1:29" ht="13.5" customHeight="1" x14ac:dyDescent="0.2">
      <c r="A4" s="2469" t="s">
        <v>1986</v>
      </c>
      <c r="B4" s="2490"/>
      <c r="C4" s="2490"/>
      <c r="D4" s="2490"/>
      <c r="E4" s="2490"/>
      <c r="F4" s="2490"/>
      <c r="G4" s="2490"/>
      <c r="H4" s="2490"/>
      <c r="I4" s="2490"/>
      <c r="J4" s="2490"/>
      <c r="K4" s="2490"/>
      <c r="L4" s="249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91" t="str">
        <f>COVER!A17</f>
        <v>Northwest Sp Ed Cooperative</v>
      </c>
      <c r="B7" s="2492"/>
      <c r="C7" s="2492"/>
      <c r="D7" s="2493"/>
      <c r="E7" s="2494">
        <f>COVER!A13</f>
        <v>8043210061</v>
      </c>
      <c r="F7" s="2495"/>
      <c r="G7" s="2501" t="str">
        <f>COVER!T23</f>
        <v>066-004023</v>
      </c>
      <c r="H7" s="2502"/>
      <c r="I7" s="2502"/>
      <c r="J7" s="2502"/>
      <c r="K7" s="2502"/>
      <c r="L7" s="250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504"/>
      <c r="B9" s="2505"/>
      <c r="C9" s="2505"/>
      <c r="D9" s="2505"/>
      <c r="E9" s="2505"/>
      <c r="F9" s="2506"/>
      <c r="G9" s="2475" t="str">
        <f>COVER!T13</f>
        <v>Wipfli LLP</v>
      </c>
      <c r="H9" s="2507"/>
      <c r="I9" s="2507"/>
      <c r="J9" s="2507"/>
      <c r="K9" s="2507"/>
      <c r="L9" s="2508"/>
    </row>
    <row r="10" spans="1:29" ht="13.5" customHeight="1" x14ac:dyDescent="0.2">
      <c r="A10" s="2481" t="str">
        <f>COVER!A38</f>
        <v>Tracy Dahl</v>
      </c>
      <c r="B10" s="2482"/>
      <c r="C10" s="2482"/>
      <c r="D10" s="2482"/>
      <c r="E10" s="2482"/>
      <c r="F10" s="2483"/>
      <c r="G10" s="2475" t="str">
        <f>COVER!T17</f>
        <v>403 East 3rd Street</v>
      </c>
      <c r="H10" s="2476"/>
      <c r="I10" s="2476"/>
      <c r="J10" s="2476"/>
      <c r="K10" s="2476"/>
      <c r="L10" s="2477"/>
    </row>
    <row r="11" spans="1:29" ht="13.5" customHeight="1" x14ac:dyDescent="0.2">
      <c r="A11" s="1184" t="s">
        <v>1519</v>
      </c>
      <c r="B11" s="1185"/>
      <c r="C11" s="1186"/>
      <c r="D11" s="1191"/>
      <c r="E11" s="1186"/>
      <c r="F11" s="1190"/>
      <c r="G11" s="2475" t="str">
        <f>COVER!T19</f>
        <v>Sterling</v>
      </c>
      <c r="H11" s="2476"/>
      <c r="I11" s="2476"/>
      <c r="J11" s="2476"/>
      <c r="K11" s="2476"/>
      <c r="L11" s="2477"/>
    </row>
    <row r="12" spans="1:29" ht="13.5" customHeight="1" x14ac:dyDescent="0.2">
      <c r="A12" s="2484" t="s">
        <v>1518</v>
      </c>
      <c r="B12" s="2485"/>
      <c r="C12" s="2485"/>
      <c r="D12" s="2485"/>
      <c r="E12" s="2485"/>
      <c r="F12" s="2486"/>
      <c r="G12" s="2478"/>
      <c r="H12" s="2479"/>
      <c r="I12" s="2479"/>
      <c r="J12" s="2479"/>
      <c r="K12" s="2479"/>
      <c r="L12" s="2480"/>
    </row>
    <row r="13" spans="1:29" ht="13.5" customHeight="1" x14ac:dyDescent="0.2">
      <c r="A13" s="2475"/>
      <c r="B13" s="2476"/>
      <c r="C13" s="2476"/>
      <c r="D13" s="2476"/>
      <c r="E13" s="2476"/>
      <c r="F13" s="2477"/>
      <c r="G13" s="2470" t="s">
        <v>1520</v>
      </c>
      <c r="H13" s="2471"/>
      <c r="I13" s="2487" t="str">
        <f>COVER!T25</f>
        <v>mschueler@wipfli.com</v>
      </c>
      <c r="J13" s="2488"/>
      <c r="K13" s="2488"/>
      <c r="L13" s="2489"/>
    </row>
    <row r="14" spans="1:29" ht="13.5" customHeight="1" x14ac:dyDescent="0.2">
      <c r="A14" s="2475" t="str">
        <f>COVER!A19</f>
        <v>310 N. West Street</v>
      </c>
      <c r="B14" s="2476"/>
      <c r="C14" s="2476"/>
      <c r="D14" s="2476"/>
      <c r="E14" s="2476"/>
      <c r="F14" s="2477"/>
      <c r="G14" s="1195" t="s">
        <v>1185</v>
      </c>
      <c r="H14" s="1193"/>
      <c r="I14" s="1193"/>
      <c r="J14" s="1193"/>
      <c r="K14" s="1193"/>
      <c r="L14" s="1194"/>
    </row>
    <row r="15" spans="1:29" ht="13.5" customHeight="1" x14ac:dyDescent="0.2">
      <c r="A15" s="2475" t="str">
        <f>COVER!A21</f>
        <v>Elizabeth</v>
      </c>
      <c r="B15" s="2476"/>
      <c r="C15" s="2476"/>
      <c r="D15" s="2476"/>
      <c r="E15" s="2476"/>
      <c r="F15" s="2477"/>
      <c r="G15" s="2472" t="str">
        <f>COVER!T15</f>
        <v>Matthew Schueler</v>
      </c>
      <c r="H15" s="2473"/>
      <c r="I15" s="2473"/>
      <c r="J15" s="2473"/>
      <c r="K15" s="2473"/>
      <c r="L15" s="2474"/>
    </row>
    <row r="16" spans="1:29" ht="12.2" customHeight="1" x14ac:dyDescent="0.2">
      <c r="A16" s="2497">
        <f>COVER!A25</f>
        <v>61028</v>
      </c>
      <c r="B16" s="2498"/>
      <c r="C16" s="2498"/>
      <c r="D16" s="2498"/>
      <c r="E16" s="2498"/>
      <c r="F16" s="2499"/>
      <c r="G16" s="2509"/>
      <c r="H16" s="2510"/>
      <c r="I16" s="2510"/>
      <c r="J16" s="2510"/>
      <c r="K16" s="2510"/>
      <c r="L16" s="2511"/>
    </row>
    <row r="17" spans="1:13" ht="12.2" customHeight="1" x14ac:dyDescent="0.2">
      <c r="A17" s="2512"/>
      <c r="B17" s="2498"/>
      <c r="C17" s="2498"/>
      <c r="D17" s="2498"/>
      <c r="E17" s="2498"/>
      <c r="F17" s="2499"/>
      <c r="G17" s="1195" t="s">
        <v>1184</v>
      </c>
      <c r="H17" s="1193"/>
      <c r="I17" s="1193"/>
      <c r="J17" s="1193"/>
      <c r="K17" s="1197" t="s">
        <v>1183</v>
      </c>
      <c r="L17" s="1190"/>
      <c r="M17" s="1183"/>
    </row>
    <row r="18" spans="1:13" ht="12.2" customHeight="1" x14ac:dyDescent="0.2">
      <c r="A18" s="2481"/>
      <c r="B18" s="2482"/>
      <c r="C18" s="2482"/>
      <c r="D18" s="2482"/>
      <c r="E18" s="2482"/>
      <c r="F18" s="2483"/>
      <c r="G18" s="2491" t="str">
        <f>COVER!T21</f>
        <v>815-626-1277</v>
      </c>
      <c r="H18" s="2492"/>
      <c r="I18" s="2492"/>
      <c r="J18" s="2492"/>
      <c r="K18" s="2491" t="str">
        <f>COVER!X21</f>
        <v>815-626-9118</v>
      </c>
      <c r="L18" s="249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2069</v>
      </c>
      <c r="C26" s="1202" t="s">
        <v>1699</v>
      </c>
    </row>
    <row r="27" spans="1:13" s="1198" customFormat="1" ht="9" customHeight="1" x14ac:dyDescent="0.2">
      <c r="B27" s="1203"/>
      <c r="C27" s="1202"/>
    </row>
    <row r="28" spans="1:13" s="1198" customFormat="1" ht="12.2" customHeight="1" x14ac:dyDescent="0.2">
      <c r="A28" s="1205"/>
      <c r="B28" s="1201" t="s">
        <v>2069</v>
      </c>
      <c r="C28" s="1202" t="s">
        <v>1700</v>
      </c>
    </row>
    <row r="29" spans="1:13" s="1198" customFormat="1" ht="9" customHeight="1" x14ac:dyDescent="0.2">
      <c r="A29" s="1205"/>
      <c r="B29" s="1203"/>
      <c r="C29" s="1202"/>
    </row>
    <row r="30" spans="1:13" s="1198" customFormat="1" ht="12.2" customHeight="1" x14ac:dyDescent="0.2">
      <c r="B30" s="1201" t="s">
        <v>2069</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2069</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2069</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2069</v>
      </c>
      <c r="C38" s="1202" t="s">
        <v>1566</v>
      </c>
    </row>
    <row r="39" spans="1:8" ht="9" customHeight="1" x14ac:dyDescent="0.2">
      <c r="B39" s="1203"/>
      <c r="C39" s="1206"/>
    </row>
    <row r="40" spans="1:8" s="1198" customFormat="1" ht="13.5" customHeight="1" x14ac:dyDescent="0.2">
      <c r="B40" s="1201" t="s">
        <v>2069</v>
      </c>
      <c r="C40" s="1202" t="s">
        <v>1567</v>
      </c>
    </row>
    <row r="41" spans="1:8" ht="9" customHeight="1" x14ac:dyDescent="0.2">
      <c r="A41" s="1207"/>
      <c r="B41" s="1203"/>
      <c r="C41" s="1206"/>
    </row>
    <row r="42" spans="1:8" s="1198" customFormat="1" ht="13.5" customHeight="1" x14ac:dyDescent="0.2">
      <c r="B42" s="1201" t="s">
        <v>2069</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2069</v>
      </c>
      <c r="C46" s="1209" t="s">
        <v>1568</v>
      </c>
      <c r="D46" s="1196"/>
      <c r="E46" s="1196"/>
      <c r="F46" s="1196"/>
      <c r="G46" s="1196"/>
      <c r="H46" s="1196"/>
    </row>
    <row r="47" spans="1:8" ht="9" customHeight="1" x14ac:dyDescent="0.2"/>
    <row r="48" spans="1:8" ht="12.2" customHeight="1" x14ac:dyDescent="0.2">
      <c r="B48" s="1937" t="s">
        <v>2069</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83" zoomScale="125" zoomScaleNormal="125" workbookViewId="0">
      <selection activeCell="B123" sqref="B123"/>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13" t="str">
        <f>'Single Audit Cover'!A7</f>
        <v>Northwest Sp Ed Cooperative</v>
      </c>
      <c r="B1" s="2490"/>
      <c r="C1" s="2490"/>
      <c r="D1" s="2490"/>
    </row>
    <row r="2" spans="1:11" s="1212" customFormat="1" ht="12.75" x14ac:dyDescent="0.2">
      <c r="A2" s="2514">
        <f>'Single Audit Cover'!E7</f>
        <v>8043210061</v>
      </c>
      <c r="B2" s="2515"/>
      <c r="C2" s="2515"/>
      <c r="D2" s="2515"/>
    </row>
    <row r="3" spans="1:11" s="1212" customFormat="1" ht="12.75" x14ac:dyDescent="0.2">
      <c r="A3" s="2513" t="s">
        <v>1513</v>
      </c>
      <c r="B3" s="2490"/>
      <c r="C3" s="2490"/>
      <c r="D3" s="249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2069</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2069</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2069</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2069</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2069</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2069</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2069</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2069</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2069</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2069</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2069</v>
      </c>
      <c r="C42" s="1229">
        <v>11</v>
      </c>
      <c r="D42" s="1240" t="s">
        <v>1574</v>
      </c>
      <c r="E42" s="312"/>
    </row>
    <row r="43" spans="1:5" ht="3" customHeight="1" x14ac:dyDescent="0.2">
      <c r="A43" s="1219"/>
      <c r="B43" s="1236"/>
      <c r="C43" s="1237"/>
      <c r="D43" s="1218"/>
    </row>
    <row r="44" spans="1:5" x14ac:dyDescent="0.2">
      <c r="A44" s="1219"/>
      <c r="B44" s="1222" t="s">
        <v>2069</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2069</v>
      </c>
      <c r="C48" s="1223">
        <f>C44+1</f>
        <v>13</v>
      </c>
      <c r="D48" s="1234" t="s">
        <v>1575</v>
      </c>
    </row>
    <row r="49" spans="1:4" ht="3" customHeight="1" x14ac:dyDescent="0.2">
      <c r="A49" s="1219"/>
      <c r="B49" s="1226"/>
      <c r="C49" s="1223"/>
      <c r="D49" s="1234"/>
    </row>
    <row r="50" spans="1:4" x14ac:dyDescent="0.2">
      <c r="A50" s="1219"/>
      <c r="B50" s="1222" t="s">
        <v>2069</v>
      </c>
      <c r="C50" s="1223">
        <f>C48+1</f>
        <v>14</v>
      </c>
      <c r="D50" s="1234" t="s">
        <v>1212</v>
      </c>
    </row>
    <row r="51" spans="1:4" ht="3" customHeight="1" x14ac:dyDescent="0.2">
      <c r="A51" s="1219"/>
      <c r="B51" s="1226"/>
      <c r="C51" s="1223"/>
      <c r="D51" s="1234"/>
    </row>
    <row r="52" spans="1:4" x14ac:dyDescent="0.2">
      <c r="A52" s="1219"/>
      <c r="B52" s="1222" t="s">
        <v>2069</v>
      </c>
      <c r="C52" s="1223">
        <f>C50+1</f>
        <v>15</v>
      </c>
      <c r="D52" s="1234" t="s">
        <v>1211</v>
      </c>
    </row>
    <row r="53" spans="1:4" ht="3" customHeight="1" x14ac:dyDescent="0.2">
      <c r="A53" s="1219"/>
      <c r="B53" s="1226"/>
      <c r="C53" s="1223"/>
      <c r="D53" s="1234"/>
    </row>
    <row r="54" spans="1:4" x14ac:dyDescent="0.2">
      <c r="A54" s="1219"/>
      <c r="B54" s="1222" t="s">
        <v>2069</v>
      </c>
      <c r="C54" s="1223">
        <f>C52+1</f>
        <v>16</v>
      </c>
      <c r="D54" s="1234" t="s">
        <v>1210</v>
      </c>
    </row>
    <row r="55" spans="1:4" ht="3" customHeight="1" x14ac:dyDescent="0.2">
      <c r="A55" s="1219"/>
      <c r="B55" s="1226"/>
      <c r="C55" s="1223"/>
      <c r="D55" s="1234"/>
    </row>
    <row r="56" spans="1:4" x14ac:dyDescent="0.2">
      <c r="A56" s="1219"/>
      <c r="B56" s="1222" t="s">
        <v>2069</v>
      </c>
      <c r="C56" s="1223">
        <f>C54+1</f>
        <v>17</v>
      </c>
      <c r="D56" s="1218" t="s">
        <v>1708</v>
      </c>
    </row>
    <row r="57" spans="1:4" ht="10.5" customHeight="1" x14ac:dyDescent="0.2">
      <c r="A57" s="1219"/>
      <c r="D57" s="1234" t="s">
        <v>1709</v>
      </c>
    </row>
    <row r="58" spans="1:4" x14ac:dyDescent="0.2">
      <c r="A58" s="1219"/>
      <c r="C58" s="1241" t="s">
        <v>2069</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2069</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2069</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2069</v>
      </c>
      <c r="D69" s="1234" t="s">
        <v>1713</v>
      </c>
    </row>
    <row r="70" spans="1:4" x14ac:dyDescent="0.2">
      <c r="A70" s="1219"/>
      <c r="D70" s="1243" t="s">
        <v>1206</v>
      </c>
    </row>
    <row r="71" spans="1:4" ht="3" customHeight="1" x14ac:dyDescent="0.2">
      <c r="A71" s="1219"/>
      <c r="D71" s="1218"/>
    </row>
    <row r="72" spans="1:4" x14ac:dyDescent="0.2">
      <c r="A72" s="1219"/>
      <c r="B72" s="1222" t="s">
        <v>2069</v>
      </c>
      <c r="C72" s="1223">
        <f>C56+1</f>
        <v>18</v>
      </c>
      <c r="D72" s="1244" t="s">
        <v>1714</v>
      </c>
    </row>
    <row r="73" spans="1:4" ht="3" customHeight="1" x14ac:dyDescent="0.2">
      <c r="A73" s="1219"/>
      <c r="B73" s="1226"/>
      <c r="C73" s="1223"/>
      <c r="D73" s="1244"/>
    </row>
    <row r="74" spans="1:4" x14ac:dyDescent="0.2">
      <c r="A74" s="1219"/>
      <c r="B74" s="1222" t="s">
        <v>2069</v>
      </c>
      <c r="C74" s="1223">
        <f>C72+1</f>
        <v>19</v>
      </c>
      <c r="D74" s="1234" t="s">
        <v>1205</v>
      </c>
    </row>
    <row r="75" spans="1:4" ht="3" customHeight="1" x14ac:dyDescent="0.2">
      <c r="A75" s="1219"/>
      <c r="B75" s="1226"/>
      <c r="C75" s="1223"/>
      <c r="D75" s="1234"/>
    </row>
    <row r="76" spans="1:4" x14ac:dyDescent="0.2">
      <c r="A76" s="1219"/>
      <c r="B76" s="1222" t="s">
        <v>2069</v>
      </c>
      <c r="C76" s="1223">
        <f>C74+1</f>
        <v>20</v>
      </c>
      <c r="D76" s="1245" t="s">
        <v>1715</v>
      </c>
    </row>
    <row r="77" spans="1:4" ht="3" customHeight="1" x14ac:dyDescent="0.2">
      <c r="A77" s="1219"/>
      <c r="B77" s="1226"/>
      <c r="C77" s="1223"/>
      <c r="D77" s="1245"/>
    </row>
    <row r="78" spans="1:4" x14ac:dyDescent="0.2">
      <c r="A78" s="1219"/>
      <c r="B78" s="1222" t="s">
        <v>2069</v>
      </c>
      <c r="C78" s="1223">
        <f>C76+1</f>
        <v>21</v>
      </c>
      <c r="D78" s="1218" t="s">
        <v>1716</v>
      </c>
    </row>
    <row r="79" spans="1:4" ht="3" customHeight="1" x14ac:dyDescent="0.2">
      <c r="A79" s="1219"/>
      <c r="B79" s="1226"/>
      <c r="C79" s="1223"/>
      <c r="D79" s="1218"/>
    </row>
    <row r="80" spans="1:4" x14ac:dyDescent="0.2">
      <c r="A80" s="1219"/>
      <c r="B80" s="1222" t="s">
        <v>2069</v>
      </c>
      <c r="C80" s="1223">
        <f>C78+1</f>
        <v>22</v>
      </c>
      <c r="D80" s="1246" t="s">
        <v>1717</v>
      </c>
    </row>
    <row r="81" spans="1:4" ht="3" customHeight="1" x14ac:dyDescent="0.2">
      <c r="A81" s="1219"/>
      <c r="B81" s="1226"/>
      <c r="C81" s="1223"/>
      <c r="D81" s="1246"/>
    </row>
    <row r="82" spans="1:4" x14ac:dyDescent="0.2">
      <c r="A82" s="1219"/>
      <c r="B82" s="1222" t="s">
        <v>2069</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2069</v>
      </c>
      <c r="C85" s="1223">
        <f>C82+1</f>
        <v>24</v>
      </c>
      <c r="D85" s="1234" t="s">
        <v>1203</v>
      </c>
    </row>
    <row r="86" spans="1:4" ht="3" customHeight="1" x14ac:dyDescent="0.2">
      <c r="A86" s="1219"/>
      <c r="B86" s="1226"/>
      <c r="C86" s="1223"/>
      <c r="D86" s="1234"/>
    </row>
    <row r="87" spans="1:4" x14ac:dyDescent="0.2">
      <c r="A87" s="1219"/>
      <c r="B87" s="1222" t="s">
        <v>2069</v>
      </c>
      <c r="C87" s="1223">
        <f>C85+1</f>
        <v>25</v>
      </c>
      <c r="D87" s="1234" t="s">
        <v>1202</v>
      </c>
    </row>
    <row r="88" spans="1:4" ht="3" customHeight="1" x14ac:dyDescent="0.2">
      <c r="A88" s="1219"/>
      <c r="B88" s="1226"/>
      <c r="C88" s="1223"/>
      <c r="D88" s="1234"/>
    </row>
    <row r="89" spans="1:4" x14ac:dyDescent="0.2">
      <c r="A89" s="1219"/>
      <c r="B89" s="1222" t="s">
        <v>2069</v>
      </c>
      <c r="C89" s="1223">
        <f>C87+1</f>
        <v>26</v>
      </c>
      <c r="D89" s="1234" t="s">
        <v>1201</v>
      </c>
    </row>
    <row r="90" spans="1:4" ht="3" customHeight="1" x14ac:dyDescent="0.2">
      <c r="A90" s="1219"/>
      <c r="B90" s="1226"/>
      <c r="C90" s="1223"/>
      <c r="D90" s="1234"/>
    </row>
    <row r="91" spans="1:4" x14ac:dyDescent="0.2">
      <c r="A91" s="1219"/>
      <c r="B91" s="1222" t="s">
        <v>2069</v>
      </c>
      <c r="C91" s="1223">
        <f>C89+1</f>
        <v>27</v>
      </c>
      <c r="D91" s="1234" t="s">
        <v>1719</v>
      </c>
    </row>
    <row r="92" spans="1:4" x14ac:dyDescent="0.2">
      <c r="A92" s="1219"/>
      <c r="B92" s="1247"/>
      <c r="C92" s="1241" t="s">
        <v>2069</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2069</v>
      </c>
      <c r="C96" s="1223">
        <f>C91+1</f>
        <v>28</v>
      </c>
      <c r="D96" s="1234" t="s">
        <v>1720</v>
      </c>
    </row>
    <row r="97" spans="1:4" ht="3" customHeight="1" x14ac:dyDescent="0.2">
      <c r="A97" s="1219"/>
      <c r="B97" s="1226"/>
      <c r="C97" s="1223"/>
      <c r="D97" s="1234"/>
    </row>
    <row r="98" spans="1:4" x14ac:dyDescent="0.2">
      <c r="A98" s="1219"/>
      <c r="B98" s="1222" t="s">
        <v>2069</v>
      </c>
      <c r="C98" s="1223">
        <f>C96+1</f>
        <v>29</v>
      </c>
      <c r="D98" s="1248" t="s">
        <v>1721</v>
      </c>
    </row>
    <row r="99" spans="1:4" ht="3" customHeight="1" x14ac:dyDescent="0.2">
      <c r="A99" s="1219"/>
      <c r="B99" s="1226"/>
      <c r="C99" s="1223"/>
      <c r="D99" s="1248"/>
    </row>
    <row r="100" spans="1:4" x14ac:dyDescent="0.2">
      <c r="A100" s="1219"/>
      <c r="B100" s="1222" t="s">
        <v>2069</v>
      </c>
      <c r="C100" s="1223">
        <f>C98+1</f>
        <v>30</v>
      </c>
      <c r="D100" s="1234" t="s">
        <v>1722</v>
      </c>
    </row>
    <row r="101" spans="1:4" ht="3" customHeight="1" x14ac:dyDescent="0.2">
      <c r="A101" s="1219"/>
      <c r="B101" s="1226"/>
      <c r="C101" s="1223"/>
      <c r="D101" s="1249"/>
    </row>
    <row r="102" spans="1:4" x14ac:dyDescent="0.2">
      <c r="A102" s="1219"/>
      <c r="B102" s="1222" t="s">
        <v>2069</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2069</v>
      </c>
      <c r="C106" s="1223">
        <f>C102+1</f>
        <v>32</v>
      </c>
      <c r="D106" s="1218" t="s">
        <v>1580</v>
      </c>
    </row>
    <row r="107" spans="1:4" ht="3" customHeight="1" x14ac:dyDescent="0.2">
      <c r="A107" s="1219"/>
      <c r="B107" s="1226"/>
      <c r="C107" s="1223"/>
      <c r="D107" s="1218"/>
    </row>
    <row r="108" spans="1:4" x14ac:dyDescent="0.2">
      <c r="A108" s="1219"/>
      <c r="B108" s="1222" t="s">
        <v>2069</v>
      </c>
      <c r="C108" s="1223">
        <v>33</v>
      </c>
      <c r="D108" s="1218" t="s">
        <v>1723</v>
      </c>
    </row>
    <row r="109" spans="1:4" ht="3" customHeight="1" x14ac:dyDescent="0.2">
      <c r="A109" s="1219"/>
      <c r="B109" s="1226"/>
      <c r="C109" s="1223"/>
      <c r="D109" s="1218"/>
    </row>
    <row r="110" spans="1:4" x14ac:dyDescent="0.2">
      <c r="A110" s="1219"/>
      <c r="B110" s="1222" t="s">
        <v>2069</v>
      </c>
      <c r="C110" s="1223">
        <f>C108+1</f>
        <v>34</v>
      </c>
      <c r="D110" s="1218" t="s">
        <v>1198</v>
      </c>
    </row>
    <row r="111" spans="1:4" ht="3" customHeight="1" x14ac:dyDescent="0.2">
      <c r="A111" s="1219"/>
      <c r="B111" s="1226"/>
      <c r="C111" s="1223"/>
      <c r="D111" s="1218"/>
    </row>
    <row r="112" spans="1:4" x14ac:dyDescent="0.2">
      <c r="A112" s="1219"/>
      <c r="B112" s="1222" t="s">
        <v>2069</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2069</v>
      </c>
      <c r="C115" s="1223">
        <f>C112+1</f>
        <v>36</v>
      </c>
      <c r="D115" s="1234" t="s">
        <v>1195</v>
      </c>
    </row>
    <row r="116" spans="1:4" ht="3" customHeight="1" x14ac:dyDescent="0.2">
      <c r="A116" s="1219"/>
      <c r="B116" s="1226"/>
      <c r="C116" s="1223"/>
      <c r="D116" s="1234"/>
    </row>
    <row r="117" spans="1:4" x14ac:dyDescent="0.2">
      <c r="A117" s="1219"/>
      <c r="B117" s="1222" t="s">
        <v>2069</v>
      </c>
      <c r="C117" s="1223">
        <f>C115+1</f>
        <v>37</v>
      </c>
      <c r="D117" s="1234" t="s">
        <v>1724</v>
      </c>
    </row>
    <row r="118" spans="1:4" ht="3" customHeight="1" x14ac:dyDescent="0.2">
      <c r="A118" s="1219"/>
      <c r="B118" s="1226"/>
      <c r="C118" s="1223"/>
      <c r="D118" s="1234"/>
    </row>
    <row r="119" spans="1:4" x14ac:dyDescent="0.2">
      <c r="A119" s="1219"/>
      <c r="B119" s="1222" t="s">
        <v>2069</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2069</v>
      </c>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4" zoomScale="110" zoomScaleNormal="110" zoomScaleSheetLayoutView="100" workbookViewId="0">
      <selection activeCell="D41" sqref="D4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17" t="str">
        <f>'Single Audit Cover'!A7</f>
        <v>Northwest Sp Ed Cooperative</v>
      </c>
      <c r="B1" s="2517"/>
      <c r="C1" s="2517"/>
      <c r="D1" s="2517"/>
      <c r="E1" s="2517"/>
    </row>
    <row r="2" spans="1:5" x14ac:dyDescent="0.2">
      <c r="A2" s="2518">
        <f>'Single Audit Cover'!E7</f>
        <v>8043210061</v>
      </c>
      <c r="B2" s="2518"/>
      <c r="C2" s="2518"/>
      <c r="D2" s="2518"/>
      <c r="E2" s="2518"/>
    </row>
    <row r="3" spans="1:5" ht="4.5" customHeight="1" x14ac:dyDescent="0.2"/>
    <row r="4" spans="1:5" x14ac:dyDescent="0.2">
      <c r="A4" s="2517" t="s">
        <v>1245</v>
      </c>
      <c r="B4" s="2517"/>
      <c r="C4" s="2517"/>
      <c r="D4" s="2517"/>
      <c r="E4" s="2517"/>
    </row>
    <row r="5" spans="1:5" x14ac:dyDescent="0.2">
      <c r="A5" s="2520" t="str">
        <f>'Single Audit Cover'!A4</f>
        <v>Year Ending June 30, 2019</v>
      </c>
      <c r="B5" s="2520"/>
      <c r="C5" s="2520"/>
      <c r="D5" s="2520"/>
      <c r="E5" s="2520"/>
    </row>
    <row r="6" spans="1:5" x14ac:dyDescent="0.2">
      <c r="A6" s="2517" t="s">
        <v>1244</v>
      </c>
      <c r="B6" s="2517"/>
      <c r="C6" s="2517"/>
      <c r="D6" s="2517"/>
      <c r="E6" s="2517"/>
    </row>
    <row r="8" spans="1:5" x14ac:dyDescent="0.2">
      <c r="A8" s="1257" t="s">
        <v>1243</v>
      </c>
    </row>
    <row r="10" spans="1:5" x14ac:dyDescent="0.2">
      <c r="A10" s="1258" t="s">
        <v>1242</v>
      </c>
      <c r="B10" s="1259" t="s">
        <v>1241</v>
      </c>
      <c r="C10" s="1259"/>
      <c r="D10" s="1260">
        <f>SUM('Acct Summary 7-8'!C7:K7)</f>
        <v>1986247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1841</v>
      </c>
      <c r="B16" s="1259"/>
      <c r="C16" s="1259"/>
    </row>
    <row r="17" spans="1:4" x14ac:dyDescent="0.2">
      <c r="A17" s="1258" t="s">
        <v>2058</v>
      </c>
      <c r="B17" s="1259" t="s">
        <v>1236</v>
      </c>
      <c r="C17" s="1259"/>
      <c r="D17" s="1261">
        <f>-SUM('Revenues 9-14'!C264:D264,'Revenues 9-14'!F264:G264)</f>
        <v>0</v>
      </c>
    </row>
    <row r="19" spans="1:4" ht="13.5" thickBot="1" x14ac:dyDescent="0.25">
      <c r="A19" s="1262" t="s">
        <v>1235</v>
      </c>
      <c r="D19" s="1263">
        <f>SUM(D10:D17)</f>
        <v>1986247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519"/>
      <c r="B24" s="2519"/>
      <c r="D24" s="1265"/>
    </row>
    <row r="25" spans="1:4" x14ac:dyDescent="0.2">
      <c r="A25" s="2516"/>
      <c r="B25" s="2516"/>
      <c r="D25" s="1265"/>
    </row>
    <row r="26" spans="1:4" x14ac:dyDescent="0.2">
      <c r="A26" s="2516"/>
      <c r="B26" s="2516"/>
      <c r="D26" s="1265"/>
    </row>
    <row r="27" spans="1:4" x14ac:dyDescent="0.2">
      <c r="A27" s="2516"/>
      <c r="B27" s="2516"/>
      <c r="D27" s="1265"/>
    </row>
    <row r="28" spans="1:4" x14ac:dyDescent="0.2">
      <c r="A28" s="2516"/>
      <c r="B28" s="2516"/>
      <c r="D28" s="1265"/>
    </row>
    <row r="29" spans="1:4" x14ac:dyDescent="0.2">
      <c r="A29" s="2516"/>
      <c r="B29" s="2516"/>
      <c r="D29" s="1265"/>
    </row>
    <row r="30" spans="1:4" x14ac:dyDescent="0.2">
      <c r="A30" s="2516"/>
      <c r="B30" s="2516"/>
      <c r="D30" s="1265"/>
    </row>
    <row r="32" spans="1:4" x14ac:dyDescent="0.2">
      <c r="A32" s="1257" t="s">
        <v>1233</v>
      </c>
      <c r="D32" s="1260">
        <f>SUM(D19:D30)</f>
        <v>1986247</v>
      </c>
    </row>
    <row r="33" spans="1:4" x14ac:dyDescent="0.2">
      <c r="D33" s="1266"/>
    </row>
    <row r="34" spans="1:4" x14ac:dyDescent="0.2">
      <c r="A34" s="317" t="s">
        <v>1232</v>
      </c>
    </row>
    <row r="35" spans="1:4" x14ac:dyDescent="0.2">
      <c r="A35" s="317" t="s">
        <v>1231</v>
      </c>
      <c r="B35" s="1255" t="s">
        <v>1230</v>
      </c>
      <c r="D35" s="1267">
        <v>1976368</v>
      </c>
    </row>
    <row r="37" spans="1:4" x14ac:dyDescent="0.2">
      <c r="A37" s="1257" t="s">
        <v>1229</v>
      </c>
    </row>
    <row r="39" spans="1:4" ht="13.35" customHeight="1" x14ac:dyDescent="0.2">
      <c r="A39" s="1264" t="s">
        <v>1228</v>
      </c>
    </row>
    <row r="40" spans="1:4" x14ac:dyDescent="0.2">
      <c r="A40" s="2516" t="s">
        <v>2109</v>
      </c>
      <c r="B40" s="2516"/>
      <c r="D40" s="1265">
        <v>9879</v>
      </c>
    </row>
    <row r="41" spans="1:4" x14ac:dyDescent="0.2">
      <c r="A41" s="2516"/>
      <c r="B41" s="2516"/>
      <c r="D41" s="1268"/>
    </row>
    <row r="42" spans="1:4" x14ac:dyDescent="0.2">
      <c r="A42" s="2516"/>
      <c r="B42" s="2516"/>
      <c r="D42" s="1268"/>
    </row>
    <row r="43" spans="1:4" x14ac:dyDescent="0.2">
      <c r="A43" s="2516"/>
      <c r="B43" s="2516"/>
      <c r="D43" s="1268"/>
    </row>
    <row r="44" spans="1:4" x14ac:dyDescent="0.2">
      <c r="A44" s="2516"/>
      <c r="B44" s="2516"/>
      <c r="D44" s="1268"/>
    </row>
    <row r="45" spans="1:4" x14ac:dyDescent="0.2">
      <c r="A45" s="2516"/>
      <c r="B45" s="2516"/>
      <c r="D45" s="1268"/>
    </row>
    <row r="47" spans="1:4" x14ac:dyDescent="0.2">
      <c r="B47" s="1269" t="s">
        <v>1227</v>
      </c>
      <c r="C47" s="1269"/>
      <c r="D47" s="1270">
        <f>SUM(D35:D45)</f>
        <v>1986247</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7" zoomScaleNormal="100" workbookViewId="0">
      <selection activeCell="I19" sqref="I19:I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0" t="str">
        <f>'Single Audit Cover'!A7</f>
        <v>Northwest Sp Ed Cooperative</v>
      </c>
      <c r="C1" s="2521"/>
      <c r="D1" s="2521"/>
      <c r="E1" s="2521"/>
      <c r="F1" s="2521"/>
      <c r="G1" s="2521"/>
      <c r="H1" s="2521"/>
      <c r="I1" s="2521"/>
      <c r="J1" s="2521"/>
      <c r="K1" s="2521"/>
      <c r="L1" s="2521"/>
      <c r="M1" s="2521"/>
    </row>
    <row r="2" spans="2:14" ht="15" x14ac:dyDescent="0.2">
      <c r="B2" s="2522">
        <f>'Single Audit Cover'!E7</f>
        <v>8043210061</v>
      </c>
      <c r="C2" s="2522"/>
      <c r="D2" s="2522"/>
      <c r="E2" s="2522"/>
      <c r="F2" s="2522"/>
      <c r="G2" s="2522"/>
      <c r="H2" s="2522"/>
      <c r="I2" s="2522"/>
      <c r="J2" s="2522"/>
      <c r="K2" s="2522"/>
      <c r="L2" s="2522"/>
      <c r="M2" s="2522"/>
      <c r="N2" s="1299"/>
    </row>
    <row r="3" spans="2:14" ht="15" x14ac:dyDescent="0.2">
      <c r="B3" s="2523" t="s">
        <v>1219</v>
      </c>
      <c r="C3" s="2523"/>
      <c r="D3" s="2523"/>
      <c r="E3" s="2523"/>
      <c r="F3" s="2523"/>
      <c r="G3" s="2523"/>
      <c r="H3" s="2523"/>
      <c r="I3" s="2523"/>
      <c r="J3" s="2523"/>
      <c r="K3" s="2523"/>
      <c r="L3" s="2523"/>
      <c r="M3" s="2523"/>
      <c r="N3" s="1299"/>
    </row>
    <row r="4" spans="2:14" ht="15" x14ac:dyDescent="0.2">
      <c r="B4" s="2524" t="str">
        <f>'Single Audit Cover'!A4</f>
        <v>Year Ending June 30, 2019</v>
      </c>
      <c r="C4" s="2524"/>
      <c r="D4" s="2524"/>
      <c r="E4" s="2524"/>
      <c r="F4" s="2524"/>
      <c r="G4" s="2524"/>
      <c r="H4" s="2524"/>
      <c r="I4" s="2524"/>
      <c r="J4" s="2524"/>
      <c r="K4" s="2524"/>
      <c r="L4" s="2524"/>
      <c r="M4" s="252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2079</v>
      </c>
      <c r="C11" s="1335"/>
      <c r="D11" s="1336"/>
      <c r="E11" s="1337"/>
      <c r="F11" s="1337"/>
      <c r="G11" s="1337"/>
      <c r="H11" s="1337"/>
      <c r="I11" s="1337"/>
      <c r="J11" s="1337"/>
      <c r="K11" s="1337"/>
      <c r="L11" s="1337">
        <f>+G11+I11+K11</f>
        <v>0</v>
      </c>
      <c r="M11" s="1337"/>
    </row>
    <row r="12" spans="2:14" ht="20.100000000000001" customHeight="1" x14ac:dyDescent="0.2">
      <c r="B12" s="1334" t="s">
        <v>2080</v>
      </c>
      <c r="C12" s="1338"/>
      <c r="D12" s="1339"/>
      <c r="E12" s="1340"/>
      <c r="F12" s="1340"/>
      <c r="G12" s="1340"/>
      <c r="H12" s="1340"/>
      <c r="I12" s="1340"/>
      <c r="J12" s="1340"/>
      <c r="K12" s="1340"/>
      <c r="L12" s="1337">
        <f t="shared" ref="L12:L27" si="0">+G12+I12+K12</f>
        <v>0</v>
      </c>
      <c r="M12" s="1340"/>
    </row>
    <row r="13" spans="2:14" ht="20.100000000000001" customHeight="1" x14ac:dyDescent="0.2">
      <c r="B13" s="1334" t="s">
        <v>2081</v>
      </c>
      <c r="C13" s="1338">
        <v>93.778000000000006</v>
      </c>
      <c r="D13" s="1339" t="s">
        <v>2087</v>
      </c>
      <c r="E13" s="1340">
        <v>38872</v>
      </c>
      <c r="F13" s="1340"/>
      <c r="G13" s="1340">
        <v>38872</v>
      </c>
      <c r="H13" s="1340"/>
      <c r="I13" s="1340"/>
      <c r="J13" s="1340"/>
      <c r="K13" s="1340"/>
      <c r="L13" s="1337">
        <f t="shared" si="0"/>
        <v>38872</v>
      </c>
      <c r="M13" s="1340"/>
    </row>
    <row r="14" spans="2:14" ht="20.100000000000001" customHeight="1" x14ac:dyDescent="0.2">
      <c r="B14" s="1334" t="s">
        <v>2082</v>
      </c>
      <c r="C14" s="1338">
        <v>93.778000000000006</v>
      </c>
      <c r="D14" s="1339" t="s">
        <v>2088</v>
      </c>
      <c r="E14" s="1340"/>
      <c r="F14" s="1340">
        <v>32441</v>
      </c>
      <c r="G14" s="1340"/>
      <c r="H14" s="1340"/>
      <c r="I14" s="1340">
        <v>32441</v>
      </c>
      <c r="J14" s="1340"/>
      <c r="K14" s="1340"/>
      <c r="L14" s="1337">
        <f t="shared" si="0"/>
        <v>32441</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2083</v>
      </c>
      <c r="C16" s="1338"/>
      <c r="D16" s="1339"/>
      <c r="E16" s="1340"/>
      <c r="F16" s="1340"/>
      <c r="G16" s="1340"/>
      <c r="H16" s="1340"/>
      <c r="I16" s="1340"/>
      <c r="J16" s="1340"/>
      <c r="K16" s="1340"/>
      <c r="L16" s="1337">
        <f t="shared" si="0"/>
        <v>0</v>
      </c>
      <c r="M16" s="1340"/>
    </row>
    <row r="17" spans="2:14" ht="20.100000000000001" customHeight="1" x14ac:dyDescent="0.2">
      <c r="B17" s="1334" t="s">
        <v>2084</v>
      </c>
      <c r="C17" s="1338"/>
      <c r="D17" s="1339"/>
      <c r="E17" s="1340"/>
      <c r="F17" s="1340"/>
      <c r="G17" s="1340"/>
      <c r="H17" s="1340"/>
      <c r="I17" s="1340"/>
      <c r="J17" s="1340"/>
      <c r="K17" s="1340"/>
      <c r="L17" s="1337">
        <f t="shared" si="0"/>
        <v>0</v>
      </c>
      <c r="M17" s="1340"/>
    </row>
    <row r="18" spans="2:14" ht="20.100000000000001" customHeight="1" x14ac:dyDescent="0.2">
      <c r="B18" s="1334" t="s">
        <v>2085</v>
      </c>
      <c r="C18" s="1338">
        <v>84.027000000000001</v>
      </c>
      <c r="D18" s="1339" t="s">
        <v>2089</v>
      </c>
      <c r="E18" s="1340">
        <v>2012376</v>
      </c>
      <c r="F18" s="1340"/>
      <c r="G18" s="1340">
        <v>2012376</v>
      </c>
      <c r="H18" s="1340">
        <v>1955713</v>
      </c>
      <c r="I18" s="1340"/>
      <c r="J18" s="1340"/>
      <c r="K18" s="1340"/>
      <c r="L18" s="1337">
        <f t="shared" si="0"/>
        <v>2012376</v>
      </c>
      <c r="M18" s="1340">
        <v>2165073</v>
      </c>
    </row>
    <row r="19" spans="2:14" ht="20.100000000000001" customHeight="1" x14ac:dyDescent="0.2">
      <c r="B19" s="1334" t="s">
        <v>2085</v>
      </c>
      <c r="C19" s="1338">
        <v>84.027000000000001</v>
      </c>
      <c r="D19" s="1339" t="s">
        <v>2090</v>
      </c>
      <c r="E19" s="1340"/>
      <c r="F19" s="1340">
        <v>1735376</v>
      </c>
      <c r="G19" s="1340"/>
      <c r="H19" s="1340"/>
      <c r="I19" s="1340">
        <v>1735376</v>
      </c>
      <c r="J19" s="1340">
        <v>1681786</v>
      </c>
      <c r="K19" s="1340"/>
      <c r="L19" s="1337">
        <f t="shared" si="0"/>
        <v>1735376</v>
      </c>
      <c r="M19" s="1340">
        <v>1936416</v>
      </c>
    </row>
    <row r="20" spans="2:14" ht="20.100000000000001" customHeight="1" x14ac:dyDescent="0.2">
      <c r="B20" s="1334" t="s">
        <v>2086</v>
      </c>
      <c r="C20" s="1338">
        <v>84.173000000000002</v>
      </c>
      <c r="D20" s="1339" t="s">
        <v>2091</v>
      </c>
      <c r="E20" s="1340">
        <v>94078</v>
      </c>
      <c r="F20" s="1340"/>
      <c r="G20" s="1340">
        <v>94078</v>
      </c>
      <c r="H20" s="1340">
        <v>94078</v>
      </c>
      <c r="I20" s="1340"/>
      <c r="J20" s="1340"/>
      <c r="K20" s="1340"/>
      <c r="L20" s="1337">
        <f t="shared" si="0"/>
        <v>94078</v>
      </c>
      <c r="M20" s="1340">
        <v>102558</v>
      </c>
    </row>
    <row r="21" spans="2:14" ht="20.100000000000001" customHeight="1" x14ac:dyDescent="0.2">
      <c r="B21" s="1334" t="s">
        <v>2086</v>
      </c>
      <c r="C21" s="1338">
        <v>84.173000000000002</v>
      </c>
      <c r="D21" s="1339" t="s">
        <v>2092</v>
      </c>
      <c r="E21" s="1340"/>
      <c r="F21" s="1340">
        <v>102823</v>
      </c>
      <c r="G21" s="1340"/>
      <c r="H21" s="1340"/>
      <c r="I21" s="1340">
        <v>102823</v>
      </c>
      <c r="J21" s="1340">
        <v>102823</v>
      </c>
      <c r="K21" s="1340"/>
      <c r="L21" s="1337">
        <f t="shared" si="0"/>
        <v>102823</v>
      </c>
      <c r="M21" s="1340">
        <v>107049</v>
      </c>
    </row>
    <row r="22" spans="2:14" ht="20.100000000000001" customHeight="1" x14ac:dyDescent="0.2">
      <c r="B22" s="1334" t="s">
        <v>2093</v>
      </c>
      <c r="C22" s="1338"/>
      <c r="D22" s="1339"/>
      <c r="E22" s="1340">
        <v>2106454</v>
      </c>
      <c r="F22" s="1340">
        <v>1838199</v>
      </c>
      <c r="G22" s="1340">
        <v>2106454</v>
      </c>
      <c r="H22" s="1340"/>
      <c r="I22" s="1340">
        <v>1838199</v>
      </c>
      <c r="J22" s="1340"/>
      <c r="K22" s="1340"/>
      <c r="L22" s="1337">
        <f t="shared" si="0"/>
        <v>3944653</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topLeftCell="A7"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00" t="str">
        <f>'Single Audit Cover'!A7</f>
        <v>Northwest Sp Ed Cooperative</v>
      </c>
      <c r="C1" s="2521"/>
      <c r="D1" s="2521"/>
      <c r="E1" s="2521"/>
      <c r="F1" s="2521"/>
      <c r="G1" s="2521"/>
      <c r="H1" s="2521"/>
      <c r="I1" s="2521"/>
      <c r="J1" s="2521"/>
      <c r="K1" s="2521"/>
      <c r="L1" s="2521"/>
      <c r="M1" s="2521"/>
    </row>
    <row r="2" spans="2:14" ht="15" x14ac:dyDescent="0.2">
      <c r="B2" s="2522">
        <f>'Single Audit Cover'!E7</f>
        <v>8043210061</v>
      </c>
      <c r="C2" s="2522"/>
      <c r="D2" s="2522"/>
      <c r="E2" s="2522"/>
      <c r="F2" s="2522"/>
      <c r="G2" s="2522"/>
      <c r="H2" s="2522"/>
      <c r="I2" s="2522"/>
      <c r="J2" s="2522"/>
      <c r="K2" s="2522"/>
      <c r="L2" s="2522"/>
      <c r="M2" s="2522"/>
      <c r="N2" s="1299"/>
    </row>
    <row r="3" spans="2:14" ht="15" x14ac:dyDescent="0.2">
      <c r="B3" s="2523" t="s">
        <v>1219</v>
      </c>
      <c r="C3" s="2523"/>
      <c r="D3" s="2523"/>
      <c r="E3" s="2523"/>
      <c r="F3" s="2523"/>
      <c r="G3" s="2523"/>
      <c r="H3" s="2523"/>
      <c r="I3" s="2523"/>
      <c r="J3" s="2523"/>
      <c r="K3" s="2523"/>
      <c r="L3" s="2523"/>
      <c r="M3" s="2523"/>
      <c r="N3" s="1299"/>
    </row>
    <row r="4" spans="2:14" ht="15" x14ac:dyDescent="0.2">
      <c r="B4" s="2524" t="str">
        <f>'Single Audit Cover'!A4</f>
        <v>Year Ending June 30, 2019</v>
      </c>
      <c r="C4" s="2524"/>
      <c r="D4" s="2524"/>
      <c r="E4" s="2524"/>
      <c r="F4" s="2524"/>
      <c r="G4" s="2524"/>
      <c r="H4" s="2524"/>
      <c r="I4" s="2524"/>
      <c r="J4" s="2524"/>
      <c r="K4" s="2524"/>
      <c r="L4" s="2524"/>
      <c r="M4" s="252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1987</v>
      </c>
      <c r="K8" s="1316" t="s">
        <v>1261</v>
      </c>
      <c r="L8" s="1317" t="s">
        <v>1257</v>
      </c>
      <c r="M8" s="1318" t="s">
        <v>30</v>
      </c>
    </row>
    <row r="9" spans="2:14" ht="14.25" x14ac:dyDescent="0.2">
      <c r="B9" s="1322" t="s">
        <v>1259</v>
      </c>
      <c r="C9" s="1310" t="s">
        <v>1732</v>
      </c>
      <c r="D9" s="1311" t="s">
        <v>1733</v>
      </c>
      <c r="E9" s="1319" t="s">
        <v>1836</v>
      </c>
      <c r="F9" s="1320" t="s">
        <v>1987</v>
      </c>
      <c r="G9" s="1321" t="s">
        <v>1836</v>
      </c>
      <c r="H9" s="1314" t="s">
        <v>1582</v>
      </c>
      <c r="I9" s="1316" t="s">
        <v>1987</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2083</v>
      </c>
      <c r="C11" s="1335"/>
      <c r="D11" s="1336"/>
      <c r="E11" s="1337"/>
      <c r="F11" s="1337"/>
      <c r="G11" s="1337"/>
      <c r="H11" s="1337"/>
      <c r="I11" s="1337"/>
      <c r="J11" s="1337"/>
      <c r="K11" s="1337"/>
      <c r="L11" s="1337">
        <f>+G11+I11+K11</f>
        <v>0</v>
      </c>
      <c r="M11" s="1337"/>
    </row>
    <row r="12" spans="2:14" ht="20.100000000000001" customHeight="1" x14ac:dyDescent="0.2">
      <c r="B12" s="1334" t="s">
        <v>2094</v>
      </c>
      <c r="C12" s="1338"/>
      <c r="D12" s="1339"/>
      <c r="E12" s="1340"/>
      <c r="F12" s="1340"/>
      <c r="G12" s="1340"/>
      <c r="H12" s="1340"/>
      <c r="I12" s="1340"/>
      <c r="J12" s="1340"/>
      <c r="K12" s="1340"/>
      <c r="L12" s="1337">
        <f t="shared" ref="L12:L27" si="0">+G12+I12+K12</f>
        <v>0</v>
      </c>
      <c r="M12" s="1340"/>
    </row>
    <row r="13" spans="2:14" ht="20.100000000000001" customHeight="1" x14ac:dyDescent="0.2">
      <c r="B13" s="1334" t="s">
        <v>2095</v>
      </c>
      <c r="C13" s="1338">
        <v>84.126000000000005</v>
      </c>
      <c r="D13" s="1339" t="s">
        <v>2100</v>
      </c>
      <c r="E13" s="1340">
        <v>61055</v>
      </c>
      <c r="F13" s="1340"/>
      <c r="G13" s="1340">
        <v>61055</v>
      </c>
      <c r="H13" s="1340"/>
      <c r="I13" s="1340"/>
      <c r="J13" s="1340"/>
      <c r="K13" s="1340"/>
      <c r="L13" s="1337">
        <f t="shared" si="0"/>
        <v>61055</v>
      </c>
      <c r="M13" s="1340"/>
    </row>
    <row r="14" spans="2:14" ht="20.100000000000001" customHeight="1" x14ac:dyDescent="0.2">
      <c r="B14" s="1334" t="s">
        <v>2095</v>
      </c>
      <c r="C14" s="1338">
        <v>84.126000000000005</v>
      </c>
      <c r="D14" s="1339" t="s">
        <v>2101</v>
      </c>
      <c r="E14" s="1340"/>
      <c r="F14" s="1340">
        <v>95928</v>
      </c>
      <c r="G14" s="1340"/>
      <c r="H14" s="1340"/>
      <c r="I14" s="1340">
        <v>95928</v>
      </c>
      <c r="J14" s="1340"/>
      <c r="K14" s="1340"/>
      <c r="L14" s="1337">
        <f t="shared" si="0"/>
        <v>95928</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t="s">
        <v>2096</v>
      </c>
      <c r="C16" s="1338"/>
      <c r="D16" s="1339"/>
      <c r="E16" s="1340"/>
      <c r="F16" s="1340"/>
      <c r="G16" s="1340"/>
      <c r="H16" s="1340"/>
      <c r="I16" s="1340"/>
      <c r="J16" s="1340"/>
      <c r="K16" s="1340"/>
      <c r="L16" s="1337">
        <f t="shared" si="0"/>
        <v>0</v>
      </c>
      <c r="M16" s="1340"/>
    </row>
    <row r="17" spans="2:14" ht="20.100000000000001" customHeight="1" x14ac:dyDescent="0.2">
      <c r="B17" s="1334" t="s">
        <v>2084</v>
      </c>
      <c r="C17" s="1338"/>
      <c r="D17" s="1339"/>
      <c r="E17" s="1340"/>
      <c r="F17" s="1340"/>
      <c r="G17" s="1340"/>
      <c r="H17" s="1340"/>
      <c r="I17" s="1340"/>
      <c r="J17" s="1340"/>
      <c r="K17" s="1340"/>
      <c r="L17" s="1337">
        <f t="shared" si="0"/>
        <v>0</v>
      </c>
      <c r="M17" s="1340"/>
    </row>
    <row r="18" spans="2:14" ht="20.100000000000001" customHeight="1" x14ac:dyDescent="0.2">
      <c r="B18" s="1334" t="s">
        <v>2097</v>
      </c>
      <c r="C18" s="1338">
        <v>10.555</v>
      </c>
      <c r="D18" s="1339" t="s">
        <v>2103</v>
      </c>
      <c r="E18" s="1340">
        <v>1290</v>
      </c>
      <c r="F18" s="1340"/>
      <c r="G18" s="1340">
        <v>1290</v>
      </c>
      <c r="H18" s="1340"/>
      <c r="I18" s="1340"/>
      <c r="J18" s="1340"/>
      <c r="K18" s="1340"/>
      <c r="L18" s="1337">
        <f t="shared" si="0"/>
        <v>1290</v>
      </c>
      <c r="M18" s="1340"/>
    </row>
    <row r="19" spans="2:14" ht="20.100000000000001" customHeight="1" x14ac:dyDescent="0.2">
      <c r="B19" s="1334" t="s">
        <v>2097</v>
      </c>
      <c r="C19" s="1338">
        <v>10.555</v>
      </c>
      <c r="D19" s="1339" t="s">
        <v>2102</v>
      </c>
      <c r="E19" s="1340">
        <v>5289</v>
      </c>
      <c r="F19" s="1340"/>
      <c r="G19" s="1340">
        <v>5289</v>
      </c>
      <c r="H19" s="1340"/>
      <c r="I19" s="1340"/>
      <c r="J19" s="1340"/>
      <c r="K19" s="1340"/>
      <c r="L19" s="1337">
        <f t="shared" si="0"/>
        <v>5289</v>
      </c>
      <c r="M19" s="1340"/>
    </row>
    <row r="20" spans="2:14" ht="20.100000000000001" customHeight="1" x14ac:dyDescent="0.2">
      <c r="B20" s="1334" t="s">
        <v>2097</v>
      </c>
      <c r="C20" s="1338">
        <v>10.555</v>
      </c>
      <c r="D20" s="1339" t="s">
        <v>2104</v>
      </c>
      <c r="E20" s="1340"/>
      <c r="F20" s="1340">
        <v>6518</v>
      </c>
      <c r="G20" s="1340"/>
      <c r="H20" s="1340"/>
      <c r="I20" s="1340">
        <v>6518</v>
      </c>
      <c r="J20" s="1340"/>
      <c r="K20" s="1340"/>
      <c r="L20" s="1337">
        <f t="shared" si="0"/>
        <v>6518</v>
      </c>
      <c r="M20" s="1340"/>
    </row>
    <row r="21" spans="2:14" ht="20.100000000000001" customHeight="1" x14ac:dyDescent="0.2">
      <c r="B21" s="1334" t="s">
        <v>2098</v>
      </c>
      <c r="C21" s="1338">
        <v>10.553000000000001</v>
      </c>
      <c r="D21" s="1339" t="s">
        <v>2105</v>
      </c>
      <c r="E21" s="1340">
        <v>353</v>
      </c>
      <c r="F21" s="1340"/>
      <c r="G21" s="1340">
        <v>353</v>
      </c>
      <c r="H21" s="1340"/>
      <c r="I21" s="1340"/>
      <c r="J21" s="1340"/>
      <c r="K21" s="1340"/>
      <c r="L21" s="1337">
        <f t="shared" si="0"/>
        <v>353</v>
      </c>
      <c r="M21" s="1340"/>
    </row>
    <row r="22" spans="2:14" ht="20.100000000000001" customHeight="1" x14ac:dyDescent="0.2">
      <c r="B22" s="1334" t="s">
        <v>2098</v>
      </c>
      <c r="C22" s="1338">
        <v>10.553000000000001</v>
      </c>
      <c r="D22" s="1339" t="s">
        <v>2106</v>
      </c>
      <c r="E22" s="1340">
        <v>1557</v>
      </c>
      <c r="F22" s="1340"/>
      <c r="G22" s="1340">
        <v>1557</v>
      </c>
      <c r="H22" s="1340"/>
      <c r="I22" s="1340"/>
      <c r="J22" s="1340"/>
      <c r="K22" s="1340"/>
      <c r="L22" s="1337">
        <f t="shared" si="0"/>
        <v>1557</v>
      </c>
      <c r="M22" s="1340"/>
    </row>
    <row r="23" spans="2:14" ht="20.100000000000001" customHeight="1" x14ac:dyDescent="0.2">
      <c r="B23" s="1334" t="s">
        <v>2098</v>
      </c>
      <c r="C23" s="1338">
        <v>10.553000000000001</v>
      </c>
      <c r="D23" s="1339" t="s">
        <v>2107</v>
      </c>
      <c r="E23" s="1340"/>
      <c r="F23" s="1340">
        <v>3282</v>
      </c>
      <c r="G23" s="1340"/>
      <c r="H23" s="1340"/>
      <c r="I23" s="1340">
        <v>3282</v>
      </c>
      <c r="J23" s="1340"/>
      <c r="K23" s="1340"/>
      <c r="L23" s="1337">
        <f t="shared" si="0"/>
        <v>3282</v>
      </c>
      <c r="M23" s="1340"/>
    </row>
    <row r="24" spans="2:14" ht="20.100000000000001" customHeight="1" x14ac:dyDescent="0.2">
      <c r="B24" s="1334" t="s">
        <v>2099</v>
      </c>
      <c r="C24" s="1338"/>
      <c r="D24" s="1339"/>
      <c r="E24" s="1340">
        <v>8489</v>
      </c>
      <c r="F24" s="1340">
        <v>9800</v>
      </c>
      <c r="G24" s="1340">
        <v>8489</v>
      </c>
      <c r="H24" s="1340"/>
      <c r="I24" s="1340">
        <v>9800</v>
      </c>
      <c r="J24" s="1340"/>
      <c r="K24" s="1340"/>
      <c r="L24" s="1337">
        <f t="shared" si="0"/>
        <v>18289</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2108</v>
      </c>
      <c r="C26" s="1338"/>
      <c r="D26" s="1339"/>
      <c r="E26" s="1340">
        <v>2214870</v>
      </c>
      <c r="F26" s="1340">
        <v>1976368</v>
      </c>
      <c r="G26" s="1340">
        <v>2214870</v>
      </c>
      <c r="H26" s="1340">
        <v>2049791</v>
      </c>
      <c r="I26" s="1340">
        <v>1976368</v>
      </c>
      <c r="J26" s="1340">
        <v>1784609</v>
      </c>
      <c r="K26" s="1340"/>
      <c r="L26" s="1337">
        <f t="shared" si="0"/>
        <v>4191238</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106"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42" t="s">
        <v>1168</v>
      </c>
      <c r="B2" s="2142"/>
      <c r="C2" s="2142"/>
      <c r="D2" s="2142"/>
      <c r="E2" s="2142"/>
      <c r="F2" s="2142"/>
      <c r="G2" s="2142"/>
      <c r="H2" s="2142"/>
      <c r="I2" s="2142"/>
      <c r="J2" s="214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6" t="s">
        <v>1633</v>
      </c>
      <c r="B35" s="2157"/>
      <c r="C35" s="2157"/>
      <c r="D35" s="2157"/>
      <c r="E35" s="2158"/>
      <c r="F35" s="2158"/>
      <c r="G35" s="2158"/>
      <c r="H35" s="2158"/>
      <c r="I35" s="215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6" t="s">
        <v>313</v>
      </c>
      <c r="B47" s="2159"/>
      <c r="C47" s="2159"/>
      <c r="D47" s="2159"/>
      <c r="E47" s="2160"/>
      <c r="F47" s="2160"/>
      <c r="G47" s="2160"/>
      <c r="H47" s="2160"/>
      <c r="I47" s="216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2069</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63" t="s">
        <v>2078</v>
      </c>
      <c r="C57" s="2164"/>
      <c r="D57" s="2164"/>
      <c r="E57" s="2164"/>
      <c r="F57" s="2164"/>
      <c r="G57" s="2164"/>
      <c r="H57" s="2164"/>
      <c r="I57" s="2164"/>
      <c r="J57" s="2165"/>
    </row>
    <row r="58" spans="1:10" s="181" customFormat="1" x14ac:dyDescent="0.2">
      <c r="A58" s="253"/>
      <c r="B58" s="2166"/>
      <c r="C58" s="2167"/>
      <c r="D58" s="2167"/>
      <c r="E58" s="2167"/>
      <c r="F58" s="2167"/>
      <c r="G58" s="2167"/>
      <c r="H58" s="2167"/>
      <c r="I58" s="2167"/>
      <c r="J58" s="2168"/>
    </row>
    <row r="59" spans="1:10" s="181" customFormat="1" x14ac:dyDescent="0.2">
      <c r="A59" s="253"/>
      <c r="B59" s="2166"/>
      <c r="C59" s="2167"/>
      <c r="D59" s="2167"/>
      <c r="E59" s="2167"/>
      <c r="F59" s="2167"/>
      <c r="G59" s="2167"/>
      <c r="H59" s="2167"/>
      <c r="I59" s="2167"/>
      <c r="J59" s="2168"/>
    </row>
    <row r="60" spans="1:10" s="181" customFormat="1" x14ac:dyDescent="0.2">
      <c r="A60" s="253"/>
      <c r="B60" s="2166"/>
      <c r="C60" s="2167"/>
      <c r="D60" s="2167"/>
      <c r="E60" s="2167"/>
      <c r="F60" s="2167"/>
      <c r="G60" s="2167"/>
      <c r="H60" s="2167"/>
      <c r="I60" s="2167"/>
      <c r="J60" s="2168"/>
    </row>
    <row r="61" spans="1:10" s="181" customFormat="1" x14ac:dyDescent="0.2">
      <c r="A61" s="253"/>
      <c r="B61" s="2166"/>
      <c r="C61" s="2167"/>
      <c r="D61" s="2167"/>
      <c r="E61" s="2167"/>
      <c r="F61" s="2167"/>
      <c r="G61" s="2167"/>
      <c r="H61" s="2167"/>
      <c r="I61" s="2167"/>
      <c r="J61" s="2168"/>
    </row>
    <row r="62" spans="1:10" s="181" customFormat="1" x14ac:dyDescent="0.2">
      <c r="A62" s="253"/>
      <c r="B62" s="2166"/>
      <c r="C62" s="2167"/>
      <c r="D62" s="2167"/>
      <c r="E62" s="2167"/>
      <c r="F62" s="2167"/>
      <c r="G62" s="2167"/>
      <c r="H62" s="2167"/>
      <c r="I62" s="2167"/>
      <c r="J62" s="2168"/>
    </row>
    <row r="63" spans="1:10" s="181" customFormat="1" x14ac:dyDescent="0.2">
      <c r="A63" s="253"/>
      <c r="B63" s="2166"/>
      <c r="C63" s="2167"/>
      <c r="D63" s="2167"/>
      <c r="E63" s="2167"/>
      <c r="F63" s="2167"/>
      <c r="G63" s="2167"/>
      <c r="H63" s="2167"/>
      <c r="I63" s="2167"/>
      <c r="J63" s="2168"/>
    </row>
    <row r="64" spans="1:10" s="181" customFormat="1" x14ac:dyDescent="0.2">
      <c r="A64" s="253"/>
      <c r="B64" s="2166"/>
      <c r="C64" s="2167"/>
      <c r="D64" s="2167"/>
      <c r="E64" s="2167"/>
      <c r="F64" s="2167"/>
      <c r="G64" s="2167"/>
      <c r="H64" s="2167"/>
      <c r="I64" s="2167"/>
      <c r="J64" s="2168"/>
    </row>
    <row r="65" spans="1:10" s="181" customFormat="1" x14ac:dyDescent="0.2">
      <c r="A65" s="253"/>
      <c r="B65" s="2166"/>
      <c r="C65" s="2167"/>
      <c r="D65" s="2167"/>
      <c r="E65" s="2167"/>
      <c r="F65" s="2167"/>
      <c r="G65" s="2167"/>
      <c r="H65" s="2167"/>
      <c r="I65" s="2167"/>
      <c r="J65" s="2168"/>
    </row>
    <row r="66" spans="1:10" s="181" customFormat="1" x14ac:dyDescent="0.2">
      <c r="A66" s="253"/>
      <c r="B66" s="2166"/>
      <c r="C66" s="2167"/>
      <c r="D66" s="2167"/>
      <c r="E66" s="2167"/>
      <c r="F66" s="2167"/>
      <c r="G66" s="2167"/>
      <c r="H66" s="2167"/>
      <c r="I66" s="2167"/>
      <c r="J66" s="2168"/>
    </row>
    <row r="67" spans="1:10" s="181" customFormat="1" ht="9" customHeight="1" x14ac:dyDescent="0.2">
      <c r="A67" s="254"/>
      <c r="B67" s="2169"/>
      <c r="C67" s="2170"/>
      <c r="D67" s="2170"/>
      <c r="E67" s="2170"/>
      <c r="F67" s="2170"/>
      <c r="G67" s="2170"/>
      <c r="H67" s="2170"/>
      <c r="I67" s="2170"/>
      <c r="J67" s="217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6" t="s">
        <v>1323</v>
      </c>
      <c r="B70" s="2159"/>
      <c r="C70" s="2159"/>
      <c r="D70" s="2159"/>
      <c r="E70" s="2160"/>
      <c r="F70" s="2160"/>
      <c r="G70" s="2160"/>
      <c r="H70" s="2160"/>
      <c r="I70" s="216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61" t="s">
        <v>1320</v>
      </c>
      <c r="B83" s="2161"/>
      <c r="C83" s="2161"/>
      <c r="D83" s="216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43"/>
      <c r="C102" s="2144"/>
      <c r="D102" s="2144"/>
      <c r="E102" s="2144"/>
      <c r="F102" s="2144"/>
      <c r="G102" s="2144"/>
      <c r="H102" s="2144"/>
      <c r="I102" s="2145"/>
    </row>
    <row r="103" spans="1:9" s="181" customFormat="1" ht="11.25" customHeight="1" x14ac:dyDescent="0.2">
      <c r="A103" s="316"/>
      <c r="B103" s="2146"/>
      <c r="C103" s="2147"/>
      <c r="D103" s="2147"/>
      <c r="E103" s="2147"/>
      <c r="F103" s="2147"/>
      <c r="G103" s="2147"/>
      <c r="H103" s="2147"/>
      <c r="I103" s="2148"/>
    </row>
    <row r="104" spans="1:9" s="181" customFormat="1" ht="11.25" customHeight="1" x14ac:dyDescent="0.2">
      <c r="A104" s="316"/>
      <c r="B104" s="2146"/>
      <c r="C104" s="2147"/>
      <c r="D104" s="2147"/>
      <c r="E104" s="2147"/>
      <c r="F104" s="2147"/>
      <c r="G104" s="2147"/>
      <c r="H104" s="2147"/>
      <c r="I104" s="2148"/>
    </row>
    <row r="105" spans="1:9" s="181" customFormat="1" x14ac:dyDescent="0.2">
      <c r="A105" s="316"/>
      <c r="B105" s="2146"/>
      <c r="C105" s="2147"/>
      <c r="D105" s="2147"/>
      <c r="E105" s="2147"/>
      <c r="F105" s="2147"/>
      <c r="G105" s="2147"/>
      <c r="H105" s="2147"/>
      <c r="I105" s="2148"/>
    </row>
    <row r="106" spans="1:9" s="181" customFormat="1" ht="11.25" customHeight="1" x14ac:dyDescent="0.2">
      <c r="A106" s="316"/>
      <c r="B106" s="2146"/>
      <c r="C106" s="2147"/>
      <c r="D106" s="2147"/>
      <c r="E106" s="2147"/>
      <c r="F106" s="2147"/>
      <c r="G106" s="2147"/>
      <c r="H106" s="2147"/>
      <c r="I106" s="2148"/>
    </row>
    <row r="107" spans="1:9" s="181" customFormat="1" ht="11.25" customHeight="1" x14ac:dyDescent="0.2">
      <c r="A107" s="316"/>
      <c r="B107" s="2146"/>
      <c r="C107" s="2147"/>
      <c r="D107" s="2147"/>
      <c r="E107" s="2147"/>
      <c r="F107" s="2147"/>
      <c r="G107" s="2147"/>
      <c r="H107" s="2147"/>
      <c r="I107" s="2148"/>
    </row>
    <row r="108" spans="1:9" s="181" customFormat="1" ht="11.25" customHeight="1" x14ac:dyDescent="0.2">
      <c r="A108" s="316"/>
      <c r="B108" s="2146"/>
      <c r="C108" s="2147"/>
      <c r="D108" s="2147"/>
      <c r="E108" s="2147"/>
      <c r="F108" s="2147"/>
      <c r="G108" s="2147"/>
      <c r="H108" s="2147"/>
      <c r="I108" s="2148"/>
    </row>
    <row r="109" spans="1:9" s="181" customFormat="1" ht="11.25" customHeight="1" x14ac:dyDescent="0.2">
      <c r="A109" s="316"/>
      <c r="B109" s="2146"/>
      <c r="C109" s="2147"/>
      <c r="D109" s="2147"/>
      <c r="E109" s="2147"/>
      <c r="F109" s="2147"/>
      <c r="G109" s="2147"/>
      <c r="H109" s="2147"/>
      <c r="I109" s="2148"/>
    </row>
    <row r="110" spans="1:9" s="181" customFormat="1" ht="11.25" customHeight="1" x14ac:dyDescent="0.2">
      <c r="A110" s="316"/>
      <c r="B110" s="2146"/>
      <c r="C110" s="2147"/>
      <c r="D110" s="2147"/>
      <c r="E110" s="2147"/>
      <c r="F110" s="2147"/>
      <c r="G110" s="2147"/>
      <c r="H110" s="2147"/>
      <c r="I110" s="2148"/>
    </row>
    <row r="111" spans="1:9" s="181" customFormat="1" ht="11.25" customHeight="1" x14ac:dyDescent="0.2">
      <c r="A111" s="316"/>
      <c r="B111" s="2146"/>
      <c r="C111" s="2147"/>
      <c r="D111" s="2147"/>
      <c r="E111" s="2147"/>
      <c r="F111" s="2147"/>
      <c r="G111" s="2147"/>
      <c r="H111" s="2147"/>
      <c r="I111" s="2148"/>
    </row>
    <row r="112" spans="1:9" s="181" customFormat="1" ht="11.25" customHeight="1" x14ac:dyDescent="0.2">
      <c r="A112" s="316"/>
      <c r="B112" s="2149"/>
      <c r="C112" s="2150"/>
      <c r="D112" s="2150"/>
      <c r="E112" s="2150"/>
      <c r="F112" s="2150"/>
      <c r="G112" s="2150"/>
      <c r="H112" s="2150"/>
      <c r="I112" s="215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52" t="s">
        <v>2061</v>
      </c>
      <c r="D114" s="215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53" t="s">
        <v>1330</v>
      </c>
      <c r="D117" s="2154"/>
      <c r="E117" s="2155"/>
      <c r="F117" s="2155"/>
      <c r="G117" s="2155"/>
      <c r="H117" s="2155"/>
      <c r="I117" s="304"/>
    </row>
    <row r="118" spans="1:9" s="181" customFormat="1" ht="24" customHeight="1" x14ac:dyDescent="0.2">
      <c r="A118" s="316"/>
      <c r="B118" s="316"/>
      <c r="C118" s="316"/>
      <c r="D118" s="323" t="s">
        <v>2152</v>
      </c>
      <c r="E118" s="322"/>
      <c r="F118" s="324"/>
      <c r="G118" s="1840"/>
      <c r="H118" s="322"/>
      <c r="I118" s="304"/>
    </row>
    <row r="119" spans="1:9" s="181" customFormat="1" ht="11.25" customHeight="1" x14ac:dyDescent="0.2">
      <c r="A119" s="325"/>
      <c r="B119" s="325"/>
      <c r="C119" s="326"/>
      <c r="D119" s="327" t="s">
        <v>361</v>
      </c>
      <c r="E119" s="310"/>
      <c r="F119" s="1839" t="s">
        <v>1903</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8" zoomScale="120" zoomScaleNormal="120" workbookViewId="0">
      <selection activeCell="E44" sqref="E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34" t="str">
        <f>'Single Audit Cover'!A7</f>
        <v>Northwest Sp Ed Cooperative</v>
      </c>
      <c r="B1" s="2534"/>
      <c r="C1" s="2534"/>
      <c r="D1" s="2534"/>
      <c r="E1" s="2534"/>
      <c r="F1" s="2534"/>
    </row>
    <row r="2" spans="1:7" ht="13.5" customHeight="1" x14ac:dyDescent="0.2">
      <c r="A2" s="2522">
        <f>'Single Audit Cover'!E7</f>
        <v>8043210061</v>
      </c>
      <c r="B2" s="2522"/>
      <c r="C2" s="2522"/>
      <c r="D2" s="2522"/>
      <c r="E2" s="2522"/>
      <c r="F2" s="2522"/>
      <c r="G2" s="1272"/>
    </row>
    <row r="3" spans="1:7" ht="15.75" customHeight="1" x14ac:dyDescent="0.2">
      <c r="A3" s="2535" t="s">
        <v>1271</v>
      </c>
      <c r="B3" s="2535"/>
      <c r="C3" s="2535"/>
      <c r="D3" s="2535"/>
      <c r="E3" s="2535"/>
      <c r="F3" s="2535"/>
    </row>
    <row r="4" spans="1:7" ht="13.5" customHeight="1" x14ac:dyDescent="0.2">
      <c r="A4" s="2536" t="str">
        <f>'Single Audit Cover'!A4</f>
        <v>Year Ending June 30, 2019</v>
      </c>
      <c r="B4" s="2536"/>
      <c r="C4" s="2536"/>
      <c r="D4" s="2536"/>
      <c r="E4" s="2536"/>
      <c r="F4" s="2536"/>
    </row>
    <row r="5" spans="1:7" ht="8.25" customHeight="1" x14ac:dyDescent="0.2">
      <c r="C5" s="317"/>
      <c r="D5" s="317"/>
    </row>
    <row r="6" spans="1:7" ht="13.5" customHeight="1" x14ac:dyDescent="0.2">
      <c r="A6" s="1273" t="s">
        <v>1728</v>
      </c>
      <c r="C6" s="317"/>
      <c r="D6" s="317"/>
    </row>
    <row r="7" spans="1:7" ht="60.95" customHeight="1" x14ac:dyDescent="0.2">
      <c r="A7" s="2533" t="s">
        <v>2110</v>
      </c>
      <c r="B7" s="2533"/>
      <c r="C7" s="2533"/>
      <c r="D7" s="2533"/>
      <c r="E7" s="2533"/>
      <c r="F7" s="2533"/>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2069</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533" t="s">
        <v>2111</v>
      </c>
      <c r="B13" s="2533"/>
      <c r="C13" s="2533"/>
      <c r="D13" s="2533"/>
      <c r="E13" s="2533"/>
      <c r="F13" s="2533"/>
    </row>
    <row r="14" spans="1:7" ht="9.75" customHeight="1" x14ac:dyDescent="0.2">
      <c r="C14" s="1257"/>
      <c r="D14" s="1257"/>
    </row>
    <row r="15" spans="1:7" ht="13.5" customHeight="1" x14ac:dyDescent="0.2">
      <c r="C15" s="1846" t="s">
        <v>1270</v>
      </c>
      <c r="D15" s="2531" t="s">
        <v>1269</v>
      </c>
      <c r="E15" s="2531"/>
      <c r="F15" s="2531"/>
    </row>
    <row r="16" spans="1:7" ht="13.5" customHeight="1" x14ac:dyDescent="0.2">
      <c r="A16" s="1279"/>
      <c r="B16" s="1273" t="s">
        <v>1268</v>
      </c>
      <c r="C16" s="1846" t="s">
        <v>1267</v>
      </c>
      <c r="D16" s="2532" t="s">
        <v>1588</v>
      </c>
      <c r="E16" s="2532"/>
      <c r="F16" s="2532"/>
    </row>
    <row r="17" spans="1:6" ht="20.45" customHeight="1" x14ac:dyDescent="0.2">
      <c r="A17" s="1280"/>
      <c r="B17" s="1940" t="s">
        <v>2112</v>
      </c>
      <c r="C17" s="1983">
        <v>84.027000000000001</v>
      </c>
      <c r="D17" s="2526">
        <v>188807</v>
      </c>
      <c r="E17" s="2526"/>
      <c r="F17" s="2526"/>
    </row>
    <row r="18" spans="1:6" ht="20.65" customHeight="1" x14ac:dyDescent="0.2">
      <c r="A18" s="1280"/>
      <c r="B18" s="1940" t="s">
        <v>2113</v>
      </c>
      <c r="C18" s="1983">
        <v>84.027000000000001</v>
      </c>
      <c r="D18" s="2526">
        <v>172828</v>
      </c>
      <c r="E18" s="2526"/>
      <c r="F18" s="2526"/>
    </row>
    <row r="19" spans="1:6" ht="20.65" customHeight="1" x14ac:dyDescent="0.2">
      <c r="A19" s="1280"/>
      <c r="B19" s="1940" t="s">
        <v>2114</v>
      </c>
      <c r="C19" s="1983">
        <v>84.027000000000001</v>
      </c>
      <c r="D19" s="2526">
        <v>164636</v>
      </c>
      <c r="E19" s="2526"/>
      <c r="F19" s="2526"/>
    </row>
    <row r="20" spans="1:6" ht="20.65" customHeight="1" x14ac:dyDescent="0.2">
      <c r="A20" s="1280"/>
      <c r="B20" s="1940" t="s">
        <v>2115</v>
      </c>
      <c r="C20" s="1983">
        <v>84.027000000000001</v>
      </c>
      <c r="D20" s="2526">
        <v>186526</v>
      </c>
      <c r="E20" s="2526"/>
      <c r="F20" s="2526"/>
    </row>
    <row r="21" spans="1:6" ht="20.65" customHeight="1" x14ac:dyDescent="0.2">
      <c r="A21" s="1280"/>
      <c r="B21" s="1940" t="s">
        <v>2116</v>
      </c>
      <c r="C21" s="1983">
        <v>84.027000000000001</v>
      </c>
      <c r="D21" s="2526">
        <v>73172</v>
      </c>
      <c r="E21" s="2526"/>
      <c r="F21" s="2526"/>
    </row>
    <row r="22" spans="1:6" ht="20.65" customHeight="1" x14ac:dyDescent="0.2">
      <c r="A22" s="1280"/>
      <c r="B22" s="1940" t="s">
        <v>2117</v>
      </c>
      <c r="C22" s="1983">
        <v>84.027000000000001</v>
      </c>
      <c r="D22" s="2526">
        <v>103004</v>
      </c>
      <c r="E22" s="2526"/>
      <c r="F22" s="2526"/>
    </row>
    <row r="23" spans="1:6" ht="20.65" customHeight="1" x14ac:dyDescent="0.2">
      <c r="A23" s="1280"/>
      <c r="B23" s="1940" t="s">
        <v>2118</v>
      </c>
      <c r="C23" s="1983">
        <v>84.027000000000001</v>
      </c>
      <c r="D23" s="2526">
        <v>134007</v>
      </c>
      <c r="E23" s="2526"/>
      <c r="F23" s="2526"/>
    </row>
    <row r="24" spans="1:6" ht="20.65" customHeight="1" x14ac:dyDescent="0.2">
      <c r="A24" s="1280"/>
      <c r="B24" s="1940" t="s">
        <v>2119</v>
      </c>
      <c r="C24" s="1983">
        <v>84.027000000000001</v>
      </c>
      <c r="D24" s="2526">
        <v>62953</v>
      </c>
      <c r="E24" s="2526"/>
      <c r="F24" s="2526"/>
    </row>
    <row r="25" spans="1:6" ht="20.65" customHeight="1" x14ac:dyDescent="0.2">
      <c r="A25" s="1280"/>
      <c r="B25" s="1940" t="s">
        <v>2120</v>
      </c>
      <c r="C25" s="1983">
        <v>84.027000000000001</v>
      </c>
      <c r="D25" s="2526">
        <v>142983</v>
      </c>
      <c r="E25" s="2526"/>
      <c r="F25" s="2526"/>
    </row>
    <row r="26" spans="1:6" ht="20.65" customHeight="1" x14ac:dyDescent="0.2">
      <c r="A26" s="1280"/>
      <c r="B26" s="1940" t="s">
        <v>2121</v>
      </c>
      <c r="C26" s="1983">
        <v>84.027000000000001</v>
      </c>
      <c r="D26" s="2526">
        <v>102535</v>
      </c>
      <c r="E26" s="2526"/>
      <c r="F26" s="2526"/>
    </row>
    <row r="27" spans="1:6" ht="20.65" customHeight="1" x14ac:dyDescent="0.2">
      <c r="A27" s="1280"/>
      <c r="B27" s="1940" t="s">
        <v>2122</v>
      </c>
      <c r="C27" s="1983">
        <v>84.027000000000001</v>
      </c>
      <c r="D27" s="2526">
        <v>350335</v>
      </c>
      <c r="E27" s="2526"/>
      <c r="F27" s="2526"/>
    </row>
    <row r="28" spans="1:6" ht="20.65" customHeight="1" x14ac:dyDescent="0.2">
      <c r="A28" s="1280"/>
      <c r="B28" s="1940" t="s">
        <v>2123</v>
      </c>
      <c r="C28" s="1282"/>
      <c r="D28" s="2526">
        <v>1681786</v>
      </c>
      <c r="E28" s="2526"/>
      <c r="F28" s="2526"/>
    </row>
    <row r="29" spans="1:6" ht="20.65" customHeight="1" x14ac:dyDescent="0.2">
      <c r="A29" s="1280"/>
      <c r="B29" s="1281"/>
      <c r="C29" s="1282"/>
      <c r="D29" s="2526"/>
      <c r="E29" s="2526"/>
      <c r="F29" s="2526"/>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527" t="s">
        <v>2150</v>
      </c>
      <c r="B32" s="2527"/>
      <c r="C32" s="2527"/>
      <c r="D32" s="2527"/>
      <c r="E32" s="2527"/>
      <c r="F32" s="2527"/>
    </row>
    <row r="33" spans="1:6" ht="13.5" customHeight="1" x14ac:dyDescent="0.2">
      <c r="A33" s="328" t="s">
        <v>1434</v>
      </c>
      <c r="B33" s="328"/>
      <c r="C33" s="1285">
        <v>0</v>
      </c>
      <c r="D33" s="1903"/>
      <c r="E33" s="1283"/>
    </row>
    <row r="34" spans="1:6" ht="13.5" customHeight="1" x14ac:dyDescent="0.2">
      <c r="A34" s="328" t="s">
        <v>1835</v>
      </c>
      <c r="B34" s="328"/>
      <c r="C34" s="1286">
        <v>0</v>
      </c>
      <c r="D34" s="1903" t="s">
        <v>1589</v>
      </c>
      <c r="E34" s="2528">
        <f>+C33+C34</f>
        <v>0</v>
      </c>
      <c r="F34" s="2529"/>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t="s">
        <v>2124</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30" t="s">
        <v>1590</v>
      </c>
      <c r="C49" s="2530"/>
      <c r="D49" s="2530"/>
      <c r="E49" s="1396"/>
    </row>
    <row r="50" spans="1:5" s="1297" customFormat="1" ht="3.75" customHeight="1" x14ac:dyDescent="0.2">
      <c r="A50" s="1296"/>
      <c r="B50" s="1845"/>
      <c r="C50" s="1845"/>
      <c r="D50" s="1845"/>
      <c r="E50" s="1396"/>
    </row>
    <row r="51" spans="1:5" s="1297" customFormat="1" ht="20.25" customHeight="1" x14ac:dyDescent="0.2">
      <c r="A51" s="1298">
        <v>6</v>
      </c>
      <c r="B51" s="2525" t="s">
        <v>1551</v>
      </c>
      <c r="C51" s="2525"/>
      <c r="D51" s="2525"/>
    </row>
    <row r="52" spans="1:5" ht="14.25" customHeight="1" x14ac:dyDescent="0.2">
      <c r="A52" s="1298"/>
      <c r="B52" s="2525"/>
      <c r="C52" s="2525"/>
      <c r="D52" s="252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2" zoomScale="120" zoomScaleNormal="120" workbookViewId="0">
      <selection activeCell="C25" sqref="C25"/>
    </sheetView>
  </sheetViews>
  <sheetFormatPr defaultColWidth="8" defaultRowHeight="12.75" x14ac:dyDescent="0.2"/>
  <cols>
    <col min="1" max="1" width="1.42578125" style="1941" customWidth="1"/>
    <col min="2" max="2" width="53.28515625" style="1941" customWidth="1"/>
    <col min="3" max="3" width="14" style="1944" customWidth="1"/>
    <col min="4" max="4" width="16.7109375" style="1944" customWidth="1"/>
    <col min="5" max="5" width="7.5703125" style="1941" customWidth="1"/>
    <col min="6" max="6" width="2.7109375" style="1941" customWidth="1"/>
    <col min="7" max="7" width="3.28515625" style="1941" customWidth="1"/>
    <col min="8" max="16384" width="8" style="1941"/>
  </cols>
  <sheetData>
    <row r="1" spans="1:7" ht="13.5" customHeight="1" x14ac:dyDescent="0.2">
      <c r="A1" s="2534" t="str">
        <f>'Single Audit Cover'!A7</f>
        <v>Northwest Sp Ed Cooperative</v>
      </c>
      <c r="B1" s="2534"/>
      <c r="C1" s="2534"/>
      <c r="D1" s="2534"/>
      <c r="E1" s="2534"/>
      <c r="F1" s="2534"/>
    </row>
    <row r="2" spans="1:7" ht="13.5" customHeight="1" x14ac:dyDescent="0.2">
      <c r="A2" s="2522">
        <f>'Single Audit Cover'!E7</f>
        <v>8043210061</v>
      </c>
      <c r="B2" s="2522"/>
      <c r="C2" s="2522"/>
      <c r="D2" s="2522"/>
      <c r="E2" s="2522"/>
      <c r="F2" s="2522"/>
      <c r="G2" s="1946"/>
    </row>
    <row r="3" spans="1:7" ht="15.75" customHeight="1" x14ac:dyDescent="0.2">
      <c r="A3" s="2535" t="s">
        <v>1271</v>
      </c>
      <c r="B3" s="2535"/>
      <c r="C3" s="2535"/>
      <c r="D3" s="2535"/>
      <c r="E3" s="2535"/>
      <c r="F3" s="2535"/>
    </row>
    <row r="4" spans="1:7" ht="13.5" customHeight="1" x14ac:dyDescent="0.2">
      <c r="A4" s="2536" t="str">
        <f>'Single Audit Cover'!A4</f>
        <v>Year Ending June 30, 2019</v>
      </c>
      <c r="B4" s="2536"/>
      <c r="C4" s="2536"/>
      <c r="D4" s="2536"/>
      <c r="E4" s="2536"/>
      <c r="F4" s="2536"/>
    </row>
    <row r="5" spans="1:7" ht="8.25" customHeight="1" x14ac:dyDescent="0.2">
      <c r="C5" s="1941"/>
      <c r="D5" s="1941"/>
    </row>
    <row r="6" spans="1:7" ht="13.5" customHeight="1" x14ac:dyDescent="0.2">
      <c r="A6" s="1947" t="s">
        <v>1728</v>
      </c>
      <c r="C6" s="1941"/>
      <c r="D6" s="1941"/>
    </row>
    <row r="7" spans="1:7" ht="60.95" customHeight="1" x14ac:dyDescent="0.2">
      <c r="A7" s="2533" t="s">
        <v>2110</v>
      </c>
      <c r="B7" s="2533"/>
      <c r="C7" s="2533"/>
      <c r="D7" s="2533"/>
      <c r="E7" s="2533"/>
      <c r="F7" s="2533"/>
    </row>
    <row r="8" spans="1:7" ht="12" customHeight="1" x14ac:dyDescent="0.2">
      <c r="A8" s="1947"/>
      <c r="B8" s="1953"/>
      <c r="C8" s="1953"/>
      <c r="D8" s="1953"/>
    </row>
    <row r="9" spans="1:7" ht="15" customHeight="1" x14ac:dyDescent="0.2">
      <c r="A9" s="1948" t="s">
        <v>1729</v>
      </c>
      <c r="B9" s="1951"/>
      <c r="C9" s="1951"/>
      <c r="D9" s="1951"/>
      <c r="E9" s="1949"/>
      <c r="F9" s="1949"/>
      <c r="G9" s="1949"/>
    </row>
    <row r="10" spans="1:7" ht="15" customHeight="1" x14ac:dyDescent="0.2">
      <c r="A10" s="1950" t="s">
        <v>1547</v>
      </c>
      <c r="B10" s="1951"/>
      <c r="C10" s="1952"/>
      <c r="D10" s="1951" t="s">
        <v>1548</v>
      </c>
      <c r="E10" s="1952" t="s">
        <v>2069</v>
      </c>
      <c r="F10" s="1951" t="s">
        <v>99</v>
      </c>
      <c r="G10" s="1949"/>
    </row>
    <row r="11" spans="1:7" ht="12" customHeight="1" x14ac:dyDescent="0.2">
      <c r="A11" s="1950"/>
      <c r="B11" s="1951"/>
      <c r="C11" s="1978"/>
      <c r="D11" s="1951"/>
      <c r="E11" s="1978"/>
      <c r="F11" s="1951"/>
      <c r="G11" s="1949"/>
    </row>
    <row r="12" spans="1:7" x14ac:dyDescent="0.2">
      <c r="A12" s="1947" t="s">
        <v>1587</v>
      </c>
      <c r="C12" s="1945"/>
      <c r="D12" s="1945"/>
    </row>
    <row r="13" spans="1:7" ht="15" customHeight="1" x14ac:dyDescent="0.2">
      <c r="A13" s="2533" t="s">
        <v>2111</v>
      </c>
      <c r="B13" s="2533"/>
      <c r="C13" s="2533"/>
      <c r="D13" s="2533"/>
      <c r="E13" s="2533"/>
      <c r="F13" s="2533"/>
    </row>
    <row r="14" spans="1:7" ht="9.75" customHeight="1" x14ac:dyDescent="0.2">
      <c r="C14" s="1945"/>
      <c r="D14" s="1945"/>
    </row>
    <row r="15" spans="1:7" ht="13.5" customHeight="1" x14ac:dyDescent="0.2">
      <c r="C15" s="1976" t="s">
        <v>1270</v>
      </c>
      <c r="D15" s="2531" t="s">
        <v>1269</v>
      </c>
      <c r="E15" s="2531"/>
      <c r="F15" s="2531"/>
    </row>
    <row r="16" spans="1:7" ht="13.5" customHeight="1" x14ac:dyDescent="0.2">
      <c r="A16" s="1953"/>
      <c r="B16" s="1947" t="s">
        <v>1268</v>
      </c>
      <c r="C16" s="1976" t="s">
        <v>1267</v>
      </c>
      <c r="D16" s="2532" t="s">
        <v>1588</v>
      </c>
      <c r="E16" s="2532"/>
      <c r="F16" s="2532"/>
    </row>
    <row r="17" spans="1:6" ht="20.45" customHeight="1" x14ac:dyDescent="0.2">
      <c r="A17" s="1954"/>
      <c r="B17" s="1982" t="s">
        <v>2112</v>
      </c>
      <c r="C17" s="2028">
        <v>84.173000000000002</v>
      </c>
      <c r="D17" s="2526">
        <v>16624</v>
      </c>
      <c r="E17" s="2526"/>
      <c r="F17" s="2526"/>
    </row>
    <row r="18" spans="1:6" ht="20.65" customHeight="1" x14ac:dyDescent="0.2">
      <c r="A18" s="1954"/>
      <c r="B18" s="1982" t="s">
        <v>2113</v>
      </c>
      <c r="C18" s="2028">
        <v>84.173000000000002</v>
      </c>
      <c r="D18" s="2526">
        <v>15069</v>
      </c>
      <c r="E18" s="2526"/>
      <c r="F18" s="2526"/>
    </row>
    <row r="19" spans="1:6" ht="20.65" customHeight="1" x14ac:dyDescent="0.2">
      <c r="A19" s="1954"/>
      <c r="B19" s="1982" t="s">
        <v>2114</v>
      </c>
      <c r="C19" s="2028">
        <v>84.173000000000002</v>
      </c>
      <c r="D19" s="2526">
        <v>5976</v>
      </c>
      <c r="E19" s="2526"/>
      <c r="F19" s="2526"/>
    </row>
    <row r="20" spans="1:6" ht="20.65" customHeight="1" x14ac:dyDescent="0.2">
      <c r="A20" s="1954"/>
      <c r="B20" s="1982" t="s">
        <v>2115</v>
      </c>
      <c r="C20" s="2028">
        <v>84.173000000000002</v>
      </c>
      <c r="D20" s="2526">
        <v>6469</v>
      </c>
      <c r="E20" s="2526"/>
      <c r="F20" s="2526"/>
    </row>
    <row r="21" spans="1:6" ht="20.65" customHeight="1" x14ac:dyDescent="0.2">
      <c r="A21" s="1954"/>
      <c r="B21" s="1982" t="s">
        <v>2116</v>
      </c>
      <c r="C21" s="2028">
        <v>84.173000000000002</v>
      </c>
      <c r="D21" s="2526">
        <v>2133</v>
      </c>
      <c r="E21" s="2526"/>
      <c r="F21" s="2526"/>
    </row>
    <row r="22" spans="1:6" ht="20.65" customHeight="1" x14ac:dyDescent="0.2">
      <c r="A22" s="1954"/>
      <c r="B22" s="1982" t="s">
        <v>2117</v>
      </c>
      <c r="C22" s="2028">
        <v>84.173000000000002</v>
      </c>
      <c r="D22" s="2526">
        <v>10014</v>
      </c>
      <c r="E22" s="2526"/>
      <c r="F22" s="2526"/>
    </row>
    <row r="23" spans="1:6" ht="20.65" customHeight="1" x14ac:dyDescent="0.2">
      <c r="A23" s="1954"/>
      <c r="B23" s="1982" t="s">
        <v>2118</v>
      </c>
      <c r="C23" s="2028">
        <v>84.173000000000002</v>
      </c>
      <c r="D23" s="2526">
        <v>5646</v>
      </c>
      <c r="E23" s="2526"/>
      <c r="F23" s="2526"/>
    </row>
    <row r="24" spans="1:6" ht="20.65" customHeight="1" x14ac:dyDescent="0.2">
      <c r="A24" s="1954"/>
      <c r="B24" s="1982" t="s">
        <v>2119</v>
      </c>
      <c r="C24" s="2028">
        <v>84.173000000000002</v>
      </c>
      <c r="D24" s="2526">
        <v>4530</v>
      </c>
      <c r="E24" s="2526"/>
      <c r="F24" s="2526"/>
    </row>
    <row r="25" spans="1:6" ht="20.65" customHeight="1" x14ac:dyDescent="0.2">
      <c r="A25" s="1954"/>
      <c r="B25" s="1982" t="s">
        <v>2120</v>
      </c>
      <c r="C25" s="2028">
        <v>84.173000000000002</v>
      </c>
      <c r="D25" s="2526">
        <v>10949</v>
      </c>
      <c r="E25" s="2526"/>
      <c r="F25" s="2526"/>
    </row>
    <row r="26" spans="1:6" ht="20.65" customHeight="1" x14ac:dyDescent="0.2">
      <c r="A26" s="1954"/>
      <c r="B26" s="1982" t="s">
        <v>2121</v>
      </c>
      <c r="C26" s="2028">
        <v>84.173000000000002</v>
      </c>
      <c r="D26" s="2526">
        <v>8845</v>
      </c>
      <c r="E26" s="2526"/>
      <c r="F26" s="2526"/>
    </row>
    <row r="27" spans="1:6" ht="20.65" customHeight="1" x14ac:dyDescent="0.2">
      <c r="A27" s="1954"/>
      <c r="B27" s="1982" t="s">
        <v>2122</v>
      </c>
      <c r="C27" s="2028">
        <v>84.173000000000002</v>
      </c>
      <c r="D27" s="2526">
        <v>16568</v>
      </c>
      <c r="E27" s="2526"/>
      <c r="F27" s="2526"/>
    </row>
    <row r="28" spans="1:6" ht="20.65" customHeight="1" x14ac:dyDescent="0.2">
      <c r="A28" s="1954"/>
      <c r="B28" s="1982" t="s">
        <v>2123</v>
      </c>
      <c r="C28" s="1956"/>
      <c r="D28" s="2526">
        <v>102823</v>
      </c>
      <c r="E28" s="2526"/>
      <c r="F28" s="2526"/>
    </row>
    <row r="29" spans="1:6" ht="20.65" customHeight="1" x14ac:dyDescent="0.2">
      <c r="A29" s="1954"/>
      <c r="B29" s="1955"/>
      <c r="C29" s="1956"/>
      <c r="D29" s="2526"/>
      <c r="E29" s="2526"/>
      <c r="F29" s="2526"/>
    </row>
    <row r="30" spans="1:6" ht="12" customHeight="1" x14ac:dyDescent="0.2">
      <c r="A30" s="1943"/>
      <c r="B30" s="1943"/>
      <c r="C30" s="1974"/>
      <c r="D30" s="1979"/>
      <c r="E30" s="1957"/>
    </row>
    <row r="31" spans="1:6" ht="12" customHeight="1" x14ac:dyDescent="0.2">
      <c r="A31" s="1958" t="s">
        <v>1549</v>
      </c>
      <c r="B31" s="1943"/>
      <c r="C31" s="1974"/>
      <c r="D31" s="1979"/>
      <c r="E31" s="1957"/>
    </row>
    <row r="32" spans="1:6" ht="30" customHeight="1" x14ac:dyDescent="0.2">
      <c r="A32" s="2527" t="s">
        <v>2151</v>
      </c>
      <c r="B32" s="2527"/>
      <c r="C32" s="2527"/>
      <c r="D32" s="2527"/>
      <c r="E32" s="2527"/>
      <c r="F32" s="2527"/>
    </row>
    <row r="33" spans="1:6" ht="13.5" customHeight="1" x14ac:dyDescent="0.2">
      <c r="A33" s="1943" t="s">
        <v>1434</v>
      </c>
      <c r="B33" s="1943"/>
      <c r="C33" s="1959">
        <v>0</v>
      </c>
      <c r="D33" s="1979"/>
      <c r="E33" s="1957"/>
    </row>
    <row r="34" spans="1:6" ht="13.5" customHeight="1" x14ac:dyDescent="0.2">
      <c r="A34" s="1943" t="s">
        <v>1835</v>
      </c>
      <c r="B34" s="1943"/>
      <c r="C34" s="1960">
        <v>0</v>
      </c>
      <c r="D34" s="1979" t="s">
        <v>1589</v>
      </c>
      <c r="E34" s="2528">
        <f>+C33+C34</f>
        <v>0</v>
      </c>
      <c r="F34" s="2529"/>
    </row>
    <row r="35" spans="1:6" ht="12" customHeight="1" x14ac:dyDescent="0.2">
      <c r="A35" s="1943"/>
      <c r="B35" s="1943"/>
      <c r="C35" s="1980"/>
      <c r="D35" s="1979"/>
      <c r="E35" s="1961"/>
      <c r="F35" s="1962"/>
    </row>
    <row r="36" spans="1:6" ht="13.5" customHeight="1" x14ac:dyDescent="0.2">
      <c r="A36" s="1958" t="s">
        <v>1550</v>
      </c>
      <c r="B36" s="1943"/>
      <c r="C36" s="1974"/>
      <c r="D36" s="1979"/>
      <c r="E36" s="1957"/>
    </row>
    <row r="37" spans="1:6" ht="14.25" customHeight="1" x14ac:dyDescent="0.2">
      <c r="A37" s="1943" t="s">
        <v>1484</v>
      </c>
      <c r="B37" s="1943"/>
      <c r="C37" s="1981"/>
      <c r="D37" s="1979"/>
      <c r="E37" s="1957"/>
    </row>
    <row r="38" spans="1:6" ht="14.25" customHeight="1" x14ac:dyDescent="0.2">
      <c r="A38" s="1943"/>
      <c r="B38" s="1943" t="s">
        <v>1435</v>
      </c>
      <c r="C38" s="1963"/>
      <c r="D38" s="1979"/>
      <c r="E38" s="1957"/>
    </row>
    <row r="39" spans="1:6" ht="14.25" customHeight="1" x14ac:dyDescent="0.2">
      <c r="A39" s="1943"/>
      <c r="B39" s="1943" t="s">
        <v>1436</v>
      </c>
      <c r="C39" s="1963"/>
      <c r="D39" s="1979"/>
      <c r="E39" s="1957"/>
    </row>
    <row r="40" spans="1:6" ht="14.25" customHeight="1" x14ac:dyDescent="0.2">
      <c r="A40" s="1943"/>
      <c r="B40" s="1943" t="s">
        <v>1437</v>
      </c>
      <c r="C40" s="1963"/>
      <c r="D40" s="1979"/>
      <c r="E40" s="1957"/>
    </row>
    <row r="41" spans="1:6" ht="14.25" customHeight="1" x14ac:dyDescent="0.2">
      <c r="A41" s="1943"/>
      <c r="B41" s="1943" t="s">
        <v>1438</v>
      </c>
      <c r="C41" s="1963"/>
      <c r="D41" s="1979"/>
      <c r="E41" s="1957"/>
    </row>
    <row r="42" spans="1:6" ht="14.25" customHeight="1" x14ac:dyDescent="0.2">
      <c r="A42" s="1943" t="s">
        <v>1439</v>
      </c>
      <c r="B42" s="1943"/>
      <c r="C42" s="1977"/>
      <c r="D42" s="1979"/>
      <c r="E42" s="1957"/>
    </row>
    <row r="43" spans="1:6" ht="14.25" customHeight="1" x14ac:dyDescent="0.2">
      <c r="A43" s="1943" t="s">
        <v>1440</v>
      </c>
      <c r="B43" s="1943"/>
      <c r="C43" s="1964" t="s">
        <v>2124</v>
      </c>
      <c r="D43" s="1979"/>
      <c r="E43" s="1957"/>
    </row>
    <row r="44" spans="1:6" ht="14.25" customHeight="1" x14ac:dyDescent="0.2">
      <c r="A44" s="1943"/>
      <c r="B44" s="1943"/>
      <c r="C44" s="1981" t="s">
        <v>1441</v>
      </c>
      <c r="D44" s="1979"/>
      <c r="E44" s="1957"/>
    </row>
    <row r="45" spans="1:6" ht="13.5" customHeight="1" x14ac:dyDescent="0.2">
      <c r="B45" s="1942"/>
      <c r="C45" s="1965"/>
      <c r="D45" s="1965"/>
    </row>
    <row r="46" spans="1:6" x14ac:dyDescent="0.2">
      <c r="A46" s="1966" t="s">
        <v>1730</v>
      </c>
      <c r="C46" s="1941"/>
      <c r="D46" s="1941"/>
    </row>
    <row r="47" spans="1:6" s="1942" customFormat="1" ht="11.25" customHeight="1" x14ac:dyDescent="0.2">
      <c r="A47" s="1967"/>
      <c r="B47" s="1968"/>
      <c r="C47" s="1968"/>
      <c r="D47" s="1968"/>
      <c r="E47" s="1968"/>
      <c r="F47" s="1968"/>
    </row>
    <row r="48" spans="1:6" s="1942" customFormat="1" ht="6" customHeight="1" x14ac:dyDescent="0.2">
      <c r="A48" s="1969"/>
    </row>
    <row r="49" spans="1:5" s="1971" customFormat="1" ht="23.25" customHeight="1" x14ac:dyDescent="0.2">
      <c r="A49" s="1970">
        <v>5</v>
      </c>
      <c r="B49" s="2530" t="s">
        <v>1590</v>
      </c>
      <c r="C49" s="2530"/>
      <c r="D49" s="2530"/>
      <c r="E49" s="1973"/>
    </row>
    <row r="50" spans="1:5" s="1971" customFormat="1" ht="3.75" customHeight="1" x14ac:dyDescent="0.2">
      <c r="A50" s="1970"/>
      <c r="B50" s="1975"/>
      <c r="C50" s="1975"/>
      <c r="D50" s="1975"/>
      <c r="E50" s="1973"/>
    </row>
    <row r="51" spans="1:5" s="1971" customFormat="1" ht="20.25" customHeight="1" x14ac:dyDescent="0.2">
      <c r="A51" s="1972">
        <v>6</v>
      </c>
      <c r="B51" s="2525" t="s">
        <v>1551</v>
      </c>
      <c r="C51" s="2525"/>
      <c r="D51" s="2525"/>
    </row>
    <row r="52" spans="1:5" ht="14.25" customHeight="1" x14ac:dyDescent="0.2">
      <c r="A52" s="1972"/>
      <c r="B52" s="2525"/>
      <c r="C52" s="2525"/>
      <c r="D52" s="2525"/>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topLeftCell="A28"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8" t="str">
        <f>'Single Audit Cover'!A7</f>
        <v>Northwest Sp Ed Cooperative</v>
      </c>
      <c r="C1" s="2549"/>
      <c r="D1" s="2549"/>
      <c r="E1" s="2549"/>
      <c r="F1" s="2549"/>
      <c r="G1" s="2549"/>
      <c r="H1" s="2549"/>
      <c r="I1" s="2549"/>
      <c r="J1" s="1406"/>
    </row>
    <row r="2" spans="2:10" s="317" customFormat="1" ht="12.75" customHeight="1" x14ac:dyDescent="0.2">
      <c r="B2" s="2550">
        <f>'Single Audit Cover'!E7</f>
        <v>8043210061</v>
      </c>
      <c r="C2" s="2551"/>
      <c r="D2" s="2551"/>
      <c r="E2" s="2551"/>
      <c r="F2" s="2551"/>
      <c r="G2" s="2551"/>
      <c r="H2" s="2551"/>
      <c r="I2" s="2551"/>
      <c r="J2" s="1406"/>
    </row>
    <row r="3" spans="2:10" s="317" customFormat="1" ht="12.75" customHeight="1" x14ac:dyDescent="0.2">
      <c r="B3" s="2552" t="s">
        <v>1285</v>
      </c>
      <c r="C3" s="2553"/>
      <c r="D3" s="2553"/>
      <c r="E3" s="2553"/>
      <c r="F3" s="2553"/>
      <c r="G3" s="2553"/>
      <c r="H3" s="2553"/>
      <c r="I3" s="2553"/>
      <c r="J3" s="1407"/>
    </row>
    <row r="4" spans="2:10" s="317" customFormat="1" ht="12.75" customHeight="1" x14ac:dyDescent="0.2">
      <c r="B4" s="2552" t="str">
        <f>'Single Audit Cover'!A4</f>
        <v>Year Ending June 30, 2019</v>
      </c>
      <c r="C4" s="2553"/>
      <c r="D4" s="2553"/>
      <c r="E4" s="2553"/>
      <c r="F4" s="2553"/>
      <c r="G4" s="2553"/>
      <c r="H4" s="2553"/>
      <c r="I4" s="2553"/>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552" t="s">
        <v>1284</v>
      </c>
      <c r="C7" s="2553"/>
      <c r="D7" s="2553"/>
      <c r="E7" s="2553"/>
      <c r="F7" s="2553"/>
      <c r="G7" s="2553"/>
      <c r="H7" s="2553"/>
      <c r="I7" s="2553"/>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554" t="s">
        <v>2125</v>
      </c>
      <c r="D11" s="2554"/>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2069</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2069</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2069</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555" t="s">
        <v>2126</v>
      </c>
      <c r="E29" s="2555"/>
      <c r="F29" s="2555"/>
      <c r="G29" s="2555"/>
      <c r="H29" s="2555"/>
      <c r="I29" s="2555"/>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2069</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556" t="s">
        <v>1748</v>
      </c>
      <c r="D37" s="2557"/>
      <c r="E37" s="2557"/>
      <c r="F37" s="2558"/>
      <c r="G37" s="2556" t="s">
        <v>1592</v>
      </c>
      <c r="H37" s="2557"/>
      <c r="I37" s="2558"/>
    </row>
    <row r="38" spans="2:9" ht="16.5" customHeight="1" x14ac:dyDescent="0.2">
      <c r="B38" s="1428" t="s">
        <v>2127</v>
      </c>
      <c r="C38" s="2544" t="s">
        <v>2128</v>
      </c>
      <c r="D38" s="2545"/>
      <c r="E38" s="2545"/>
      <c r="F38" s="2546"/>
      <c r="G38" s="2559">
        <v>1838199</v>
      </c>
      <c r="H38" s="2560"/>
      <c r="I38" s="2561"/>
    </row>
    <row r="39" spans="2:9" ht="16.5" customHeight="1" x14ac:dyDescent="0.2">
      <c r="B39" s="1428"/>
      <c r="C39" s="2544"/>
      <c r="D39" s="2545"/>
      <c r="E39" s="2545"/>
      <c r="F39" s="2546"/>
      <c r="G39" s="2547"/>
      <c r="H39" s="2547"/>
      <c r="I39" s="2547"/>
    </row>
    <row r="40" spans="2:9" ht="16.5" customHeight="1" x14ac:dyDescent="0.2">
      <c r="B40" s="1428"/>
      <c r="C40" s="2544"/>
      <c r="D40" s="2545"/>
      <c r="E40" s="2545"/>
      <c r="F40" s="2546"/>
      <c r="G40" s="2547"/>
      <c r="H40" s="2547"/>
      <c r="I40" s="2547"/>
    </row>
    <row r="41" spans="2:9" ht="16.5" customHeight="1" x14ac:dyDescent="0.2">
      <c r="B41" s="1428"/>
      <c r="C41" s="2544"/>
      <c r="D41" s="2545"/>
      <c r="E41" s="2545"/>
      <c r="F41" s="2546"/>
      <c r="G41" s="2547"/>
      <c r="H41" s="2547"/>
      <c r="I41" s="2547"/>
    </row>
    <row r="42" spans="2:9" ht="16.5" customHeight="1" x14ac:dyDescent="0.2">
      <c r="B42" s="1428"/>
      <c r="C42" s="2544"/>
      <c r="D42" s="2545"/>
      <c r="E42" s="2545"/>
      <c r="F42" s="2546"/>
      <c r="G42" s="2547"/>
      <c r="H42" s="2547"/>
      <c r="I42" s="2547"/>
    </row>
    <row r="43" spans="2:9" ht="16.5" customHeight="1" x14ac:dyDescent="0.2">
      <c r="B43" s="1428"/>
      <c r="C43" s="2537" t="s">
        <v>1593</v>
      </c>
      <c r="D43" s="2538"/>
      <c r="E43" s="2538"/>
      <c r="F43" s="2539"/>
      <c r="G43" s="2540">
        <f>SUM(G38:I42)</f>
        <v>1838199</v>
      </c>
      <c r="H43" s="2540"/>
      <c r="I43" s="2540"/>
    </row>
    <row r="44" spans="2:9" ht="12.75" customHeight="1" x14ac:dyDescent="0.2"/>
    <row r="45" spans="2:9" ht="12.75" customHeight="1" x14ac:dyDescent="0.2">
      <c r="B45" s="1419" t="s">
        <v>1838</v>
      </c>
      <c r="D45" s="2541">
        <v>1976368</v>
      </c>
      <c r="E45" s="2542"/>
    </row>
    <row r="46" spans="2:9" ht="5.25" customHeight="1" x14ac:dyDescent="0.2">
      <c r="B46" s="1429"/>
      <c r="D46" s="1430"/>
      <c r="E46" s="1431"/>
    </row>
    <row r="47" spans="2:9" ht="12.75" customHeight="1" x14ac:dyDescent="0.2">
      <c r="B47" s="1297" t="s">
        <v>1594</v>
      </c>
      <c r="C47" s="1297"/>
      <c r="D47" s="1432">
        <f>+G43/D45</f>
        <v>0.93008943678505218</v>
      </c>
      <c r="E47" s="1433"/>
      <c r="F47" s="1434"/>
      <c r="I47" s="1435"/>
    </row>
    <row r="48" spans="2:9" ht="9.9499999999999993" customHeight="1" x14ac:dyDescent="0.2"/>
    <row r="49" spans="1:9" x14ac:dyDescent="0.2">
      <c r="B49" s="1365" t="s">
        <v>1273</v>
      </c>
      <c r="C49" s="1279"/>
      <c r="D49" s="1279"/>
      <c r="E49" s="2543">
        <v>750000</v>
      </c>
      <c r="F49" s="2543"/>
      <c r="G49" s="2543"/>
      <c r="H49" s="322"/>
    </row>
    <row r="51" spans="1:9" ht="13.5" customHeight="1" x14ac:dyDescent="0.2">
      <c r="B51" s="1365" t="s">
        <v>1272</v>
      </c>
      <c r="C51" s="1279"/>
      <c r="E51" s="1422"/>
      <c r="F51" s="1297" t="s">
        <v>885</v>
      </c>
      <c r="G51" s="1422" t="s">
        <v>2069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8" t="str">
        <f>'Single Audit Cover'!A7</f>
        <v>Northwest Sp Ed Cooperative</v>
      </c>
      <c r="C1" s="2548"/>
      <c r="D1" s="2548"/>
      <c r="E1" s="2548"/>
      <c r="F1" s="2548"/>
      <c r="G1" s="2548"/>
      <c r="H1" s="2548"/>
      <c r="I1" s="2548"/>
      <c r="J1" s="2548"/>
      <c r="K1" s="2548"/>
      <c r="L1" s="1371"/>
      <c r="M1" s="1371"/>
    </row>
    <row r="2" spans="1:13" ht="12" customHeight="1" x14ac:dyDescent="0.2">
      <c r="B2" s="2550">
        <f>'Single Audit Cover'!E7</f>
        <v>8043210061</v>
      </c>
      <c r="C2" s="2550"/>
      <c r="D2" s="2550"/>
      <c r="E2" s="2550"/>
      <c r="F2" s="2550"/>
      <c r="G2" s="2550"/>
      <c r="H2" s="2550"/>
      <c r="I2" s="2550"/>
      <c r="J2" s="2550"/>
      <c r="K2" s="2550"/>
      <c r="L2" s="1372"/>
      <c r="M2" s="1373"/>
    </row>
    <row r="3" spans="1:13" ht="10.35" customHeight="1" x14ac:dyDescent="0.2">
      <c r="B3" s="2564" t="s">
        <v>1285</v>
      </c>
      <c r="C3" s="2564"/>
      <c r="D3" s="2564"/>
      <c r="E3" s="2564"/>
      <c r="F3" s="2564"/>
      <c r="G3" s="2564"/>
      <c r="H3" s="2564"/>
      <c r="I3" s="2564"/>
      <c r="J3" s="2564"/>
      <c r="K3" s="2564"/>
      <c r="L3" s="1374"/>
      <c r="M3" s="1374"/>
    </row>
    <row r="4" spans="1:13" ht="14.25" customHeight="1" x14ac:dyDescent="0.2">
      <c r="B4" s="2565" t="str">
        <f>'Single Audit Cover'!A4</f>
        <v>Year Ending June 30, 2019</v>
      </c>
      <c r="C4" s="2565"/>
      <c r="D4" s="2565"/>
      <c r="E4" s="2565"/>
      <c r="F4" s="2565"/>
      <c r="G4" s="2565"/>
      <c r="H4" s="2565"/>
      <c r="I4" s="2565"/>
      <c r="J4" s="2565"/>
      <c r="K4" s="256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65" t="s">
        <v>1296</v>
      </c>
      <c r="C7" s="2565"/>
      <c r="D7" s="2566"/>
      <c r="E7" s="2566"/>
      <c r="F7" s="2566"/>
      <c r="G7" s="2566"/>
      <c r="H7" s="2566"/>
      <c r="I7" s="2566"/>
      <c r="J7" s="2566"/>
      <c r="K7" s="256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1988</v>
      </c>
      <c r="D10" s="1383">
        <v>1</v>
      </c>
      <c r="E10" s="322"/>
      <c r="F10" s="1384" t="s">
        <v>1295</v>
      </c>
      <c r="G10" s="1385"/>
      <c r="H10" s="1386" t="s">
        <v>1294</v>
      </c>
      <c r="I10" s="1385" t="s">
        <v>2069</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63" t="s">
        <v>2129</v>
      </c>
      <c r="C14" s="2563"/>
      <c r="D14" s="2563"/>
      <c r="E14" s="2563"/>
      <c r="F14" s="2563"/>
      <c r="G14" s="2563"/>
      <c r="H14" s="2563"/>
      <c r="I14" s="2563"/>
      <c r="J14" s="2563"/>
      <c r="K14" s="256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63" t="s">
        <v>2130</v>
      </c>
      <c r="C17" s="2563"/>
      <c r="D17" s="2563"/>
      <c r="E17" s="2563"/>
      <c r="F17" s="2563"/>
      <c r="G17" s="2563"/>
      <c r="H17" s="2563"/>
      <c r="I17" s="2563"/>
      <c r="J17" s="2563"/>
      <c r="K17" s="256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67"/>
      <c r="C20" s="2567"/>
      <c r="D20" s="2563"/>
      <c r="E20" s="2563"/>
      <c r="F20" s="2563"/>
      <c r="G20" s="2563"/>
      <c r="H20" s="2563"/>
      <c r="I20" s="2563"/>
      <c r="J20" s="2563"/>
      <c r="K20" s="256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63" t="s">
        <v>2131</v>
      </c>
      <c r="C23" s="2563"/>
      <c r="D23" s="2563"/>
      <c r="E23" s="2563"/>
      <c r="F23" s="2563"/>
      <c r="G23" s="2563"/>
      <c r="H23" s="2563"/>
      <c r="I23" s="2563"/>
      <c r="J23" s="2563"/>
      <c r="K23" s="256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63" t="s">
        <v>2132</v>
      </c>
      <c r="C26" s="2563"/>
      <c r="D26" s="2563"/>
      <c r="E26" s="2563"/>
      <c r="F26" s="2563"/>
      <c r="G26" s="2563"/>
      <c r="H26" s="2563"/>
      <c r="I26" s="2563"/>
      <c r="J26" s="2563"/>
      <c r="K26" s="256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62" t="s">
        <v>2133</v>
      </c>
      <c r="C29" s="2562"/>
      <c r="D29" s="2563"/>
      <c r="E29" s="2563"/>
      <c r="F29" s="2563"/>
      <c r="G29" s="2563"/>
      <c r="H29" s="2563"/>
      <c r="I29" s="2563"/>
      <c r="J29" s="2563"/>
      <c r="K29" s="256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562" t="s">
        <v>2134</v>
      </c>
      <c r="C32" s="2562"/>
      <c r="D32" s="2563"/>
      <c r="E32" s="2563"/>
      <c r="F32" s="2563"/>
      <c r="G32" s="2563"/>
      <c r="H32" s="2563"/>
      <c r="I32" s="2563"/>
      <c r="J32" s="2563"/>
      <c r="K32" s="256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1839</v>
      </c>
      <c r="C36" s="1297"/>
      <c r="L36" s="1378"/>
    </row>
    <row r="37" spans="1:13" ht="9.6" customHeight="1" x14ac:dyDescent="0.2">
      <c r="B37" s="1297" t="s">
        <v>1840</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17" zoomScale="110" zoomScaleNormal="110" workbookViewId="0">
      <selection activeCell="B33" sqref="B33"/>
    </sheetView>
  </sheetViews>
  <sheetFormatPr defaultColWidth="9.140625" defaultRowHeight="12.75" x14ac:dyDescent="0.2"/>
  <cols>
    <col min="1" max="1" width="1.5703125" style="1985" customWidth="1"/>
    <col min="2" max="2" width="21.42578125" style="1985" customWidth="1"/>
    <col min="3" max="3" width="6.140625" style="1985" customWidth="1"/>
    <col min="4" max="4" width="4.42578125" style="1985" customWidth="1"/>
    <col min="5" max="5" width="3.5703125" style="1985" customWidth="1"/>
    <col min="6" max="6" width="20.140625" style="1985" customWidth="1"/>
    <col min="7" max="7" width="3.5703125" style="1987" customWidth="1"/>
    <col min="8" max="8" width="10.5703125" style="1985" customWidth="1"/>
    <col min="9" max="9" width="3.42578125" style="1987" customWidth="1"/>
    <col min="10" max="10" width="15.42578125" style="1985" customWidth="1"/>
    <col min="11" max="11" width="8.5703125" style="1985" customWidth="1"/>
    <col min="12" max="12" width="1.42578125" style="1985" customWidth="1"/>
    <col min="13" max="13" width="3.42578125" style="1985" customWidth="1"/>
    <col min="14" max="16384" width="9.140625" style="1985"/>
  </cols>
  <sheetData>
    <row r="1" spans="1:13" ht="11.1" customHeight="1" x14ac:dyDescent="0.2">
      <c r="B1" s="2548" t="str">
        <f>'Single Audit Cover'!A7</f>
        <v>Northwest Sp Ed Cooperative</v>
      </c>
      <c r="C1" s="2548"/>
      <c r="D1" s="2548"/>
      <c r="E1" s="2548"/>
      <c r="F1" s="2548"/>
      <c r="G1" s="2548"/>
      <c r="H1" s="2548"/>
      <c r="I1" s="2548"/>
      <c r="J1" s="2548"/>
      <c r="K1" s="2548"/>
      <c r="L1" s="1993"/>
      <c r="M1" s="1993"/>
    </row>
    <row r="2" spans="1:13" ht="12" customHeight="1" x14ac:dyDescent="0.2">
      <c r="B2" s="2550">
        <f>'Single Audit Cover'!E7</f>
        <v>8043210061</v>
      </c>
      <c r="C2" s="2550"/>
      <c r="D2" s="2550"/>
      <c r="E2" s="2550"/>
      <c r="F2" s="2550"/>
      <c r="G2" s="2550"/>
      <c r="H2" s="2550"/>
      <c r="I2" s="2550"/>
      <c r="J2" s="2550"/>
      <c r="K2" s="2550"/>
      <c r="L2" s="1994"/>
      <c r="M2" s="1995"/>
    </row>
    <row r="3" spans="1:13" ht="10.35" customHeight="1" x14ac:dyDescent="0.2">
      <c r="B3" s="2564" t="s">
        <v>1285</v>
      </c>
      <c r="C3" s="2564"/>
      <c r="D3" s="2564"/>
      <c r="E3" s="2564"/>
      <c r="F3" s="2564"/>
      <c r="G3" s="2564"/>
      <c r="H3" s="2564"/>
      <c r="I3" s="2564"/>
      <c r="J3" s="2564"/>
      <c r="K3" s="2564"/>
      <c r="L3" s="1996"/>
      <c r="M3" s="1996"/>
    </row>
    <row r="4" spans="1:13" ht="14.25" customHeight="1" x14ac:dyDescent="0.2">
      <c r="B4" s="2565" t="str">
        <f>'Single Audit Cover'!A4</f>
        <v>Year Ending June 30, 2019</v>
      </c>
      <c r="C4" s="2565"/>
      <c r="D4" s="2565"/>
      <c r="E4" s="2565"/>
      <c r="F4" s="2565"/>
      <c r="G4" s="2565"/>
      <c r="H4" s="2565"/>
      <c r="I4" s="2565"/>
      <c r="J4" s="2565"/>
      <c r="K4" s="2565"/>
      <c r="L4" s="1984"/>
      <c r="M4" s="1984"/>
    </row>
    <row r="5" spans="1:13" ht="7.5" customHeight="1" x14ac:dyDescent="0.2">
      <c r="B5" s="1988" t="s">
        <v>1169</v>
      </c>
      <c r="C5" s="1988"/>
    </row>
    <row r="6" spans="1:13" ht="7.5" customHeight="1" x14ac:dyDescent="0.2">
      <c r="B6" s="1997"/>
      <c r="C6" s="1997"/>
      <c r="D6" s="1998"/>
      <c r="E6" s="1998"/>
      <c r="F6" s="1998"/>
      <c r="G6" s="1999"/>
      <c r="H6" s="1998"/>
      <c r="I6" s="1999"/>
      <c r="J6" s="1998"/>
      <c r="K6" s="1998"/>
      <c r="L6" s="2000"/>
    </row>
    <row r="7" spans="1:13" ht="12.75" customHeight="1" x14ac:dyDescent="0.2">
      <c r="A7" s="1989"/>
      <c r="B7" s="2565" t="s">
        <v>1296</v>
      </c>
      <c r="C7" s="2565"/>
      <c r="D7" s="2566"/>
      <c r="E7" s="2566"/>
      <c r="F7" s="2566"/>
      <c r="G7" s="2566"/>
      <c r="H7" s="2566"/>
      <c r="I7" s="2566"/>
      <c r="J7" s="2566"/>
      <c r="K7" s="2566"/>
      <c r="L7" s="2001"/>
    </row>
    <row r="8" spans="1:13" ht="7.5" customHeight="1" x14ac:dyDescent="0.2">
      <c r="B8" s="1986"/>
      <c r="C8" s="1986"/>
      <c r="D8" s="1986"/>
      <c r="E8" s="1986"/>
      <c r="F8" s="1986"/>
      <c r="G8" s="2002"/>
      <c r="H8" s="1986"/>
      <c r="I8" s="2002"/>
      <c r="J8" s="1986"/>
      <c r="K8" s="1986"/>
      <c r="L8" s="2000"/>
    </row>
    <row r="9" spans="1:13" ht="9.6" customHeight="1" x14ac:dyDescent="0.2">
      <c r="B9" s="1998"/>
      <c r="C9" s="1998"/>
      <c r="D9" s="1998"/>
      <c r="E9" s="1998"/>
      <c r="F9" s="1998"/>
      <c r="G9" s="1999"/>
      <c r="H9" s="1998"/>
      <c r="I9" s="1999"/>
      <c r="J9" s="1998"/>
      <c r="K9" s="1998"/>
      <c r="L9" s="2000"/>
    </row>
    <row r="10" spans="1:13" ht="16.5" customHeight="1" x14ac:dyDescent="0.2">
      <c r="B10" s="2003" t="s">
        <v>1739</v>
      </c>
      <c r="C10" s="2004" t="s">
        <v>1988</v>
      </c>
      <c r="D10" s="2005">
        <v>2</v>
      </c>
      <c r="E10" s="1986"/>
      <c r="F10" s="2006" t="s">
        <v>1295</v>
      </c>
      <c r="G10" s="2007"/>
      <c r="H10" s="2008" t="s">
        <v>1294</v>
      </c>
      <c r="I10" s="2007" t="s">
        <v>2069</v>
      </c>
      <c r="J10" s="2009" t="s">
        <v>1293</v>
      </c>
      <c r="K10" s="1986"/>
      <c r="L10" s="2000"/>
    </row>
    <row r="11" spans="1:13" ht="13.5" customHeight="1" x14ac:dyDescent="0.2">
      <c r="B11" s="1986"/>
      <c r="C11" s="1986"/>
      <c r="D11" s="1986"/>
      <c r="E11" s="1986"/>
      <c r="F11" s="1986"/>
      <c r="G11" s="2002"/>
      <c r="H11" s="1986"/>
      <c r="I11" s="2010" t="s">
        <v>1292</v>
      </c>
      <c r="J11" s="1986"/>
      <c r="K11" s="2011">
        <v>2007</v>
      </c>
      <c r="L11" s="2000"/>
    </row>
    <row r="12" spans="1:13" ht="13.5" customHeight="1" x14ac:dyDescent="0.2">
      <c r="B12" s="1990"/>
      <c r="C12" s="1990"/>
      <c r="D12" s="1986"/>
      <c r="E12" s="1986"/>
      <c r="F12" s="1986"/>
      <c r="G12" s="2002"/>
      <c r="H12" s="1986"/>
      <c r="I12" s="2002"/>
      <c r="J12" s="1986"/>
      <c r="L12" s="2000"/>
    </row>
    <row r="13" spans="1:13" s="1989" customFormat="1" ht="13.5" customHeight="1" x14ac:dyDescent="0.2">
      <c r="B13" s="2012" t="s">
        <v>1291</v>
      </c>
      <c r="C13" s="2012"/>
      <c r="D13" s="2013"/>
      <c r="E13" s="2013"/>
      <c r="F13" s="2013"/>
      <c r="G13" s="2014"/>
      <c r="H13" s="2013"/>
      <c r="I13" s="2014"/>
      <c r="J13" s="2013"/>
      <c r="K13" s="2013"/>
      <c r="L13" s="2015"/>
    </row>
    <row r="14" spans="1:13" ht="45.75" customHeight="1" x14ac:dyDescent="0.2">
      <c r="B14" s="2563" t="s">
        <v>2135</v>
      </c>
      <c r="C14" s="2563"/>
      <c r="D14" s="2563"/>
      <c r="E14" s="2563"/>
      <c r="F14" s="2563"/>
      <c r="G14" s="2563"/>
      <c r="H14" s="2563"/>
      <c r="I14" s="2563"/>
      <c r="J14" s="2563"/>
      <c r="K14" s="2563"/>
      <c r="L14" s="2016"/>
    </row>
    <row r="15" spans="1:13" ht="4.5" customHeight="1" x14ac:dyDescent="0.2">
      <c r="B15" s="2017"/>
      <c r="C15" s="2017"/>
      <c r="D15" s="2018"/>
      <c r="E15" s="2018"/>
      <c r="F15" s="2018"/>
      <c r="H15" s="2018"/>
      <c r="J15" s="2018"/>
      <c r="K15" s="2018"/>
      <c r="L15" s="2016"/>
    </row>
    <row r="16" spans="1:13" s="1989" customFormat="1" ht="13.5" customHeight="1" x14ac:dyDescent="0.2">
      <c r="B16" s="2012" t="s">
        <v>1290</v>
      </c>
      <c r="C16" s="2012"/>
      <c r="D16" s="2013"/>
      <c r="E16" s="2013"/>
      <c r="F16" s="2013"/>
      <c r="G16" s="2014"/>
      <c r="H16" s="2013"/>
      <c r="I16" s="2014"/>
      <c r="J16" s="2013"/>
      <c r="K16" s="2013"/>
      <c r="L16" s="2015"/>
    </row>
    <row r="17" spans="2:12" ht="45.75" customHeight="1" x14ac:dyDescent="0.2">
      <c r="B17" s="2563" t="s">
        <v>2136</v>
      </c>
      <c r="C17" s="2563"/>
      <c r="D17" s="2563"/>
      <c r="E17" s="2563"/>
      <c r="F17" s="2563"/>
      <c r="G17" s="2563"/>
      <c r="H17" s="2563"/>
      <c r="I17" s="2563"/>
      <c r="J17" s="2563"/>
      <c r="K17" s="2563"/>
      <c r="L17" s="2000"/>
    </row>
    <row r="18" spans="2:12" ht="4.5" customHeight="1" x14ac:dyDescent="0.2">
      <c r="B18" s="2017"/>
      <c r="C18" s="2017"/>
      <c r="L18" s="2000"/>
    </row>
    <row r="19" spans="2:12" s="1989" customFormat="1" ht="13.5" customHeight="1" x14ac:dyDescent="0.2">
      <c r="B19" s="2012" t="s">
        <v>1740</v>
      </c>
      <c r="C19" s="2012"/>
      <c r="D19" s="2013"/>
      <c r="E19" s="2013"/>
      <c r="F19" s="2013"/>
      <c r="G19" s="2014"/>
      <c r="H19" s="2013"/>
      <c r="I19" s="2014"/>
      <c r="J19" s="2013"/>
      <c r="K19" s="2013"/>
      <c r="L19" s="2015"/>
    </row>
    <row r="20" spans="2:12" ht="45.75" customHeight="1" x14ac:dyDescent="0.2">
      <c r="B20" s="2567"/>
      <c r="C20" s="2567"/>
      <c r="D20" s="2563"/>
      <c r="E20" s="2563"/>
      <c r="F20" s="2563"/>
      <c r="G20" s="2563"/>
      <c r="H20" s="2563"/>
      <c r="I20" s="2563"/>
      <c r="J20" s="2563"/>
      <c r="K20" s="2563"/>
      <c r="L20" s="2000"/>
    </row>
    <row r="21" spans="2:12" ht="4.5" customHeight="1" x14ac:dyDescent="0.2">
      <c r="B21" s="2019"/>
      <c r="C21" s="2019"/>
      <c r="L21" s="2000"/>
    </row>
    <row r="22" spans="2:12" ht="13.5" customHeight="1" x14ac:dyDescent="0.2">
      <c r="B22" s="2012" t="s">
        <v>1289</v>
      </c>
      <c r="C22" s="2012"/>
      <c r="D22" s="1998"/>
      <c r="E22" s="1998"/>
      <c r="F22" s="1998"/>
      <c r="G22" s="1999"/>
      <c r="H22" s="1998"/>
      <c r="I22" s="1999"/>
      <c r="J22" s="1998"/>
      <c r="K22" s="1998"/>
      <c r="L22" s="2000"/>
    </row>
    <row r="23" spans="2:12" ht="45" customHeight="1" x14ac:dyDescent="0.2">
      <c r="B23" s="2563" t="s">
        <v>2137</v>
      </c>
      <c r="C23" s="2563"/>
      <c r="D23" s="2563"/>
      <c r="E23" s="2563"/>
      <c r="F23" s="2563"/>
      <c r="G23" s="2563"/>
      <c r="H23" s="2563"/>
      <c r="I23" s="2563"/>
      <c r="J23" s="2563"/>
      <c r="K23" s="2563"/>
      <c r="L23" s="2000"/>
    </row>
    <row r="24" spans="2:12" ht="4.5" customHeight="1" x14ac:dyDescent="0.2">
      <c r="B24" s="2017"/>
      <c r="C24" s="2017"/>
      <c r="L24" s="2000"/>
    </row>
    <row r="25" spans="2:12" ht="13.5" customHeight="1" x14ac:dyDescent="0.2">
      <c r="B25" s="2012" t="s">
        <v>1288</v>
      </c>
      <c r="C25" s="2012"/>
      <c r="D25" s="1998"/>
      <c r="E25" s="1998"/>
      <c r="F25" s="1998"/>
      <c r="G25" s="1999"/>
      <c r="H25" s="1998"/>
      <c r="I25" s="1999"/>
      <c r="J25" s="1998"/>
      <c r="K25" s="1998"/>
      <c r="L25" s="2000"/>
    </row>
    <row r="26" spans="2:12" ht="45.75" customHeight="1" x14ac:dyDescent="0.2">
      <c r="B26" s="2563" t="s">
        <v>2138</v>
      </c>
      <c r="C26" s="2563"/>
      <c r="D26" s="2563"/>
      <c r="E26" s="2563"/>
      <c r="F26" s="2563"/>
      <c r="G26" s="2563"/>
      <c r="H26" s="2563"/>
      <c r="I26" s="2563"/>
      <c r="J26" s="2563"/>
      <c r="K26" s="2563"/>
      <c r="L26" s="2000"/>
    </row>
    <row r="27" spans="2:12" ht="4.5" customHeight="1" x14ac:dyDescent="0.2">
      <c r="B27" s="2017"/>
      <c r="C27" s="2017"/>
      <c r="L27" s="2000"/>
    </row>
    <row r="28" spans="2:12" ht="13.5" customHeight="1" x14ac:dyDescent="0.2">
      <c r="B28" s="2020" t="s">
        <v>1287</v>
      </c>
      <c r="C28" s="2020"/>
      <c r="D28" s="1998"/>
      <c r="E28" s="1998"/>
      <c r="F28" s="1998"/>
      <c r="G28" s="1999"/>
      <c r="H28" s="1998"/>
      <c r="I28" s="1999"/>
      <c r="J28" s="1998"/>
      <c r="K28" s="1998"/>
      <c r="L28" s="2000"/>
    </row>
    <row r="29" spans="2:12" ht="45.75" customHeight="1" x14ac:dyDescent="0.2">
      <c r="B29" s="2562" t="s">
        <v>2139</v>
      </c>
      <c r="C29" s="2562"/>
      <c r="D29" s="2563"/>
      <c r="E29" s="2563"/>
      <c r="F29" s="2563"/>
      <c r="G29" s="2563"/>
      <c r="H29" s="2563"/>
      <c r="I29" s="2563"/>
      <c r="J29" s="2563"/>
      <c r="K29" s="2563"/>
      <c r="L29" s="2000"/>
    </row>
    <row r="30" spans="2:12" ht="4.5" customHeight="1" x14ac:dyDescent="0.2">
      <c r="B30" s="2021"/>
      <c r="C30" s="2021"/>
      <c r="D30" s="1986"/>
      <c r="E30" s="1986"/>
      <c r="F30" s="1986"/>
      <c r="G30" s="2002"/>
      <c r="H30" s="1986"/>
      <c r="I30" s="2002"/>
      <c r="J30" s="1986"/>
      <c r="K30" s="1986"/>
      <c r="L30" s="2000"/>
    </row>
    <row r="31" spans="2:12" s="1986" customFormat="1" ht="13.5" customHeight="1" x14ac:dyDescent="0.2">
      <c r="B31" s="2022" t="s">
        <v>1741</v>
      </c>
      <c r="C31" s="2022"/>
      <c r="D31" s="1997"/>
      <c r="E31" s="1998"/>
      <c r="F31" s="1998"/>
      <c r="G31" s="1999"/>
      <c r="H31" s="1998"/>
      <c r="I31" s="1999"/>
      <c r="J31" s="1998"/>
      <c r="K31" s="1998"/>
      <c r="L31" s="2000"/>
    </row>
    <row r="32" spans="2:12" s="1986" customFormat="1" ht="44.25" customHeight="1" x14ac:dyDescent="0.2">
      <c r="B32" s="2562" t="s">
        <v>2140</v>
      </c>
      <c r="C32" s="2562"/>
      <c r="D32" s="2563"/>
      <c r="E32" s="2563"/>
      <c r="F32" s="2563"/>
      <c r="G32" s="2563"/>
      <c r="H32" s="2563"/>
      <c r="I32" s="2563"/>
      <c r="J32" s="2563"/>
      <c r="K32" s="2563"/>
      <c r="L32" s="2000"/>
    </row>
    <row r="33" spans="1:13" s="1986" customFormat="1" ht="4.5" customHeight="1" x14ac:dyDescent="0.2">
      <c r="B33" s="2021"/>
      <c r="C33" s="2021"/>
      <c r="G33" s="2002"/>
      <c r="I33" s="2002"/>
      <c r="L33" s="2000"/>
    </row>
    <row r="34" spans="1:13" s="1986" customFormat="1" x14ac:dyDescent="0.2">
      <c r="A34" s="1991"/>
      <c r="B34" s="2023"/>
      <c r="C34" s="2023"/>
      <c r="D34" s="2023"/>
      <c r="E34" s="2023"/>
      <c r="F34" s="2023"/>
      <c r="G34" s="2024"/>
      <c r="H34" s="2023"/>
      <c r="I34" s="2024"/>
      <c r="J34" s="2023"/>
      <c r="K34" s="2023"/>
      <c r="L34" s="2000"/>
    </row>
    <row r="35" spans="1:13" ht="11.85" customHeight="1" x14ac:dyDescent="0.2">
      <c r="B35" s="2025" t="s">
        <v>1742</v>
      </c>
      <c r="C35" s="2025"/>
      <c r="D35" s="1986"/>
      <c r="E35" s="1986"/>
      <c r="F35" s="1986"/>
      <c r="L35" s="2000"/>
    </row>
    <row r="36" spans="1:13" ht="9.6" customHeight="1" x14ac:dyDescent="0.2">
      <c r="B36" s="1992" t="s">
        <v>1839</v>
      </c>
      <c r="C36" s="1992"/>
      <c r="L36" s="2000"/>
    </row>
    <row r="37" spans="1:13" ht="9.6" customHeight="1" x14ac:dyDescent="0.2">
      <c r="B37" s="1992" t="s">
        <v>1840</v>
      </c>
      <c r="C37" s="1992"/>
    </row>
    <row r="38" spans="1:13" ht="11.85" customHeight="1" x14ac:dyDescent="0.2">
      <c r="B38" s="2026" t="s">
        <v>1743</v>
      </c>
      <c r="C38" s="2026"/>
    </row>
    <row r="39" spans="1:13" ht="9.6" customHeight="1" x14ac:dyDescent="0.2">
      <c r="B39" s="1992" t="s">
        <v>1286</v>
      </c>
      <c r="C39" s="1992"/>
      <c r="M39" s="2027"/>
    </row>
    <row r="40" spans="1:13" ht="12.6" customHeight="1" x14ac:dyDescent="0.2">
      <c r="B40" s="2026" t="s">
        <v>1744</v>
      </c>
      <c r="C40" s="2026"/>
      <c r="M40" s="2027"/>
    </row>
    <row r="41" spans="1:13" ht="9.6" customHeight="1" x14ac:dyDescent="0.2">
      <c r="B41" s="1992"/>
      <c r="C41" s="1992"/>
      <c r="M41" s="202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zoomScale="110" zoomScaleNormal="110" workbookViewId="0">
      <selection activeCell="I8" sqref="I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71" t="str">
        <f>'Single Audit Cover'!A7</f>
        <v>Northwest Sp Ed Cooperative</v>
      </c>
      <c r="C1" s="2571"/>
      <c r="D1" s="2571"/>
      <c r="E1" s="2571"/>
      <c r="F1" s="2571"/>
      <c r="G1" s="2571"/>
      <c r="H1" s="2571"/>
      <c r="I1" s="2571"/>
      <c r="J1" s="2571"/>
      <c r="K1" s="2571"/>
      <c r="L1" s="1449"/>
    </row>
    <row r="2" spans="1:12" ht="12.75" customHeight="1" x14ac:dyDescent="0.2">
      <c r="B2" s="2572">
        <f>'Single Audit Cover'!E7</f>
        <v>8043210061</v>
      </c>
      <c r="C2" s="2572"/>
      <c r="D2" s="2572"/>
      <c r="E2" s="2572"/>
      <c r="F2" s="2572"/>
      <c r="G2" s="2572"/>
      <c r="H2" s="2572"/>
      <c r="I2" s="2572"/>
      <c r="J2" s="2572"/>
      <c r="K2" s="2572"/>
      <c r="L2" s="1450"/>
    </row>
    <row r="3" spans="1:12" ht="12.75" customHeight="1" x14ac:dyDescent="0.2">
      <c r="B3" s="2564" t="s">
        <v>1285</v>
      </c>
      <c r="C3" s="2564"/>
      <c r="D3" s="2564"/>
      <c r="E3" s="2564"/>
      <c r="F3" s="2564"/>
      <c r="G3" s="2564"/>
      <c r="H3" s="2564"/>
      <c r="I3" s="2564"/>
      <c r="J3" s="2564"/>
      <c r="K3" s="2564"/>
      <c r="L3" s="1374"/>
    </row>
    <row r="4" spans="1:12" ht="12.75" customHeight="1" x14ac:dyDescent="0.2">
      <c r="B4" s="2564" t="str">
        <f>'Single Audit Cover'!A4</f>
        <v>Year Ending June 30, 2019</v>
      </c>
      <c r="C4" s="2564"/>
      <c r="D4" s="2564"/>
      <c r="E4" s="2564"/>
      <c r="F4" s="2564"/>
      <c r="G4" s="2564"/>
      <c r="H4" s="2564"/>
      <c r="I4" s="2564"/>
      <c r="J4" s="2564"/>
      <c r="K4" s="2564"/>
      <c r="L4" s="1374"/>
    </row>
    <row r="5" spans="1:12" ht="5.25" customHeight="1" x14ac:dyDescent="0.2">
      <c r="B5" s="1257" t="s">
        <v>1169</v>
      </c>
      <c r="C5" s="1257"/>
      <c r="L5" s="322"/>
    </row>
    <row r="6" spans="1:12" ht="30.75" customHeight="1" x14ac:dyDescent="0.2">
      <c r="A6" s="322"/>
      <c r="B6" s="2573" t="s">
        <v>1308</v>
      </c>
      <c r="C6" s="2573"/>
      <c r="D6" s="2573"/>
      <c r="E6" s="2573"/>
      <c r="F6" s="2573"/>
      <c r="G6" s="2573"/>
      <c r="H6" s="2573"/>
      <c r="I6" s="2573"/>
      <c r="J6" s="2573"/>
      <c r="K6" s="2573"/>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1988</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555"/>
      <c r="G12" s="2555"/>
      <c r="H12" s="2555"/>
      <c r="I12" s="2555"/>
      <c r="J12" s="2555"/>
      <c r="K12" s="255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68"/>
      <c r="E14" s="2568"/>
      <c r="F14" s="2568"/>
      <c r="H14" s="1459" t="s">
        <v>1303</v>
      </c>
      <c r="I14" s="2569"/>
      <c r="J14" s="2569"/>
      <c r="K14" s="256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69"/>
      <c r="E16" s="2569"/>
      <c r="F16" s="2569"/>
      <c r="G16" s="2569"/>
      <c r="H16" s="2569"/>
      <c r="I16" s="2569"/>
      <c r="J16" s="2569"/>
      <c r="K16" s="2569"/>
      <c r="L16" s="322"/>
    </row>
    <row r="17" spans="2:12" ht="13.5" customHeight="1" x14ac:dyDescent="0.2">
      <c r="B17" s="1384" t="s">
        <v>1301</v>
      </c>
      <c r="C17" s="1384"/>
      <c r="D17" s="2570"/>
      <c r="E17" s="2570"/>
      <c r="F17" s="2570"/>
      <c r="G17" s="2570"/>
      <c r="H17" s="2570"/>
      <c r="I17" s="2570"/>
      <c r="J17" s="2570"/>
      <c r="K17" s="257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63"/>
      <c r="C20" s="2563"/>
      <c r="D20" s="2563"/>
      <c r="E20" s="2563"/>
      <c r="F20" s="2563"/>
      <c r="G20" s="2563"/>
      <c r="H20" s="2563"/>
      <c r="I20" s="2563"/>
      <c r="J20" s="2563"/>
      <c r="K20" s="256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563"/>
      <c r="C23" s="2563"/>
      <c r="D23" s="2563"/>
      <c r="E23" s="2563"/>
      <c r="F23" s="2563"/>
      <c r="G23" s="2563"/>
      <c r="H23" s="2563"/>
      <c r="I23" s="2563"/>
      <c r="J23" s="2563"/>
      <c r="K23" s="256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563"/>
      <c r="C26" s="2563"/>
      <c r="D26" s="2563"/>
      <c r="E26" s="2563"/>
      <c r="F26" s="2563"/>
      <c r="G26" s="2563"/>
      <c r="H26" s="2563"/>
      <c r="I26" s="2563"/>
      <c r="J26" s="2563"/>
      <c r="K26" s="256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563"/>
      <c r="C29" s="2563"/>
      <c r="D29" s="2563"/>
      <c r="E29" s="2563"/>
      <c r="F29" s="2563"/>
      <c r="G29" s="2563"/>
      <c r="H29" s="2563"/>
      <c r="I29" s="2563"/>
      <c r="J29" s="2563"/>
      <c r="K29" s="256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63"/>
      <c r="C32" s="2563"/>
      <c r="D32" s="2563"/>
      <c r="E32" s="2563"/>
      <c r="F32" s="2563"/>
      <c r="G32" s="2563"/>
      <c r="H32" s="2563"/>
      <c r="I32" s="2563"/>
      <c r="J32" s="2563"/>
      <c r="K32" s="256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63"/>
      <c r="C35" s="2563"/>
      <c r="D35" s="2563"/>
      <c r="E35" s="2563"/>
      <c r="F35" s="2563"/>
      <c r="G35" s="2563"/>
      <c r="H35" s="2563"/>
      <c r="I35" s="2563"/>
      <c r="J35" s="2563"/>
      <c r="K35" s="256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63"/>
      <c r="C38" s="2563"/>
      <c r="D38" s="2563"/>
      <c r="E38" s="2563"/>
      <c r="F38" s="2563"/>
      <c r="G38" s="2563"/>
      <c r="H38" s="2563"/>
      <c r="I38" s="2563"/>
      <c r="J38" s="2563"/>
      <c r="K38" s="256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563"/>
      <c r="C41" s="2563"/>
      <c r="D41" s="2563"/>
      <c r="E41" s="2563"/>
      <c r="F41" s="2563"/>
      <c r="G41" s="2563"/>
      <c r="H41" s="2563"/>
      <c r="I41" s="2563"/>
      <c r="J41" s="2563"/>
      <c r="K41" s="256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48" t="str">
        <f>'Single Audit Cover'!A7</f>
        <v>Northwest Sp Ed Cooperative</v>
      </c>
      <c r="C1" s="2548"/>
      <c r="D1" s="2548"/>
      <c r="E1" s="1469"/>
    </row>
    <row r="2" spans="2:5" s="1279" customFormat="1" ht="12.75" customHeight="1" x14ac:dyDescent="0.2">
      <c r="B2" s="2550">
        <f>'Single Audit Cover'!E7</f>
        <v>8043210061</v>
      </c>
      <c r="C2" s="2550"/>
      <c r="D2" s="2550"/>
      <c r="E2" s="1470"/>
    </row>
    <row r="3" spans="2:5" ht="12.75" customHeight="1" x14ac:dyDescent="0.2">
      <c r="B3" s="2564" t="s">
        <v>1763</v>
      </c>
      <c r="C3" s="2564"/>
      <c r="D3" s="2564"/>
      <c r="E3" s="1271"/>
    </row>
    <row r="4" spans="2:5" s="1279" customFormat="1" ht="12.75" customHeight="1" x14ac:dyDescent="0.2">
      <c r="B4" s="2574" t="str">
        <f>'Single Audit Cover'!A4</f>
        <v>Year Ending June 30, 2019</v>
      </c>
      <c r="C4" s="2574"/>
      <c r="D4" s="257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2141</v>
      </c>
      <c r="C8" s="324" t="s">
        <v>2149</v>
      </c>
      <c r="D8" s="324" t="s">
        <v>2147</v>
      </c>
      <c r="E8" s="324"/>
    </row>
    <row r="9" spans="2:5" ht="13.5" customHeight="1" x14ac:dyDescent="0.2">
      <c r="B9" s="1475"/>
      <c r="C9" s="323"/>
      <c r="D9" s="323"/>
      <c r="E9" s="323"/>
    </row>
    <row r="10" spans="2:5" ht="13.5" customHeight="1" x14ac:dyDescent="0.2">
      <c r="B10" s="1474" t="s">
        <v>2142</v>
      </c>
      <c r="C10" s="323" t="s">
        <v>2146</v>
      </c>
      <c r="D10" s="323" t="s">
        <v>2148</v>
      </c>
      <c r="E10" s="323"/>
    </row>
    <row r="11" spans="2:5" ht="13.5" customHeight="1" x14ac:dyDescent="0.2">
      <c r="B11" s="1474"/>
      <c r="C11" s="323"/>
      <c r="D11" s="323"/>
      <c r="E11" s="323"/>
    </row>
    <row r="12" spans="2:5" ht="13.5" customHeight="1" x14ac:dyDescent="0.2">
      <c r="B12" s="1474" t="s">
        <v>2143</v>
      </c>
      <c r="C12" s="323" t="s">
        <v>2145</v>
      </c>
      <c r="D12" s="323" t="s">
        <v>2147</v>
      </c>
      <c r="E12" s="323"/>
    </row>
    <row r="13" spans="2:5" ht="13.5" customHeight="1" x14ac:dyDescent="0.2">
      <c r="B13" s="1474"/>
      <c r="C13" s="323"/>
      <c r="D13" s="323"/>
      <c r="E13" s="323"/>
    </row>
    <row r="14" spans="2:5" ht="13.5" customHeight="1" x14ac:dyDescent="0.2">
      <c r="B14" s="1474" t="s">
        <v>2144</v>
      </c>
      <c r="C14" s="323" t="s">
        <v>2146</v>
      </c>
      <c r="D14" s="323" t="s">
        <v>2147</v>
      </c>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X29" sqref="X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72" t="s">
        <v>386</v>
      </c>
      <c r="B1" s="2172"/>
      <c r="C1" s="2172"/>
      <c r="D1" s="2172"/>
      <c r="E1" s="2172"/>
      <c r="F1" s="2172"/>
      <c r="G1" s="2172"/>
      <c r="H1" s="2172"/>
      <c r="I1" s="2172"/>
      <c r="J1" s="2172"/>
      <c r="K1" s="2172"/>
      <c r="L1" s="2172"/>
      <c r="M1" s="217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82" t="str">
        <f>IF(SUM(J10)&lt;=0.0999999,"","Enter the Tax Rates by moving the decimal two places to the left.")</f>
        <v/>
      </c>
      <c r="E11" s="2183"/>
      <c r="F11" s="2183"/>
      <c r="G11" s="2183"/>
      <c r="H11" s="2183"/>
      <c r="I11" s="2183"/>
      <c r="J11" s="218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4170305</v>
      </c>
      <c r="E16" s="356"/>
      <c r="F16" s="1733">
        <f>SUM('Acct Summary 7-8'!C17,'Acct Summary 7-8'!D17,'Acct Summary 7-8'!F17)</f>
        <v>4316644</v>
      </c>
      <c r="G16" s="356"/>
      <c r="H16" s="1733">
        <f>SUM(D16-F16)</f>
        <v>-146339</v>
      </c>
      <c r="I16" s="222"/>
      <c r="J16" s="1733">
        <f>SUM('Acct Summary 7-8'!C81,'Acct Summary 7-8'!D81,'Acct Summary 7-8'!F81,'Acct Summary 7-8'!I81)</f>
        <v>1020530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73"/>
      <c r="C54" s="2174"/>
      <c r="D54" s="2174"/>
      <c r="E54" s="2174"/>
      <c r="F54" s="2174"/>
      <c r="G54" s="2174"/>
      <c r="H54" s="2174"/>
      <c r="I54" s="2174"/>
      <c r="J54" s="2174"/>
      <c r="K54" s="2174"/>
      <c r="L54" s="2175"/>
      <c r="M54" s="380"/>
    </row>
    <row r="55" spans="1:13" ht="12.75" customHeight="1" x14ac:dyDescent="0.2">
      <c r="B55" s="2176"/>
      <c r="C55" s="2177"/>
      <c r="D55" s="2177"/>
      <c r="E55" s="2177"/>
      <c r="F55" s="2177"/>
      <c r="G55" s="2177"/>
      <c r="H55" s="2177"/>
      <c r="I55" s="2177"/>
      <c r="J55" s="2177"/>
      <c r="K55" s="2177"/>
      <c r="L55" s="2178"/>
      <c r="M55" s="380"/>
    </row>
    <row r="56" spans="1:13" ht="12.75" customHeight="1" x14ac:dyDescent="0.2">
      <c r="B56" s="2176"/>
      <c r="C56" s="2177"/>
      <c r="D56" s="2177"/>
      <c r="E56" s="2177"/>
      <c r="F56" s="2177"/>
      <c r="G56" s="2177"/>
      <c r="H56" s="2177"/>
      <c r="I56" s="2177"/>
      <c r="J56" s="2177"/>
      <c r="K56" s="2177"/>
      <c r="L56" s="2178"/>
      <c r="M56" s="222"/>
    </row>
    <row r="57" spans="1:13" ht="12.75" customHeight="1" x14ac:dyDescent="0.2">
      <c r="B57" s="2176"/>
      <c r="C57" s="2177"/>
      <c r="D57" s="2177"/>
      <c r="E57" s="2177"/>
      <c r="F57" s="2177"/>
      <c r="G57" s="2177"/>
      <c r="H57" s="2177"/>
      <c r="I57" s="2177"/>
      <c r="J57" s="2177"/>
      <c r="K57" s="2177"/>
      <c r="L57" s="2178"/>
      <c r="M57" s="222"/>
    </row>
    <row r="58" spans="1:13" x14ac:dyDescent="0.2">
      <c r="B58" s="2179"/>
      <c r="C58" s="2180"/>
      <c r="D58" s="2180"/>
      <c r="E58" s="2180"/>
      <c r="F58" s="2180"/>
      <c r="G58" s="2180"/>
      <c r="H58" s="2180"/>
      <c r="I58" s="2180"/>
      <c r="J58" s="2180"/>
      <c r="K58" s="2180"/>
      <c r="L58" s="218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84"/>
      <c r="D61" s="218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10" zoomScale="110" zoomScaleNormal="110" workbookViewId="0">
      <selection activeCell="X29" sqref="X2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7"/>
      <c r="B1" s="2188"/>
      <c r="C1" s="2188"/>
      <c r="D1" s="384"/>
      <c r="E1" s="384"/>
      <c r="F1" s="384"/>
      <c r="G1" s="384"/>
      <c r="H1" s="384"/>
      <c r="I1" s="384"/>
      <c r="J1" s="384"/>
      <c r="K1" s="384"/>
      <c r="L1" s="384"/>
      <c r="M1" s="384"/>
      <c r="N1" s="384"/>
      <c r="O1" s="2187"/>
      <c r="P1" s="2188"/>
      <c r="Q1" s="2188"/>
    </row>
    <row r="2" spans="1:18" ht="15" x14ac:dyDescent="0.2">
      <c r="A2" s="2191" t="s">
        <v>556</v>
      </c>
      <c r="B2" s="2191"/>
      <c r="C2" s="2191"/>
      <c r="D2" s="2191"/>
      <c r="E2" s="2191"/>
      <c r="F2" s="2191"/>
      <c r="G2" s="2191"/>
      <c r="H2" s="2191"/>
      <c r="I2" s="2191"/>
      <c r="J2" s="2191"/>
      <c r="K2" s="2191"/>
      <c r="L2" s="2191"/>
      <c r="M2" s="2191"/>
      <c r="N2" s="2191"/>
      <c r="O2" s="2191"/>
      <c r="P2" s="2191"/>
      <c r="Q2" s="2191"/>
      <c r="R2" s="2191"/>
    </row>
    <row r="3" spans="1:18" ht="12.75" x14ac:dyDescent="0.2">
      <c r="A3" s="2192" t="s">
        <v>1413</v>
      </c>
      <c r="B3" s="2192"/>
      <c r="C3" s="2192"/>
      <c r="D3" s="2192"/>
      <c r="E3" s="2192"/>
      <c r="F3" s="2192"/>
      <c r="G3" s="2192"/>
      <c r="H3" s="2192"/>
      <c r="I3" s="2192"/>
      <c r="J3" s="2192"/>
      <c r="K3" s="2192"/>
      <c r="L3" s="2192"/>
      <c r="M3" s="2192"/>
      <c r="N3" s="2192"/>
      <c r="O3" s="2192"/>
      <c r="P3" s="2192"/>
      <c r="Q3" s="2192"/>
      <c r="R3" s="2192"/>
    </row>
    <row r="4" spans="1:18" x14ac:dyDescent="0.2">
      <c r="A4" s="2193" t="s">
        <v>1554</v>
      </c>
      <c r="B4" s="2193"/>
      <c r="C4" s="2193"/>
      <c r="D4" s="2193"/>
      <c r="E4" s="2193"/>
      <c r="F4" s="2193"/>
      <c r="G4" s="2193"/>
      <c r="H4" s="2193"/>
      <c r="I4" s="2193"/>
      <c r="J4" s="2193"/>
      <c r="K4" s="2193"/>
      <c r="L4" s="2193"/>
      <c r="M4" s="2193"/>
      <c r="N4" s="2193"/>
      <c r="O4" s="2193"/>
      <c r="P4" s="2193"/>
      <c r="Q4" s="2193"/>
      <c r="R4" s="219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Northwest Sp Ed Cooperative</v>
      </c>
      <c r="E7" s="391"/>
      <c r="G7" s="252"/>
      <c r="H7" s="387"/>
      <c r="I7" s="387"/>
      <c r="J7" s="387"/>
      <c r="K7" s="387"/>
      <c r="L7" s="329"/>
      <c r="M7" s="329"/>
      <c r="N7" s="329"/>
      <c r="O7" s="329"/>
      <c r="P7" s="329"/>
    </row>
    <row r="8" spans="1:18" ht="12.75" x14ac:dyDescent="0.2">
      <c r="A8" s="329"/>
      <c r="B8" s="329"/>
      <c r="C8" s="389" t="s">
        <v>1125</v>
      </c>
      <c r="D8" s="392">
        <f>COVER!A13</f>
        <v>8043210061</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1020530</v>
      </c>
      <c r="I12" s="404"/>
      <c r="J12" s="404"/>
      <c r="K12" s="405">
        <f>TRUNC((H12/H13*100000),5)/100000</f>
        <v>0.24471351610000003</v>
      </c>
      <c r="L12" s="406"/>
      <c r="M12" s="360" t="s">
        <v>1144</v>
      </c>
      <c r="N12" s="360"/>
      <c r="O12" s="407">
        <v>0.35</v>
      </c>
      <c r="P12" s="218"/>
      <c r="Q12" s="218"/>
    </row>
    <row r="13" spans="1:18" s="408" customFormat="1" ht="12.75" x14ac:dyDescent="0.2">
      <c r="A13" s="218"/>
      <c r="B13" s="401"/>
      <c r="C13" s="2189" t="s">
        <v>1324</v>
      </c>
      <c r="D13" s="2190"/>
      <c r="E13" s="218"/>
      <c r="F13" s="409" t="s">
        <v>793</v>
      </c>
      <c r="G13" s="402"/>
      <c r="H13" s="403">
        <f>SUM('Acct Summary 7-8'!C8+'Acct Summary 7-8'!D8+'Acct Summary 7-8'!F8+'Acct Summary 7-8'!I8)+H14</f>
        <v>4170305</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4316644</v>
      </c>
      <c r="I17" s="404"/>
      <c r="J17" s="416"/>
      <c r="K17" s="405">
        <f>TRUNC((H17/H18*100000),5)/100000</f>
        <v>1.0350907187</v>
      </c>
      <c r="L17" s="406"/>
      <c r="M17" s="417" t="s">
        <v>1171</v>
      </c>
      <c r="O17" s="418" t="str">
        <f>IF(AND(O16="2", J20 &gt; 2),"1",IF(AND(O16 = "1", J20 &gt; 2),"2",IF(AND(O16="1", J20 &gt;1),"1","0")))</f>
        <v>0</v>
      </c>
      <c r="P17" s="218"/>
    </row>
    <row r="18" spans="1:18" s="408" customFormat="1" ht="11.25" x14ac:dyDescent="0.2">
      <c r="A18" s="218"/>
      <c r="B18" s="401"/>
      <c r="C18" s="2189" t="s">
        <v>1317</v>
      </c>
      <c r="D18" s="2190"/>
      <c r="E18" s="218"/>
      <c r="F18" s="419" t="s">
        <v>794</v>
      </c>
      <c r="G18" s="402"/>
      <c r="H18" s="403">
        <f>SUM('Acct Summary 7-8'!C8+'Acct Summary 7-8'!D8+'Acct Summary 7-8'!F8+'Acct Summary 7-8'!I8)+H19</f>
        <v>4170305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4.1239825999999997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86" t="s">
        <v>1412</v>
      </c>
      <c r="D24" s="2186"/>
      <c r="E24" s="218"/>
      <c r="F24" s="218" t="s">
        <v>445</v>
      </c>
      <c r="G24" s="402"/>
      <c r="H24" s="403">
        <f>SUM('Assets-Liab 5-6'!C4+'Assets-Liab 5-6'!D4+'Assets-Liab 5-6'!F4+'Assets-Liab 5-6'!I4+'Assets-Liab 5-6'!C5+'Assets-Liab 5-6'!D5+'Assets-Liab 5-6'!F5+'Assets-Liab 5-6'!I5)</f>
        <v>754075</v>
      </c>
      <c r="I24" s="422"/>
      <c r="J24" s="422"/>
      <c r="K24" s="423">
        <f>TRUNC(((H24/H25*100000)/100000),2)</f>
        <v>62.88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11990.67778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Normal="100" workbookViewId="0">
      <pane ySplit="2" topLeftCell="A18" activePane="bottomLeft" state="frozen"/>
      <selection activeCell="X29" sqref="X29"/>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9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6" t="s">
        <v>973</v>
      </c>
      <c r="B3" s="2197"/>
      <c r="C3" s="1559"/>
      <c r="D3" s="1560"/>
      <c r="E3" s="1560"/>
      <c r="F3" s="1560"/>
      <c r="G3" s="1560"/>
      <c r="H3" s="1560"/>
      <c r="I3" s="1560"/>
      <c r="J3" s="1560"/>
      <c r="K3" s="1560"/>
      <c r="L3" s="1560"/>
      <c r="M3" s="1561"/>
      <c r="N3" s="1562"/>
    </row>
    <row r="4" spans="1:14" ht="13.5" customHeight="1" x14ac:dyDescent="0.2">
      <c r="A4" s="463" t="s">
        <v>1651</v>
      </c>
      <c r="B4" s="464"/>
      <c r="C4" s="465">
        <f>9432+705158</f>
        <v>714590</v>
      </c>
      <c r="D4" s="466"/>
      <c r="E4" s="466"/>
      <c r="F4" s="466"/>
      <c r="G4" s="466"/>
      <c r="H4" s="466"/>
      <c r="I4" s="466"/>
      <c r="J4" s="467"/>
      <c r="K4" s="466"/>
      <c r="L4" s="466">
        <v>1541</v>
      </c>
      <c r="M4" s="468"/>
      <c r="N4" s="469"/>
    </row>
    <row r="5" spans="1:14" x14ac:dyDescent="0.2">
      <c r="A5" s="463" t="s">
        <v>992</v>
      </c>
      <c r="B5" s="470">
        <v>120</v>
      </c>
      <c r="C5" s="465">
        <v>39485</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779485</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2533</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1536093</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1541</v>
      </c>
      <c r="M13" s="468"/>
      <c r="N13" s="469"/>
    </row>
    <row r="14" spans="1:14" ht="18" customHeight="1" thickTop="1" x14ac:dyDescent="0.2">
      <c r="A14" s="2198" t="s">
        <v>147</v>
      </c>
      <c r="B14" s="219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35415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35415</v>
      </c>
      <c r="N23" s="1688">
        <f>SUM(N21:N22)</f>
        <v>0</v>
      </c>
    </row>
    <row r="24" spans="1:14" ht="18" customHeight="1" thickTop="1" x14ac:dyDescent="0.2">
      <c r="A24" s="2200" t="s">
        <v>598</v>
      </c>
      <c r="B24" s="220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294612</v>
      </c>
      <c r="D26" s="467"/>
      <c r="E26" s="467"/>
      <c r="F26" s="467"/>
      <c r="G26" s="467"/>
      <c r="H26" s="467"/>
      <c r="I26" s="467"/>
      <c r="J26" s="474"/>
      <c r="K26" s="467"/>
      <c r="L26" s="468"/>
      <c r="M26" s="468"/>
      <c r="N26" s="468"/>
    </row>
    <row r="27" spans="1:14" ht="13.5" customHeight="1" x14ac:dyDescent="0.2">
      <c r="A27" s="473" t="s">
        <v>647</v>
      </c>
      <c r="B27" s="470">
        <v>430</v>
      </c>
      <c r="C27" s="467">
        <v>15740</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170613</v>
      </c>
      <c r="D30" s="474"/>
      <c r="E30" s="467"/>
      <c r="F30" s="467"/>
      <c r="G30" s="467"/>
      <c r="H30" s="467"/>
      <c r="I30" s="467"/>
      <c r="J30" s="467"/>
      <c r="K30" s="478"/>
      <c r="L30" s="468"/>
      <c r="M30" s="468"/>
      <c r="N30" s="468"/>
    </row>
    <row r="31" spans="1:14" ht="13.5" customHeight="1" x14ac:dyDescent="0.2">
      <c r="A31" s="473" t="s">
        <v>651</v>
      </c>
      <c r="B31" s="470">
        <v>480</v>
      </c>
      <c r="C31" s="466">
        <v>34598</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1541</v>
      </c>
      <c r="M33" s="468"/>
      <c r="N33" s="469"/>
    </row>
    <row r="34" spans="1:14" ht="13.5" customHeight="1" thickBot="1" x14ac:dyDescent="0.25">
      <c r="A34" s="1738" t="s">
        <v>654</v>
      </c>
      <c r="B34" s="1739"/>
      <c r="C34" s="1740">
        <f>SUM(C25:C33)</f>
        <v>515563</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1541</v>
      </c>
      <c r="M34" s="468"/>
      <c r="N34" s="480"/>
    </row>
    <row r="35" spans="1:14" ht="18" customHeight="1" thickTop="1" x14ac:dyDescent="0.2">
      <c r="A35" s="2202" t="s">
        <v>529</v>
      </c>
      <c r="B35" s="220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1020530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35415</v>
      </c>
      <c r="N40" s="497"/>
    </row>
    <row r="41" spans="1:14" ht="13.5" customHeight="1" thickBot="1" x14ac:dyDescent="0.25">
      <c r="A41" s="1736" t="s">
        <v>655</v>
      </c>
      <c r="B41" s="1706"/>
      <c r="C41" s="1688">
        <f>(SUM(C34,C37,C38,C39))</f>
        <v>1536093</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1541</v>
      </c>
      <c r="M41" s="1688">
        <f>SUM(M40)</f>
        <v>35415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POSITION AS OF JUNE 30, 2019
&amp;R&amp;8Page &amp;P</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X29" sqref="X29"/>
      <selection pane="bottomLeft" activeCell="C90" sqref="C9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1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21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224" t="s">
        <v>1175</v>
      </c>
      <c r="B3" s="2225"/>
      <c r="C3" s="1573"/>
      <c r="D3" s="1574"/>
      <c r="E3" s="1574"/>
      <c r="F3" s="1574"/>
      <c r="G3" s="1574"/>
      <c r="H3" s="1574"/>
      <c r="I3" s="1574"/>
      <c r="J3" s="1574"/>
      <c r="K3" s="1575"/>
      <c r="L3" s="506"/>
    </row>
    <row r="4" spans="1:13" ht="15.75" customHeight="1" x14ac:dyDescent="0.2">
      <c r="A4" s="1928" t="s">
        <v>1499</v>
      </c>
      <c r="B4" s="1929">
        <v>1000</v>
      </c>
      <c r="C4" s="1742">
        <f>'Revenues 9-14'!C109</f>
        <v>1958572</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225486</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1986247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4170305</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892815</v>
      </c>
      <c r="D9" s="516"/>
      <c r="E9" s="481"/>
      <c r="F9" s="481"/>
      <c r="G9" s="517"/>
      <c r="H9" s="481"/>
      <c r="I9" s="509" t="s">
        <v>1169</v>
      </c>
      <c r="J9" s="478"/>
      <c r="K9" s="481"/>
      <c r="L9" s="347"/>
    </row>
    <row r="10" spans="1:13" s="519" customFormat="1" ht="13.5" thickBot="1" x14ac:dyDescent="0.25">
      <c r="A10" s="1736" t="s">
        <v>1173</v>
      </c>
      <c r="B10" s="1709"/>
      <c r="C10" s="1688">
        <f>SUM(C8:C9)</f>
        <v>5063120</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98" t="s">
        <v>1176</v>
      </c>
      <c r="B11" s="2199"/>
      <c r="C11" s="1570"/>
      <c r="D11" s="1571"/>
      <c r="E11" s="1571"/>
      <c r="F11" s="1571"/>
      <c r="G11" s="1571"/>
      <c r="H11" s="1571"/>
      <c r="I11" s="1571"/>
      <c r="J11" s="1571"/>
      <c r="K11" s="1572"/>
      <c r="L11" s="518"/>
    </row>
    <row r="12" spans="1:13" ht="15.75" customHeight="1" x14ac:dyDescent="0.2">
      <c r="A12" s="1576" t="s">
        <v>456</v>
      </c>
      <c r="B12" s="1578">
        <v>1000</v>
      </c>
      <c r="C12" s="1742">
        <f>'Expenditures 15-22'!K33</f>
        <v>673848</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1858186</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1784610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4316644</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892815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5209459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214" t="s">
        <v>1655</v>
      </c>
      <c r="B20" s="2215"/>
      <c r="C20" s="1746">
        <f>C8-C17</f>
        <v>-146339</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226" t="s">
        <v>595</v>
      </c>
      <c r="B21" s="2227"/>
      <c r="C21" s="1570"/>
      <c r="D21" s="1571"/>
      <c r="E21" s="1571"/>
      <c r="F21" s="1571"/>
      <c r="G21" s="1571"/>
      <c r="H21" s="1571"/>
      <c r="I21" s="1571"/>
      <c r="J21" s="1571"/>
      <c r="K21" s="1572"/>
      <c r="L21" s="524"/>
    </row>
    <row r="22" spans="1:12" ht="15.75" customHeight="1" collapsed="1" x14ac:dyDescent="0.2">
      <c r="A22" s="2222" t="s">
        <v>596</v>
      </c>
      <c r="B22" s="2223"/>
      <c r="C22" s="477"/>
      <c r="D22" s="477"/>
      <c r="E22" s="477"/>
      <c r="F22" s="477"/>
      <c r="G22" s="477"/>
      <c r="H22" s="477"/>
      <c r="I22" s="477"/>
      <c r="J22" s="477"/>
      <c r="K22" s="477"/>
      <c r="L22" s="347"/>
    </row>
    <row r="23" spans="1:12" s="485" customFormat="1" ht="15.75" customHeight="1" x14ac:dyDescent="0.2">
      <c r="A23" s="2218" t="s">
        <v>293</v>
      </c>
      <c r="B23" s="221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220" t="s">
        <v>981</v>
      </c>
      <c r="B32" s="222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228" t="s">
        <v>374</v>
      </c>
      <c r="B44" s="222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222" t="s">
        <v>108</v>
      </c>
      <c r="B45" s="2223"/>
      <c r="C45" s="528"/>
      <c r="D45" s="528"/>
      <c r="E45" s="528"/>
      <c r="F45" s="528"/>
      <c r="G45" s="528"/>
      <c r="H45" s="528"/>
      <c r="I45" s="528"/>
      <c r="J45" s="528"/>
      <c r="K45" s="528"/>
      <c r="L45" s="347"/>
    </row>
    <row r="46" spans="1:12" s="485" customFormat="1" ht="15.75" customHeight="1" x14ac:dyDescent="0.2">
      <c r="A46" s="2230" t="s">
        <v>109</v>
      </c>
      <c r="B46" s="223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204" t="s">
        <v>440</v>
      </c>
      <c r="B76" s="220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206" t="s">
        <v>1177</v>
      </c>
      <c r="B77" s="220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210" t="s">
        <v>597</v>
      </c>
      <c r="B78" s="2211"/>
      <c r="C78" s="1702">
        <f t="shared" ref="C78:K78" si="9">C20+C77</f>
        <v>-146339</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1946</v>
      </c>
      <c r="B79" s="534"/>
      <c r="C79" s="478">
        <v>1166869</v>
      </c>
      <c r="D79" s="535"/>
      <c r="E79" s="535"/>
      <c r="F79" s="535"/>
      <c r="G79" s="535"/>
      <c r="H79" s="535"/>
      <c r="I79" s="535"/>
      <c r="J79" s="535"/>
      <c r="K79" s="535"/>
      <c r="L79" s="347"/>
    </row>
    <row r="80" spans="1:12" x14ac:dyDescent="0.2">
      <c r="A80" s="2216" t="s">
        <v>1792</v>
      </c>
      <c r="B80" s="2217"/>
      <c r="C80" s="467"/>
      <c r="D80" s="467"/>
      <c r="E80" s="467"/>
      <c r="F80" s="467"/>
      <c r="G80" s="467"/>
      <c r="H80" s="467"/>
      <c r="I80" s="467"/>
      <c r="J80" s="467"/>
      <c r="K80" s="467"/>
      <c r="L80" s="347"/>
    </row>
    <row r="81" spans="1:12" ht="13.5" thickBot="1" x14ac:dyDescent="0.25">
      <c r="A81" s="2208" t="s">
        <v>1947</v>
      </c>
      <c r="B81" s="2209"/>
      <c r="C81" s="1688">
        <f>(SUM(C78:C80))</f>
        <v>1020530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-146339</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-0.14339509862522415</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EXPENDITURES, OTHER 
SOURCES (USES) AND CHANGES IN FUND BALANCE
ALL FUNDS - FOR THE YEAR ENDING JUNE 30, 2019 &amp;R&amp;8Page &amp;P</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255" activePane="bottomLeft" state="frozen"/>
      <selection activeCell="X29" sqref="X29"/>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12" t="s">
        <v>1799</v>
      </c>
      <c r="B1" s="452"/>
      <c r="C1" s="453" t="s">
        <v>425</v>
      </c>
      <c r="D1" s="453" t="s">
        <v>426</v>
      </c>
      <c r="E1" s="453" t="s">
        <v>427</v>
      </c>
      <c r="F1" s="453" t="s">
        <v>428</v>
      </c>
      <c r="G1" s="453" t="s">
        <v>429</v>
      </c>
      <c r="H1" s="453" t="s">
        <v>430</v>
      </c>
      <c r="I1" s="453" t="s">
        <v>431</v>
      </c>
      <c r="J1" s="453" t="s">
        <v>432</v>
      </c>
      <c r="K1" s="453" t="s">
        <v>756</v>
      </c>
    </row>
    <row r="2" spans="1:12" ht="36" x14ac:dyDescent="0.2">
      <c r="A2" s="221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699419</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699419</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162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162</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1258991</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1258991</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1958572</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1" t="s">
        <v>1933</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225486</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225486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232" t="s">
        <v>398</v>
      </c>
      <c r="B169" s="2233"/>
      <c r="C169" s="1722">
        <f t="shared" ref="C169:K169" si="6">SUM(C132,C141,C145,C146:C150,C155,C156:C167,C168)</f>
        <v>225486</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225486</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234" t="s">
        <v>1492</v>
      </c>
      <c r="B172" s="223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238" t="s">
        <v>1665</v>
      </c>
      <c r="B175" s="223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242" t="s">
        <v>1664</v>
      </c>
      <c r="B176" s="224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240" t="s">
        <v>785</v>
      </c>
      <c r="B181" s="224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236" t="s">
        <v>1800</v>
      </c>
      <c r="B182" s="223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11190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11190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102823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1735376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1838199</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1934</v>
      </c>
      <c r="B261" s="470">
        <v>4981</v>
      </c>
      <c r="C261" s="575"/>
      <c r="D261" s="576"/>
      <c r="E261" s="468"/>
      <c r="F261" s="576"/>
      <c r="G261" s="576"/>
      <c r="H261" s="468"/>
      <c r="I261" s="468"/>
      <c r="J261" s="468"/>
      <c r="K261" s="468"/>
    </row>
    <row r="262" spans="1:11" ht="12.75" customHeight="1" thickTop="1" thickBot="1" x14ac:dyDescent="0.25">
      <c r="A262" s="1932" t="s">
        <v>1935</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40930</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95928</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1986247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1986247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4170305</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&amp;L&amp;8Page &amp;P&amp;C&amp;"Arial,Bold"&amp;9STATEMENT OF REVENUES
FOR THE YEAR ENDING JUNE 30, 2019&amp;R&amp;8Page &amp;P</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pageSetUpPr fitToPage="1"/>
  </sheetPr>
  <dimension ref="A1:N368"/>
  <sheetViews>
    <sheetView showGridLines="0" defaultGridColor="0" colorId="8" zoomScale="110" zoomScaleNormal="110" workbookViewId="0">
      <pane ySplit="2" topLeftCell="A60" activePane="bottomLeft" state="frozen"/>
      <selection activeCell="X29" sqref="X29"/>
      <selection pane="bottomLeft" activeCell="L76" sqref="L7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21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24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50" t="s">
        <v>297</v>
      </c>
      <c r="B3" s="2251"/>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408538</v>
      </c>
      <c r="D8" s="466">
        <v>128413</v>
      </c>
      <c r="E8" s="466">
        <v>59879</v>
      </c>
      <c r="F8" s="466">
        <v>8402</v>
      </c>
      <c r="G8" s="466">
        <v>2391</v>
      </c>
      <c r="H8" s="466"/>
      <c r="I8" s="467"/>
      <c r="J8" s="467"/>
      <c r="K8" s="1671">
        <f t="shared" si="0"/>
        <v>607623</v>
      </c>
      <c r="L8" s="466">
        <v>700422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46303</v>
      </c>
      <c r="D13" s="466">
        <v>17100</v>
      </c>
      <c r="E13" s="466">
        <v>1787</v>
      </c>
      <c r="F13" s="466"/>
      <c r="G13" s="466"/>
      <c r="H13" s="466"/>
      <c r="I13" s="467"/>
      <c r="J13" s="467"/>
      <c r="K13" s="1671">
        <f t="shared" si="0"/>
        <v>65190</v>
      </c>
      <c r="L13" s="466">
        <v>69879</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v>858</v>
      </c>
      <c r="D15" s="466">
        <v>139</v>
      </c>
      <c r="E15" s="466">
        <v>38</v>
      </c>
      <c r="F15" s="466"/>
      <c r="G15" s="466"/>
      <c r="H15" s="466"/>
      <c r="I15" s="467"/>
      <c r="J15" s="467"/>
      <c r="K15" s="1671">
        <f t="shared" si="0"/>
        <v>1035</v>
      </c>
      <c r="L15" s="466">
        <v>2667</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455699</v>
      </c>
      <c r="D33" s="1670">
        <f t="shared" ref="D33:L33" si="1">SUM(D5:D32)</f>
        <v>145652</v>
      </c>
      <c r="E33" s="1670">
        <f t="shared" si="1"/>
        <v>61704</v>
      </c>
      <c r="F33" s="1670">
        <f t="shared" si="1"/>
        <v>8402</v>
      </c>
      <c r="G33" s="1670">
        <f t="shared" si="1"/>
        <v>2391</v>
      </c>
      <c r="H33" s="1670">
        <f t="shared" si="1"/>
        <v>0</v>
      </c>
      <c r="I33" s="1670">
        <f t="shared" si="1"/>
        <v>0</v>
      </c>
      <c r="J33" s="1670">
        <f t="shared" si="1"/>
        <v>0</v>
      </c>
      <c r="K33" s="1670">
        <f t="shared" si="1"/>
        <v>673848</v>
      </c>
      <c r="L33" s="1670">
        <f t="shared" si="1"/>
        <v>772968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235898</v>
      </c>
      <c r="D36" s="481">
        <v>66900</v>
      </c>
      <c r="E36" s="481">
        <v>1027</v>
      </c>
      <c r="F36" s="481">
        <v>1405</v>
      </c>
      <c r="G36" s="481">
        <v>1196</v>
      </c>
      <c r="H36" s="481"/>
      <c r="I36" s="467"/>
      <c r="J36" s="467"/>
      <c r="K36" s="1671">
        <f t="shared" ref="K36:K41" si="2">SUM(C36:J36)</f>
        <v>306426</v>
      </c>
      <c r="L36" s="466">
        <v>436883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400737</v>
      </c>
      <c r="D38" s="466">
        <v>134528</v>
      </c>
      <c r="E38" s="466">
        <v>20705</v>
      </c>
      <c r="F38" s="466">
        <v>4871</v>
      </c>
      <c r="G38" s="466">
        <v>2260</v>
      </c>
      <c r="H38" s="466"/>
      <c r="I38" s="467"/>
      <c r="J38" s="467"/>
      <c r="K38" s="1671">
        <f t="shared" si="2"/>
        <v>563101</v>
      </c>
      <c r="L38" s="466">
        <v>484297</v>
      </c>
    </row>
    <row r="39" spans="1:14" x14ac:dyDescent="0.2">
      <c r="A39" s="1504" t="s">
        <v>199</v>
      </c>
      <c r="B39" s="614">
        <v>2140</v>
      </c>
      <c r="C39" s="466">
        <v>194530</v>
      </c>
      <c r="D39" s="466">
        <v>44518</v>
      </c>
      <c r="E39" s="466">
        <v>116834</v>
      </c>
      <c r="F39" s="466">
        <v>4967</v>
      </c>
      <c r="G39" s="466">
        <v>5451</v>
      </c>
      <c r="H39" s="466"/>
      <c r="I39" s="467"/>
      <c r="J39" s="467"/>
      <c r="K39" s="1671">
        <f t="shared" si="2"/>
        <v>366300</v>
      </c>
      <c r="L39" s="466">
        <v>499019</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50743</v>
      </c>
      <c r="D41" s="466">
        <v>3060</v>
      </c>
      <c r="E41" s="466">
        <v>3028</v>
      </c>
      <c r="F41" s="466">
        <v>303</v>
      </c>
      <c r="G41" s="466"/>
      <c r="H41" s="466"/>
      <c r="I41" s="467"/>
      <c r="J41" s="467"/>
      <c r="K41" s="1671">
        <f t="shared" si="2"/>
        <v>57134</v>
      </c>
      <c r="L41" s="466">
        <v>76605</v>
      </c>
    </row>
    <row r="42" spans="1:14" ht="12.75" customHeight="1" thickBot="1" x14ac:dyDescent="0.25">
      <c r="A42" s="1668" t="s">
        <v>560</v>
      </c>
      <c r="B42" s="1669" t="s">
        <v>716</v>
      </c>
      <c r="C42" s="1670">
        <f>SUM(C36:C41)</f>
        <v>881908</v>
      </c>
      <c r="D42" s="1670">
        <f t="shared" ref="D42:L42" si="3">SUM(D36:D41)</f>
        <v>249006</v>
      </c>
      <c r="E42" s="1670">
        <f t="shared" si="3"/>
        <v>141594</v>
      </c>
      <c r="F42" s="1670">
        <f t="shared" si="3"/>
        <v>11546</v>
      </c>
      <c r="G42" s="1670">
        <f t="shared" si="3"/>
        <v>8907</v>
      </c>
      <c r="H42" s="1670">
        <f t="shared" si="3"/>
        <v>0</v>
      </c>
      <c r="I42" s="1670">
        <f t="shared" si="3"/>
        <v>0</v>
      </c>
      <c r="J42" s="1670">
        <f t="shared" si="3"/>
        <v>0</v>
      </c>
      <c r="K42" s="1670">
        <f t="shared" si="3"/>
        <v>1292961</v>
      </c>
      <c r="L42" s="1670">
        <f t="shared" si="3"/>
        <v>1496804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400</v>
      </c>
      <c r="D44" s="481">
        <v>788</v>
      </c>
      <c r="E44" s="481">
        <v>45095</v>
      </c>
      <c r="F44" s="481">
        <v>7307</v>
      </c>
      <c r="G44" s="481"/>
      <c r="H44" s="481"/>
      <c r="I44" s="467"/>
      <c r="J44" s="467"/>
      <c r="K44" s="1672">
        <f>SUM(C44:J44)</f>
        <v>53590</v>
      </c>
      <c r="L44" s="481">
        <v>70452</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400</v>
      </c>
      <c r="D47" s="1670">
        <f t="shared" ref="D47:K47" si="4">SUM(D44:D46)</f>
        <v>788</v>
      </c>
      <c r="E47" s="1670">
        <f t="shared" si="4"/>
        <v>45095</v>
      </c>
      <c r="F47" s="1670">
        <f t="shared" si="4"/>
        <v>7307</v>
      </c>
      <c r="G47" s="1670">
        <f t="shared" si="4"/>
        <v>0</v>
      </c>
      <c r="H47" s="1670">
        <f t="shared" si="4"/>
        <v>0</v>
      </c>
      <c r="I47" s="1670">
        <f t="shared" si="4"/>
        <v>0</v>
      </c>
      <c r="J47" s="1670">
        <f t="shared" si="4"/>
        <v>0</v>
      </c>
      <c r="K47" s="1670">
        <f t="shared" si="4"/>
        <v>53590</v>
      </c>
      <c r="L47" s="1670">
        <f>SUM(L44:L46)</f>
        <v>70452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218493</v>
      </c>
      <c r="D50" s="466">
        <v>71139</v>
      </c>
      <c r="E50" s="466">
        <v>12455</v>
      </c>
      <c r="F50" s="466"/>
      <c r="G50" s="466">
        <v>598</v>
      </c>
      <c r="H50" s="466">
        <v>4729</v>
      </c>
      <c r="I50" s="467"/>
      <c r="J50" s="467"/>
      <c r="K50" s="1672">
        <f>SUM(C50:J50)</f>
        <v>307414</v>
      </c>
      <c r="L50" s="466">
        <v>352188</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218493</v>
      </c>
      <c r="D53" s="1670">
        <f t="shared" ref="D53:L53" si="5">SUM(D49:D52)</f>
        <v>71139</v>
      </c>
      <c r="E53" s="1670">
        <f t="shared" si="5"/>
        <v>12455</v>
      </c>
      <c r="F53" s="1670">
        <f t="shared" si="5"/>
        <v>0</v>
      </c>
      <c r="G53" s="1670">
        <f t="shared" si="5"/>
        <v>598</v>
      </c>
      <c r="H53" s="1670">
        <f t="shared" si="5"/>
        <v>4729</v>
      </c>
      <c r="I53" s="1670">
        <f t="shared" si="5"/>
        <v>0</v>
      </c>
      <c r="J53" s="1670">
        <f t="shared" si="5"/>
        <v>0</v>
      </c>
      <c r="K53" s="1670">
        <f t="shared" si="5"/>
        <v>307414</v>
      </c>
      <c r="L53" s="1670">
        <f t="shared" si="5"/>
        <v>352188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142141</v>
      </c>
      <c r="F59" s="481">
        <v>6269</v>
      </c>
      <c r="G59" s="481"/>
      <c r="H59" s="481"/>
      <c r="I59" s="467"/>
      <c r="J59" s="467"/>
      <c r="K59" s="1672">
        <f t="shared" ref="K59:K64" si="7">SUM(C59:J59)</f>
        <v>148410</v>
      </c>
      <c r="L59" s="481">
        <v>225196</v>
      </c>
      <c r="M59" s="609"/>
      <c r="N59" s="609"/>
    </row>
    <row r="60" spans="1:14" s="343" customFormat="1" x14ac:dyDescent="0.2">
      <c r="A60" s="1504" t="s">
        <v>463</v>
      </c>
      <c r="B60" s="614">
        <v>2520</v>
      </c>
      <c r="C60" s="466">
        <v>40665</v>
      </c>
      <c r="D60" s="466">
        <v>15146</v>
      </c>
      <c r="E60" s="466"/>
      <c r="F60" s="466"/>
      <c r="G60" s="466"/>
      <c r="H60" s="466"/>
      <c r="I60" s="467"/>
      <c r="J60" s="467"/>
      <c r="K60" s="1672">
        <f t="shared" si="7"/>
        <v>55811</v>
      </c>
      <c r="L60" s="466">
        <v>74408</v>
      </c>
      <c r="M60" s="609"/>
      <c r="N60" s="609"/>
    </row>
    <row r="61" spans="1:14" s="343" customFormat="1" x14ac:dyDescent="0.2">
      <c r="A61" s="1504" t="s">
        <v>197</v>
      </c>
      <c r="B61" s="614">
        <v>2540</v>
      </c>
      <c r="C61" s="466"/>
      <c r="D61" s="466"/>
      <c r="E61" s="466"/>
      <c r="F61" s="466"/>
      <c r="G61" s="466"/>
      <c r="H61" s="466"/>
      <c r="I61" s="467"/>
      <c r="J61" s="467"/>
      <c r="K61" s="1672">
        <f t="shared" si="7"/>
        <v>0</v>
      </c>
      <c r="L61" s="466">
        <v>37000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40665</v>
      </c>
      <c r="D65" s="1670">
        <f t="shared" ref="D65:L65" si="8">SUM(D59:D64)</f>
        <v>15146</v>
      </c>
      <c r="E65" s="1670">
        <f t="shared" si="8"/>
        <v>142141</v>
      </c>
      <c r="F65" s="1670">
        <f t="shared" si="8"/>
        <v>6269</v>
      </c>
      <c r="G65" s="1670">
        <f t="shared" si="8"/>
        <v>0</v>
      </c>
      <c r="H65" s="1670">
        <f t="shared" si="8"/>
        <v>0</v>
      </c>
      <c r="I65" s="1670">
        <f t="shared" si="8"/>
        <v>0</v>
      </c>
      <c r="J65" s="1670">
        <f t="shared" si="8"/>
        <v>0</v>
      </c>
      <c r="K65" s="1670">
        <f t="shared" si="8"/>
        <v>204221</v>
      </c>
      <c r="L65" s="1670">
        <f t="shared" si="8"/>
        <v>336604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1141466</v>
      </c>
      <c r="D74" s="1677">
        <f t="shared" ref="D74:K74" si="10">SUM(D42,D47,D53,D57,D65,D72,D73)</f>
        <v>336079</v>
      </c>
      <c r="E74" s="1677">
        <f t="shared" si="10"/>
        <v>341285</v>
      </c>
      <c r="F74" s="1677">
        <f t="shared" si="10"/>
        <v>25122</v>
      </c>
      <c r="G74" s="1677">
        <f t="shared" si="10"/>
        <v>9505</v>
      </c>
      <c r="H74" s="1677">
        <f t="shared" si="10"/>
        <v>4729</v>
      </c>
      <c r="I74" s="1677">
        <f t="shared" si="10"/>
        <v>0</v>
      </c>
      <c r="J74" s="1677">
        <f t="shared" si="10"/>
        <v>0</v>
      </c>
      <c r="K74" s="1677">
        <f t="shared" si="10"/>
        <v>1858186</v>
      </c>
      <c r="L74" s="1677">
        <f>SUM(L42,L47,L53,L57,L65,L72,L73)</f>
        <v>2256048</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500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1784610</v>
      </c>
      <c r="I93" s="477"/>
      <c r="J93" s="477"/>
      <c r="K93" s="1677">
        <f t="shared" si="12"/>
        <v>1784610</v>
      </c>
      <c r="L93" s="532">
        <v>1783456</v>
      </c>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1784610</v>
      </c>
      <c r="I100" s="477"/>
      <c r="J100" s="477"/>
      <c r="K100" s="1677">
        <f>SUM(K93:K99)</f>
        <v>1784610</v>
      </c>
      <c r="L100" s="1677">
        <f>SUM(L93:L99)</f>
        <v>1783456</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1784610</v>
      </c>
      <c r="I102" s="477"/>
      <c r="J102" s="477"/>
      <c r="K102" s="1677">
        <f>SUM(K84,K92,K100,K101)</f>
        <v>1784610</v>
      </c>
      <c r="L102" s="1677">
        <f>SUM(L84,L92,L100,L101)</f>
        <v>1783456</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1597165</v>
      </c>
      <c r="D114" s="1670">
        <f t="shared" ref="D114:K114" si="13">SUM(D33,D74,D75,D102,D112,D113)</f>
        <v>481731</v>
      </c>
      <c r="E114" s="1670">
        <f t="shared" si="13"/>
        <v>402989</v>
      </c>
      <c r="F114" s="1670">
        <f t="shared" si="13"/>
        <v>33524</v>
      </c>
      <c r="G114" s="1670">
        <f t="shared" si="13"/>
        <v>11896</v>
      </c>
      <c r="H114" s="1670">
        <f>SUM(H33,H74,H75,H102,H112,H113)</f>
        <v>1789339</v>
      </c>
      <c r="I114" s="1670">
        <f t="shared" si="13"/>
        <v>0</v>
      </c>
      <c r="J114" s="1670">
        <f t="shared" si="13"/>
        <v>0</v>
      </c>
      <c r="K114" s="1670">
        <f t="shared" si="13"/>
        <v>4316644</v>
      </c>
      <c r="L114" s="1670">
        <f>SUM(L33,L74,L75,L102,L112,L113)</f>
        <v>4812972</v>
      </c>
    </row>
    <row r="115" spans="1:14" ht="13.5" thickTop="1" x14ac:dyDescent="0.2">
      <c r="A115" s="2269" t="s">
        <v>996</v>
      </c>
      <c r="B115" s="2270"/>
      <c r="C115" s="618"/>
      <c r="D115" s="618"/>
      <c r="E115" s="618"/>
      <c r="F115" s="618"/>
      <c r="G115" s="618"/>
      <c r="H115" s="618"/>
      <c r="I115" s="618"/>
      <c r="J115" s="618"/>
      <c r="K115" s="1684">
        <f>'Revenues 9-14'!C268-'Expenditures 15-22'!K114</f>
        <v>-146339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47" t="s">
        <v>296</v>
      </c>
      <c r="B117" s="2248"/>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2057</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1842</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59" t="s">
        <v>620</v>
      </c>
      <c r="B151" s="2241"/>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262" t="s">
        <v>1178</v>
      </c>
      <c r="B152" s="2263"/>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47" t="s">
        <v>621</v>
      </c>
      <c r="B154" s="224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1843</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1842</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1844</v>
      </c>
      <c r="C158" s="616"/>
      <c r="D158" s="616"/>
      <c r="E158" s="616"/>
      <c r="F158" s="616"/>
      <c r="G158" s="616"/>
      <c r="H158" s="467"/>
      <c r="I158" s="616"/>
      <c r="J158" s="616"/>
      <c r="K158" s="1671">
        <f>H158</f>
        <v>0</v>
      </c>
      <c r="L158" s="467"/>
      <c r="M158" s="619"/>
      <c r="N158" s="619"/>
    </row>
    <row r="159" spans="1:14" s="620" customFormat="1" ht="12" x14ac:dyDescent="0.2">
      <c r="A159" s="1826" t="s">
        <v>1845</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1846</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269" t="s">
        <v>996</v>
      </c>
      <c r="B175" s="2270"/>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2057</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269" t="s">
        <v>996</v>
      </c>
      <c r="B211" s="2270"/>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64" t="s">
        <v>965</v>
      </c>
      <c r="B213" s="2265"/>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1842</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260" t="s">
        <v>505</v>
      </c>
      <c r="B295" s="2261"/>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269" t="s">
        <v>996</v>
      </c>
      <c r="B296" s="2270"/>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52" t="s">
        <v>143</v>
      </c>
      <c r="B298" s="2246"/>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1847</v>
      </c>
      <c r="B306" s="690" t="s">
        <v>1842</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57" t="s">
        <v>277</v>
      </c>
      <c r="B312" s="2258"/>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253" t="s">
        <v>996</v>
      </c>
      <c r="B313" s="2254"/>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66" t="s">
        <v>149</v>
      </c>
      <c r="B315" s="226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68" t="s">
        <v>898</v>
      </c>
      <c r="B317" s="2267"/>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1848</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1842</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1844</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1849</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255" t="s">
        <v>996</v>
      </c>
      <c r="B343" s="2256"/>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245" t="s">
        <v>966</v>
      </c>
      <c r="B345" s="2246"/>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1850</v>
      </c>
      <c r="B354" s="683" t="s">
        <v>1842</v>
      </c>
      <c r="C354" s="616"/>
      <c r="D354" s="616"/>
      <c r="E354" s="616"/>
      <c r="F354" s="616"/>
      <c r="G354" s="616"/>
      <c r="H354" s="474"/>
      <c r="I354" s="701"/>
      <c r="J354" s="616"/>
      <c r="K354" s="1699">
        <f>H354</f>
        <v>0</v>
      </c>
      <c r="L354" s="471"/>
    </row>
    <row r="355" spans="1:14" ht="12.75" customHeight="1" x14ac:dyDescent="0.2">
      <c r="A355" s="1513" t="s">
        <v>1851</v>
      </c>
      <c r="B355" s="690" t="s">
        <v>1844</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269" t="s">
        <v>996</v>
      </c>
      <c r="B368" s="2270"/>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BUDGET TO ACTUAL
FOR THE YEAR ENDING JUNE 30, 2019&amp;R&amp;8Page &amp;P</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elements/1.1/"/>
    <ds:schemaRef ds:uri="d21dc803-237d-4c68-8692-8d731fd29118"/>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 (1)</vt:lpstr>
      <vt:lpstr> SEFA(2)</vt:lpstr>
      <vt:lpstr>SEFA NOTES</vt:lpstr>
      <vt:lpstr>SEFA NOTES (2)</vt:lpstr>
      <vt:lpstr>SF&amp;QC Sec-1</vt:lpstr>
      <vt:lpstr>SF&amp;QC Sec-2</vt:lpstr>
      <vt:lpstr>SF&amp;QC Sec-2 (2)</vt:lpstr>
      <vt:lpstr>SF&amp;QC Sec-3</vt:lpstr>
      <vt:lpstr>SSPAF</vt:lpstr>
      <vt:lpstr>' SEFA (1)'!Print_Area</vt:lpstr>
      <vt:lpstr>' SEFA(2)'!Print_Area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2019-12-11T14:22:29Z</cp:lastPrinted>
  <dcterms:created xsi:type="dcterms:W3CDTF">2003-10-29T19:06:34Z</dcterms:created>
  <dcterms:modified xsi:type="dcterms:W3CDTF">2019-12-30T21:58:30Z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