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F4E51022-A12D-460A-829E-C4077BF332B2}" xr6:coauthVersionLast="36" xr6:coauthVersionMax="36" xr10:uidLastSave="{00000000-0000-0000-0000-000000000000}"/>
  <bookViews>
    <workbookView xWindow="20370" yWindow="-3555" windowWidth="24240" windowHeight="13140" tabRatio="87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D27" i="108"/>
  <c r="E27" i="108"/>
  <c r="F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22" i="37"/>
  <c r="J22" i="37"/>
  <c r="L22" i="37"/>
  <c r="L5" i="11"/>
  <c r="B2056" i="106" s="1"/>
  <c r="D2056" i="106" s="1"/>
  <c r="D9" i="7"/>
  <c r="B1767" i="106" s="1"/>
  <c r="D1767" i="106" s="1"/>
  <c r="H342" i="29" l="1"/>
  <c r="K28" i="118"/>
  <c r="O27" i="118" s="1"/>
  <c r="O29" i="118" s="1"/>
  <c r="L342" i="29"/>
  <c r="B4268" i="106"/>
  <c r="D4268" i="106" s="1"/>
  <c r="B3254" i="106"/>
  <c r="D3254" i="106" s="1"/>
  <c r="C342" i="29"/>
  <c r="B7216" i="106" s="1"/>
  <c r="D7216" i="106" s="1"/>
  <c r="H365" i="29"/>
  <c r="B7242" i="106" s="1"/>
  <c r="D7242" i="106" s="1"/>
  <c r="I24" i="12"/>
  <c r="B1996" i="106" s="1"/>
  <c r="D1996" i="106" s="1"/>
  <c r="F49" i="34"/>
  <c r="F44" i="34"/>
  <c r="F36" i="34"/>
  <c r="J41" i="3"/>
  <c r="K184" i="29"/>
  <c r="F13" i="4" s="1"/>
  <c r="B2596" i="106" s="1"/>
  <c r="D2596" i="106" s="1"/>
  <c r="G210" i="29"/>
  <c r="G15" i="145"/>
  <c r="D17" i="7"/>
  <c r="B4104" i="106" s="1"/>
  <c r="D4104" i="106" s="1"/>
  <c r="D24" i="37"/>
  <c r="B4270" i="106" s="1"/>
  <c r="D4270" i="106" s="1"/>
  <c r="D11" i="37"/>
  <c r="F72" i="34"/>
  <c r="G35" i="108"/>
  <c r="D54" i="36"/>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L114" i="29" s="1"/>
  <c r="K33" i="29"/>
  <c r="B720" i="106"/>
  <c r="D720" i="106" s="1"/>
  <c r="C114" i="29"/>
  <c r="B757" i="106" s="1"/>
  <c r="D757"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K77" i="4" l="1"/>
  <c r="B3587" i="106" s="1"/>
  <c r="D3587" i="106" s="1"/>
  <c r="B1381" i="106"/>
  <c r="D1381" i="106" s="1"/>
  <c r="B5527" i="106"/>
  <c r="D5527" i="106" s="1"/>
  <c r="D44" i="36"/>
  <c r="L16" i="11"/>
  <c r="B2061" i="106" s="1"/>
  <c r="D2061" i="106" s="1"/>
  <c r="I26" i="12"/>
  <c r="B7741" i="106" s="1"/>
  <c r="D7741" i="106" s="1"/>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D8" i="146" l="1"/>
  <c r="J20"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<sst xmlns="http://schemas.openxmlformats.org/spreadsheetml/2006/main" count="5067" uniqueCount="2092">
  <si>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</si>
  <si>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</si>
  <si>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</si>
  <si>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</si>
  <si>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</si>
  <si>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</si>
  <si>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</si>
  <si>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</si>
  <si>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</si>
  <si>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</si>
  <si>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</si>
  <si>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</si>
  <si>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</si>
  <si>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</si>
  <si>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</si>
  <si>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</si>
  <si>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</si>
  <si>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</si>
  <si>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</si>
  <si>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</si>
  <si>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</si>
  <si>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</si>
  <si>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</si>
  <si>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</si>
  <si>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</si>
  <si>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</si>
  <si>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</si>
  <si>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</si>
  <si>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</si>
  <si>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</si>
  <si>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</si>
  <si>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</si>
  <si>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</si>
  <si>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</si>
  <si>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</si>
  <si>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</si>
  <si>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</si>
  <si>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</si>
  <si>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</si>
  <si>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</si>
  <si>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</si>
  <si>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</si>
  <si>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</si>
  <si>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</si>
  <si>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</si>
  <si>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</si>
  <si>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</si>
  <si>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</si>
  <si>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</si>
  <si>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</si>
  <si>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</si>
  <si>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</si>
  <si>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</si>
  <si>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</si>
  <si>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</si>
  <si>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</si>
  <si>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</si>
  <si>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</si>
  <si>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</si>
  <si>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</si>
  <si>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</si>
  <si>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</si>
  <si>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</si>
  <si>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</si>
  <si>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</si>
  <si>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</si>
  <si>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</si>
  <si>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</si>
  <si>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</si>
  <si>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</si>
  <si>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</si>
  <si>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</si>
  <si>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</si>
  <si>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</si>
  <si>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</si>
  <si>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</si>
  <si>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</si>
  <si>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</si>
  <si>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</si>
  <si>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</si>
  <si>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</si>
  <si>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</si>
  <si>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</si>
  <si>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</si>
  <si>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</si>
  <si>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</si>
  <si>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</si>
  <si>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</si>
  <si>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</si>
  <si>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</si>
  <si>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</si>
  <si>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</si>
  <si>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</si>
  <si>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</si>
  <si>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</si>
  <si>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</si>
  <si>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</si>
  <si>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</si>
  <si>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</si>
  <si>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</si>
  <si>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</si>
  <si>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</si>
  <si>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</si>
  <si>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</si>
  <si>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</si>
  <si>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</si>
  <si>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</si>
  <si>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</si>
  <si>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</si>
  <si>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</si>
  <si>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</si>
  <si>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</si>
  <si>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</si>
  <si>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</si>
  <si>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</si>
  <si>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</si>
  <si>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</si>
  <si>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</si>
  <si>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</si>
  <si>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</si>
  <si>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</si>
  <si>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</si>
  <si>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</si>
  <si>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</si>
  <si>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</si>
  <si>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</si>
  <si>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</si>
  <si>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</si>
  <si>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</si>
  <si>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</si>
  <si>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</si>
  <si>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</si>
  <si>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</si>
  <si>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</si>
  <si>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</si>
  <si>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</si>
  <si>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</si>
  <si>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</si>
  <si>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</si>
  <si>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</si>
  <si>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</si>
  <si>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</si>
  <si>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</si>
  <si>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</si>
  <si>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</si>
  <si>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</si>
  <si>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</si>
  <si>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</si>
  <si>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</si>
  <si>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</si>
  <si>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</si>
  <si>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</si>
  <si>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</si>
  <si>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</si>
  <si>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</si>
  <si>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</si>
  <si>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</si>
  <si>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</si>
  <si>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</si>
  <si>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</si>
  <si>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</si>
  <si>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</si>
  <si>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</si>
  <si>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</si>
  <si>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</si>
  <si>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</si>
  <si>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</si>
  <si>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</si>
  <si>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</si>
  <si>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</si>
  <si>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</si>
  <si>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</si>
  <si>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</si>
  <si>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</si>
  <si>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</si>
  <si>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</si>
  <si>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</si>
  <si>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</si>
  <si>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</si>
  <si>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</si>
  <si>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</si>
  <si>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</si>
  <si>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</si>
  <si>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</si>
  <si>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</si>
  <si>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</si>
  <si>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</si>
  <si>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</si>
  <si>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</si>
  <si>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</si>
  <si>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</si>
  <si>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</si>
  <si>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</si>
  <si>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</si>
  <si>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</si>
  <si>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</si>
  <si>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</si>
  <si>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</si>
  <si>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</si>
  <si>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</si>
  <si>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</si>
  <si>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</si>
  <si>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</si>
  <si>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</si>
  <si>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</si>
  <si>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</si>
  <si>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</si>
  <si>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</si>
  <si>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</si>
  <si>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</si>
  <si>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</si>
  <si>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</si>
  <si>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</si>
  <si>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</si>
  <si>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</si>
  <si>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</si>
  <si>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</si>
  <si>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</si>
  <si>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</si>
  <si>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</si>
  <si>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</si>
  <si>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</si>
  <si>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</si>
  <si>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</si>
  <si>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</si>
  <si>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</si>
  <si>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</si>
  <si>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</si>
  <si>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</si>
  <si>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</si>
  <si>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</si>
  <si>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</si>
  <si>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</si>
  <si>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</si>
  <si>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</si>
  <si>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</si>
  <si>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</si>
  <si>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</si>
  <si>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</si>
  <si>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</si>
  <si>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</si>
  <si>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</si>
  <si>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</si>
  <si>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</si>
  <si>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</si>
  <si>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</si>
  <si>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</si>
  <si>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</si>
  <si>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</si>
  <si>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</si>
  <si>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</si>
  <si>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</si>
  <si>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</si>
  <si>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</si>
  <si>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</si>
  <si>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</si>
  <si>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</si>
  <si>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</si>
  <si>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</si>
  <si>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</si>
  <si>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</si>
  <si>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</si>
  <si>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</si>
  <si>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</si>
  <si>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</si>
  <si>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</si>
  <si>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</si>
  <si>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</si>
  <si>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</si>
  <si>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</si>
  <si>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</si>
  <si>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</si>
  <si>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</si>
  <si>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</si>
  <si>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</si>
  <si>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</si>
  <si>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</si>
  <si>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</si>
  <si>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</si>
  <si>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</si>
  <si>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</si>
  <si>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</si>
  <si>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</si>
  <si>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</si>
  <si>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</si>
  <si>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</si>
  <si>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</si>
  <si>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</si>
  <si>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</si>
  <si>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</si>
  <si>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</si>
  <si>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</si>
  <si>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</si>
  <si>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</si>
  <si>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</si>
  <si>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</si>
  <si>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</si>
  <si>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</si>
  <si>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</si>
  <si>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</si>
  <si>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</si>
  <si>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</si>
  <si>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</si>
  <si>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</si>
  <si>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</si>
  <si>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</si>
  <si>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</si>
  <si>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</si>
  <si>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</si>
  <si>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</si>
  <si>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</si>
  <si>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</si>
  <si>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</si>
  <si>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</si>
  <si>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</si>
  <si>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</si>
  <si>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</si>
  <si>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</si>
  <si>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</si>
  <si>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</si>
  <si>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</si>
  <si>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</si>
  <si>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</si>
  <si>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</si>
  <si>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</si>
  <si>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</si>
  <si>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</si>
  <si>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</si>
  <si>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</si>
  <si>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</si>
  <si>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</si>
  <si>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</si>
  <si>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</si>
  <si>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</si>
  <si>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</si>
  <si>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</si>
  <si>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</si>
  <si>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</si>
  <si>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</si>
  <si>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</si>
  <si>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</si>
  <si>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</si>
  <si>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</si>
  <si>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</si>
  <si>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</si>
  <si>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</si>
  <si>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</si>
  <si>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</si>
  <si>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</si>
  <si>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</si>
  <si>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</si>
  <si>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</si>
  <si>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</si>
  <si>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</si>
  <si>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</si>
  <si>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</si>
  <si>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</si>
  <si>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</si>
  <si>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</si>
  <si>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</si>
  <si>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</si>
  <si>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</si>
  <si>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</si>
  <si>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</si>
  <si>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</si>
  <si>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</si>
  <si>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</si>
  <si>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</si>
  <si>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</si>
  <si>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</si>
  <si>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</si>
  <si>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</si>
  <si>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</si>
  <si>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</si>
  <si>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</si>
  <si>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</si>
  <si>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</si>
  <si>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</si>
  <si>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</si>
  <si>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</si>
  <si>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</si>
  <si>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</si>
  <si>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</si>
  <si>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</si>
  <si>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</si>
  <si>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</si>
  <si>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</si>
  <si>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</si>
  <si>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</si>
  <si>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</si>
  <si>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</si>
  <si>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</si>
  <si>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</si>
  <si>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</si>
  <si>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</si>
  <si>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</si>
  <si>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</si>
  <si>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</si>
  <si>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</si>
  <si>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</si>
  <si>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</si>
  <si>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</si>
  <si>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</si>
  <si>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</si>
  <si>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</si>
  <si>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</si>
  <si>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</si>
  <si>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</si>
  <si>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</si>
  <si>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</si>
  <si>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</si>
  <si>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</si>
  <si>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</si>
  <si>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</si>
  <si>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</si>
  <si>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</si>
  <si>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</si>
  <si>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</si>
  <si>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</si>
  <si>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</si>
  <si>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</si>
  <si>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</si>
  <si>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</si>
  <si>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</si>
  <si>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</si>
  <si>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</si>
  <si>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</si>
  <si>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</si>
  <si>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</si>
  <si>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</si>
  <si>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</si>
  <si>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</si>
  <si>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</si>
  <si>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</si>
  <si>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</si>
  <si>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</si>
  <si>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</si>
  <si>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</si>
  <si>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</si>
  <si>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</si>
  <si>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</si>
  <si>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</si>
  <si>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</si>
  <si>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</si>
  <si>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</si>
  <si>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</si>
  <si>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</si>
  <si>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</si>
  <si>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</si>
  <si>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</si>
  <si>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</si>
  <si>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</si>
  <si>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</si>
  <si>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</si>
  <si>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</si>
  <si>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</si>
  <si>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</si>
  <si>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</si>
  <si>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</si>
  <si>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</si>
  <si>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</si>
  <si>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</si>
  <si>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</si>
  <si>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</si>
  <si>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</si>
  <si>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</si>
  <si>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</si>
  <si>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</si>
  <si>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</si>
  <si>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</si>
  <si>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</si>
  <si>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</si>
  <si>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</si>
  <si>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</si>
  <si>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</si>
  <si>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</si>
  <si>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</si>
  <si>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</si>
  <si>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</si>
  <si>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</si>
  <si>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</si>
  <si>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</si>
  <si>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</si>
  <si>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</si>
  <si>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</si>
  <si>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</si>
  <si>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</si>
  <si>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</si>
  <si>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</si>
  <si>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</si>
  <si>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</si>
  <si>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</si>
  <si>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</si>
  <si>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</si>
  <si>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</si>
  <si>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</si>
  <si>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</si>
  <si>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</si>
  <si>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</si>
  <si>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</si>
  <si>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</si>
  <si>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</si>
  <si>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</si>
  <si>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</si>
  <si>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</si>
  <si>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</si>
  <si>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</si>
  <si>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</si>
  <si>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</si>
  <si>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</si>
  <si>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</si>
  <si>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</si>
  <si>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</si>
  <si>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</si>
  <si>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</si>
  <si>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</si>
  <si>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</si>
  <si>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</si>
  <si>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</si>
  <si>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</si>
  <si>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</si>
  <si>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</si>
  <si>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</si>
  <si>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</si>
  <si>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</si>
  <si>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</si>
  <si>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</si>
  <si>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</si>
  <si>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</si>
  <si>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</si>
  <si>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</si>
  <si>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</si>
  <si>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</si>
  <si>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</si>
  <si>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</si>
  <si>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</si>
  <si>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</si>
  <si>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</si>
  <si>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</si>
  <si>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</si>
  <si>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</si>
  <si>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</si>
  <si>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</si>
  <si>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</si>
  <si>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</si>
  <si>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</si>
  <si>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</si>
  <si>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</si>
  <si>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</si>
  <si>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</si>
  <si>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</si>
  <si>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</si>
  <si>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</si>
  <si>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</si>
  <si>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</si>
  <si>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</si>
  <si>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</si>
  <si>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</si>
  <si>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</si>
  <si>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</si>
  <si>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</si>
  <si>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</si>
  <si>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</si>
  <si>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</si>
  <si>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</si>
  <si>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</si>
  <si>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</si>
  <si>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</si>
  <si>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</si>
  <si>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</si>
  <si>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</si>
  <si>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</si>
  <si>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</si>
  <si>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</si>
  <si>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</si>
  <si>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</si>
  <si>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</si>
  <si>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</si>
  <si>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</si>
  <si>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</si>
  <si>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</si>
  <si>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</si>
  <si>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</si>
  <si>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</si>
  <si>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</si>
  <si>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</si>
  <si>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</si>
  <si>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</si>
  <si>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</si>
  <si>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</si>
  <si>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</si>
  <si>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</si>
  <si>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</si>
  <si>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</si>
  <si>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</si>
  <si>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</si>
  <si>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</si>
  <si>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</si>
  <si>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</si>
  <si>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</si>
  <si>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</si>
  <si>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</si>
  <si>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</si>
  <si>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</si>
  <si>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</si>
  <si>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</si>
  <si>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</si>
  <si>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</si>
  <si>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</si>
  <si>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</si>
  <si>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</si>
  <si>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</si>
  <si>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</si>
  <si>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</si>
  <si>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</si>
  <si>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</si>
  <si>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</si>
  <si>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</si>
  <si>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</si>
  <si>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</si>
  <si>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</si>
  <si>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</si>
  <si>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</si>
  <si>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</si>
  <si>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</si>
  <si>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</si>
  <si>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</si>
  <si>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</si>
  <si>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</si>
  <si>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</si>
  <si>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</si>
  <si>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</si>
  <si>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</si>
  <si>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</si>
  <si>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</si>
  <si>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</si>
  <si>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</si>
  <si>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</si>
  <si>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</si>
  <si>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</si>
  <si>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</si>
  <si>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</si>
  <si>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</si>
  <si>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</si>
  <si>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</si>
  <si>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</si>
  <si>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</si>
  <si>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</si>
  <si>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</si>
  <si>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</si>
  <si>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</si>
  <si>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</si>
  <si>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</si>
  <si>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</si>
  <si>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</si>
  <si>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</si>
  <si>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</si>
  <si>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</si>
  <si>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</si>
  <si>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</si>
  <si>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</si>
  <si>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</si>
  <si>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</si>
  <si>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</si>
  <si>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</si>
  <si>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</si>
  <si>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</si>
  <si>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</si>
  <si>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</si>
  <si>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</si>
  <si>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</si>
  <si>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</si>
  <si>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</si>
  <si>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</si>
  <si>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</si>
  <si>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</si>
  <si>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</si>
  <si>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</si>
  <si>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</si>
  <si>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</si>
  <si>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</si>
  <si>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</si>
  <si>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</si>
  <si>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</si>
  <si>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</si>
  <si>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</si>
  <si>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</si>
  <si>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</si>
  <si>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</si>
  <si>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</si>
  <si>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</si>
  <si>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</si>
  <si>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</si>
  <si>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</si>
  <si>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</si>
  <si>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</si>
  <si>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</si>
  <si>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</si>
  <si>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</si>
  <si>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</si>
  <si>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</si>
  <si>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</si>
  <si>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</si>
  <si>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</si>
  <si>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</si>
  <si>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</si>
  <si>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</si>
  <si>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</si>
  <si>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</si>
  <si>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</si>
  <si>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</si>
  <si>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</si>
  <si>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</si>
  <si>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</si>
  <si>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</si>
  <si>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</si>
  <si>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</si>
  <si>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</si>
  <si>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</si>
  <si>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</si>
  <si>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</si>
  <si>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</si>
  <si>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</si>
  <si>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</si>
  <si>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</si>
  <si>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</si>
  <si>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</si>
  <si>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</si>
  <si>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</si>
  <si>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</si>
  <si>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</si>
  <si>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</si>
  <si>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</si>
  <si>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</si>
  <si>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</si>
  <si>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</si>
  <si>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</si>
  <si>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</si>
  <si>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</si>
  <si>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</si>
  <si>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</si>
  <si>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</si>
  <si>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</si>
  <si>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</si>
  <si>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</si>
  <si>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</si>
  <si>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</si>
  <si>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</si>
  <si>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</si>
  <si>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</si>
  <si>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</si>
  <si>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</si>
  <si>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</si>
  <si>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</si>
  <si>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</si>
  <si>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</si>
  <si>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</si>
  <si>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</si>
  <si>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</si>
  <si>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</si>
  <si>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</si>
  <si>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</si>
  <si>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</si>
  <si>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</si>
  <si>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</si>
  <si>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</si>
  <si>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</si>
  <si>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</si>
  <si>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</si>
  <si>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</si>
  <si>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</si>
  <si>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</si>
  <si>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</si>
  <si>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</si>
  <si>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</si>
  <si>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</si>
  <si>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</si>
  <si>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</si>
  <si>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</si>
  <si>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</si>
  <si>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</si>
  <si>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</si>
  <si>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</si>
  <si>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</si>
  <si>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</si>
  <si>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</si>
  <si>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</si>
  <si>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</si>
  <si>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</si>
  <si>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</si>
  <si>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</si>
  <si>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</si>
  <si>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</si>
  <si>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</si>
  <si>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</si>
  <si>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</si>
  <si>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</si>
  <si>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</si>
  <si>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</si>
  <si>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</si>
  <si>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</si>
  <si>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</si>
  <si>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</si>
  <si>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</si>
  <si>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</si>
  <si>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</si>
  <si>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</si>
  <si>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</si>
  <si>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</si>
  <si>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</si>
  <si>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</si>
  <si>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</si>
  <si>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</si>
  <si>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</si>
  <si>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</si>
  <si>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</si>
  <si>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</si>
  <si>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</si>
  <si>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</si>
  <si>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</si>
  <si>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</si>
  <si>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</si>
  <si>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</si>
  <si>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</si>
  <si>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</si>
  <si>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</si>
  <si>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</si>
  <si>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</si>
  <si>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</si>
  <si>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</si>
  <si>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</si>
  <si>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</si>
  <si>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</si>
  <si>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</si>
  <si>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</si>
  <si>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</si>
  <si>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</si>
  <si>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</si>
  <si>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</si>
  <si>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</si>
  <si>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</si>
  <si>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</si>
  <si>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</si>
  <si>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</si>
  <si>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</si>
  <si>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</si>
  <si>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</si>
  <si>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</si>
  <si>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</si>
  <si>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</si>
  <si>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</si>
  <si>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</si>
  <si>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</si>
  <si>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</si>
  <si>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</si>
  <si>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</si>
  <si>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</si>
  <si>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</si>
  <si>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</si>
  <si>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</si>
  <si>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</si>
  <si>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</si>
  <si>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</si>
  <si>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</si>
  <si>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</si>
  <si>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</si>
  <si>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</si>
  <si>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</si>
  <si>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</si>
  <si>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</si>
  <si>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</si>
  <si>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</si>
  <si>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</si>
  <si>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</si>
  <si>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</si>
  <si>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</si>
  <si>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</si>
  <si>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</si>
  <si>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</si>
  <si>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</si>
  <si>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</si>
  <si>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</si>
  <si>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</si>
  <si>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</si>
  <si>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</si>
  <si>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</si>
  <si>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</si>
  <si>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</si>
  <si>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</si>
  <si>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</si>
  <si>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</si>
  <si>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</si>
  <si>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</si>
  <si>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</si>
  <si>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</si>
  <si>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</si>
  <si>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</si>
  <si>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</si>
  <si>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</si>
  <si>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</si>
  <si>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</si>
  <si>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</si>
  <si>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</si>
  <si>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</si>
  <si>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</si>
  <si>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</si>
  <si>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</si>
  <si>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</si>
  <si>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</si>
  <si>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</si>
  <si>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</si>
  <si>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</si>
  <si>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</si>
  <si>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</si>
  <si>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</si>
  <si>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</si>
  <si>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</si>
  <si>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</si>
  <si>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</si>
  <si>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</si>
  <si>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</si>
  <si>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</si>
  <si>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</si>
  <si>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</si>
  <si>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</si>
  <si>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</si>
  <si>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</si>
  <si>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</si>
  <si>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</si>
  <si>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</si>
  <si>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</si>
  <si>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</si>
  <si>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</si>
  <si>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</si>
  <si>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</si>
  <si>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</si>
  <si>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</si>
  <si>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</si>
  <si>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</si>
  <si>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</si>
  <si>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</si>
  <si>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</si>
  <si>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</si>
  <si>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</si>
  <si>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</si>
  <si>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</si>
  <si>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</si>
  <si>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</si>
  <si>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</si>
  <si>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</si>
  <si>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</si>
  <si>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</si>
  <si>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</si>
  <si>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</si>
  <si>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</si>
  <si>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</si>
  <si>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</si>
  <si>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</si>
  <si>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</si>
  <si>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</si>
  <si>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</si>
  <si>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</si>
  <si>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</si>
  <si>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</si>
  <si>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</si>
  <si>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</si>
  <si>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</si>
  <si>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</si>
  <si>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</si>
  <si>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</si>
  <si>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</si>
  <si>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</si>
  <si>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</si>
  <si>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</si>
  <si>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</si>
  <si>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</si>
  <si>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</si>
  <si>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</si>
  <si>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</si>
  <si>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</si>
  <si>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</si>
  <si>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</si>
  <si>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</si>
  <si>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</si>
  <si>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</si>
  <si>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</si>
  <si>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</si>
  <si>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</si>
  <si>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</si>
  <si>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</si>
  <si>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</si>
  <si>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</si>
  <si>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</si>
  <si>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</si>
  <si>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</si>
  <si>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</si>
  <si>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</si>
  <si>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</si>
  <si>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</si>
  <si>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</si>
  <si>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</si>
  <si>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</si>
  <si>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</si>
  <si>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</si>
  <si>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</si>
  <si>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</si>
  <si>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</si>
  <si>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</si>
  <si>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</si>
  <si>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</si>
  <si>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</si>
  <si>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</si>
  <si>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</si>
  <si>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</si>
  <si>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</si>
  <si>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</si>
  <si>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</si>
  <si>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</si>
  <si>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</si>
  <si>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</si>
  <si>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</si>
  <si>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</si>
  <si>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</si>
  <si>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</si>
  <si>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</si>
  <si>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</si>
  <si>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</si>
  <si>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</si>
  <si>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</si>
  <si>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</si>
  <si>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</si>
  <si>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</si>
  <si>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</si>
  <si>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</si>
  <si>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</si>
  <si>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</si>
  <si>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</si>
  <si>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</si>
  <si>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</si>
  <si>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</si>
  <si>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</si>
  <si>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</si>
  <si>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</si>
  <si>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</si>
  <si>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</si>
  <si>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</si>
  <si>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</si>
  <si>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</si>
  <si>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</si>
  <si>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</si>
  <si>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</si>
  <si>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</si>
  <si>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</si>
  <si>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</si>
  <si>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</si>
  <si>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</si>
  <si>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</si>
  <si>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</si>
  <si>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</si>
  <si>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</si>
  <si>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</si>
  <si>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</si>
  <si>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</si>
  <si>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</si>
  <si>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</si>
  <si>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</si>
  <si>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</si>
  <si>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</si>
  <si>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</si>
  <si>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</si>
  <si>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</si>
  <si>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</si>
  <si>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</si>
  <si>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</si>
  <si>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</si>
  <si>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</si>
  <si>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</si>
  <si>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</si>
  <si>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</si>
  <si>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</si>
  <si>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</si>
  <si>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</si>
  <si>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</si>
  <si>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</si>
  <si>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</si>
  <si>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</si>
  <si>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</si>
  <si>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</si>
  <si>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</si>
  <si>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</si>
  <si>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</si>
  <si>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</si>
  <si>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</si>
  <si>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</si>
  <si>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</si>
  <si>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</si>
  <si>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</si>
  <si>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</si>
  <si>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</si>
  <si>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</si>
  <si>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</si>
  <si>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</si>
  <si>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</si>
  <si>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</si>
  <si>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</si>
  <si>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</si>
  <si>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</si>
  <si>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</si>
  <si>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</si>
  <si>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</si>
  <si>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</si>
  <si>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</si>
  <si>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</si>
  <si>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</si>
  <si>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</si>
  <si>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</si>
  <si>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</si>
  <si>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</si>
  <si>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</si>
  <si>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</si>
  <si>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</si>
  <si>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</si>
  <si>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</si>
  <si>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</si>
  <si>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</si>
  <si>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</si>
  <si>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</si>
  <si>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</si>
  <si>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</si>
  <si>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</si>
  <si>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</si>
  <si>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</si>
  <si>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</si>
  <si>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</si>
  <si>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</si>
  <si>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</si>
  <si>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</si>
  <si>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</si>
  <si>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</si>
  <si>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</si>
  <si>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</si>
  <si>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</si>
  <si>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</si>
  <si>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</si>
  <si>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</si>
  <si>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</si>
  <si>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</si>
  <si>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</si>
  <si>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</si>
  <si>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</si>
  <si>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</si>
  <si>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</si>
  <si>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</si>
  <si>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</si>
  <si>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</si>
  <si>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</si>
  <si>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</si>
  <si>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</si>
  <si>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</si>
  <si>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</si>
  <si>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</si>
  <si>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</si>
  <si>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</si>
  <si>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</si>
  <si>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</si>
  <si>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</si>
  <si>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</si>
  <si>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</si>
  <si>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</si>
  <si>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</si>
  <si>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</si>
  <si>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</si>
  <si>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</si>
  <si>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</si>
  <si>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</si>
  <si>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</si>
  <si>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</si>
  <si>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</si>
  <si>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</si>
  <si>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</si>
  <si>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</si>
  <si>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</si>
  <si>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</si>
  <si>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</si>
  <si>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</si>
  <si>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</si>
  <si>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</si>
  <si>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</si>
  <si>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</si>
  <si>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</si>
  <si>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</si>
  <si>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</si>
  <si>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</si>
  <si>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</si>
  <si>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</si>
  <si>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</si>
  <si>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</si>
  <si>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</si>
  <si>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</si>
  <si>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</si>
  <si>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</si>
  <si>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</si>
  <si>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</si>
  <si>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</si>
  <si>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</si>
  <si>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</si>
  <si>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</si>
  <si>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</si>
  <si>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</si>
  <si>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</si>
  <si>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</si>
  <si>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</si>
  <si>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</si>
  <si>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</si>
  <si>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</si>
  <si>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</si>
  <si>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</si>
  <si>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</si>
  <si>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</si>
  <si>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</si>
  <si>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</si>
  <si>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</si>
  <si>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</si>
  <si>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</si>
  <si>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</si>
  <si>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</si>
  <si>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</si>
  <si>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</si>
  <si>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</si>
  <si>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</si>
  <si>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</si>
  <si>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</si>
  <si>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</si>
  <si>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</si>
  <si>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</si>
  <si>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</si>
  <si>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</si>
  <si>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</si>
  <si>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</si>
  <si>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</si>
  <si>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</si>
  <si>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</si>
  <si>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</si>
  <si>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</si>
  <si>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</si>
  <si>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</si>
  <si>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</si>
  <si>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</si>
  <si>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</si>
  <si>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</si>
  <si>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</si>
  <si>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</si>
  <si>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</si>
  <si>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</si>
  <si>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</si>
  <si>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</si>
  <si>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</si>
  <si>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</si>
  <si>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</si>
  <si>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</si>
  <si>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</si>
  <si>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</si>
  <si>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</si>
  <si>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</si>
  <si>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</si>
  <si>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</si>
  <si>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</si>
  <si>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</si>
  <si>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</si>
  <si>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</si>
  <si>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</si>
  <si>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</si>
  <si>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</si>
  <si>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</si>
  <si>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</si>
  <si>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</si>
  <si>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</si>
  <si>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</si>
  <si>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</si>
  <si>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</si>
  <si>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</si>
  <si>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</si>
  <si>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</si>
  <si>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</si>
  <si>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</si>
  <si>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</si>
  <si>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</si>
  <si>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</si>
  <si>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</si>
  <si>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</si>
  <si>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</si>
  <si>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</si>
  <si>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</si>
  <si>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</si>
  <si>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</si>
  <si>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</si>
  <si>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</si>
  <si>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</si>
  <si>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</si>
  <si>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</si>
  <si>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</si>
  <si>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</si>
  <si>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</si>
  <si>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</si>
  <si>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</si>
  <si>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</si>
  <si>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</si>
  <si>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</si>
  <si>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</si>
  <si>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</si>
  <si>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</si>
  <si>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</si>
  <si>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</si>
  <si>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</si>
  <si>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</si>
  <si>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</si>
  <si>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</si>
  <si>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</si>
  <si>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</si>
  <si>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</si>
  <si>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</si>
  <si>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</si>
  <si>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</si>
  <si>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</si>
  <si>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</si>
  <si>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</si>
  <si>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</si>
  <si>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</si>
  <si>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</si>
  <si>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</si>
  <si>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</si>
  <si>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</si>
  <si>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</si>
  <si>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</si>
  <si>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</si>
  <si>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</si>
  <si>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</si>
  <si>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</si>
  <si>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</si>
  <si>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</si>
  <si>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</si>
  <si>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</si>
  <si>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</si>
  <si>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</si>
  <si>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</si>
  <si>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</si>
  <si>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</si>
  <si>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</si>
  <si>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</si>
  <si>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</si>
  <si>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</si>
  <si>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</si>
  <si>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</si>
  <si>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</si>
  <si>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</si>
  <si>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</si>
  <si>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</si>
  <si>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</si>
  <si>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</si>
  <si>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</si>
  <si>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</si>
  <si>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</si>
  <si>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</si>
  <si>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</si>
  <si>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</si>
  <si>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</si>
  <si>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</si>
  <si>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</si>
  <si>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</si>
  <si>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</si>
  <si>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</si>
  <si>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</si>
  <si>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</si>
  <si>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</si>
  <si>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</si>
  <si>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</si>
  <si>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</si>
  <si>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</si>
  <si>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</si>
  <si>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</si>
  <si>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</si>
  <si>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</si>
  <si>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</si>
  <si>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</si>
  <si>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</si>
  <si>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</si>
  <si>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</si>
  <si>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</si>
  <si>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</si>
  <si>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</si>
  <si>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</si>
  <si>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</si>
  <si>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</si>
  <si>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</si>
  <si>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</si>
  <si>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</si>
  <si>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</si>
  <si>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</si>
  <si>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</si>
  <si>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</si>
  <si>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</si>
  <si>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</si>
  <si>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</si>
  <si>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</si>
  <si>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</si>
  <si>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</si>
  <si>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</si>
  <si>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</si>
  <si>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</si>
  <si>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</si>
  <si>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</si>
  <si>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</si>
  <si>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</si>
  <si>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</si>
  <si>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</si>
  <si>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</si>
  <si>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</si>
  <si>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</si>
  <si>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</si>
  <si>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</si>
  <si>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</si>
  <si>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</si>
  <si>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</si>
  <si>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</si>
  <si>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</si>
  <si>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</si>
  <si>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</si>
  <si>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</si>
  <si>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</si>
  <si>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</si>
  <si>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</si>
  <si>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</si>
  <si>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</si>
  <si>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</si>
  <si>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</si>
  <si>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</si>
  <si>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</si>
  <si>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</si>
  <si>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</si>
  <si>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</si>
  <si>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</si>
  <si>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</si>
  <si>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</si>
  <si>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</si>
  <si>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</si>
  <si>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</si>
  <si>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</si>
  <si>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</si>
  <si>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</si>
  <si>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</si>
  <si>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</si>
  <si>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</si>
  <si>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</si>
  <si>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</si>
  <si>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</si>
  <si>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</si>
  <si>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</si>
  <si>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</si>
  <si>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</si>
  <si>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</si>
  <si>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</si>
  <si>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</si>
  <si>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</si>
  <si>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</si>
  <si>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</si>
  <si>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</si>
  <si>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</si>
  <si>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</si>
  <si>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</si>
  <si>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</si>
  <si>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</si>
  <si>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</si>
  <si>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</si>
  <si>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</si>
  <si>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</si>
  <si>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</si>
  <si>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</si>
  <si>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</si>
  <si>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</si>
  <si>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</si>
  <si>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</si>
  <si>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</si>
  <si>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</si>
  <si>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</si>
  <si>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</si>
  <si>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</si>
  <si>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</si>
  <si>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</si>
  <si>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</si>
  <si>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</si>
  <si>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</si>
  <si>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</si>
  <si>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</si>
  <si>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</si>
  <si>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</si>
  <si>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</si>
  <si>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</si>
  <si>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</si>
  <si>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</si>
  <si>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</si>
  <si>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</si>
  <si>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</si>
  <si>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</si>
  <si>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</si>
  <si>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</si>
  <si>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</si>
  <si>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</si>
  <si>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</si>
  <si>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</si>
  <si>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</si>
  <si>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</si>
  <si>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</si>
  <si>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</si>
  <si>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</si>
  <si>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</si>
  <si>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</si>
  <si>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</si>
  <si>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</si>
  <si>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</si>
  <si>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</si>
  <si>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</si>
  <si>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</si>
  <si>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</si>
  <si>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</si>
  <si>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</si>
  <si>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</si>
  <si>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</si>
  <si>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</si>
  <si>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</si>
  <si>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</si>
  <si>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</si>
  <si>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</si>
  <si>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</si>
  <si>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</si>
  <si>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</si>
  <si>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</si>
  <si>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</si>
  <si>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</si>
  <si>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</si>
  <si>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</si>
  <si>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</si>
  <si>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</si>
  <si>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</si>
  <si>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</si>
  <si>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</si>
  <si>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</si>
  <si>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</si>
  <si>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</si>
  <si>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</si>
  <si>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</si>
  <si>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</si>
  <si>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</si>
  <si>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</si>
  <si>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</si>
  <si>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</si>
  <si>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</si>
  <si>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</si>
  <si>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</si>
  <si>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</si>
  <si>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</si>
  <si>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</si>
  <si>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</si>
  <si>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</si>
  <si>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</si>
  <si>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</si>
  <si>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</si>
  <si>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</si>
  <si>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</si>
  <si>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</si>
  <si>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</si>
  <si>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</si>
  <si>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</si>
  <si>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</si>
  <si>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</si>
  <si>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</si>
  <si>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</si>
  <si>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</si>
  <si>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</si>
  <si>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</si>
  <si>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</si>
  <si>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</si>
  <si>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</si>
  <si>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</si>
  <si>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</si>
  <si>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</si>
  <si>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</si>
  <si>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</si>
  <si>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</si>
  <si>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</si>
  <si>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</si>
  <si>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</si>
  <si>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</si>
  <si>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</si>
  <si>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</si>
  <si>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</si>
  <si>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</si>
  <si>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</si>
  <si>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</si>
  <si>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</si>
  <si>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</si>
  <si>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</si>
  <si>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</si>
  <si>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</si>
  <si>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</si>
  <si>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</si>
  <si>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</si>
  <si>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</si>
  <si>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</si>
  <si>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</si>
  <si>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</si>
  <si>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</si>
  <si>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</si>
  <si>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</si>
  <si>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</si>
  <si>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</si>
  <si>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</si>
  <si>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</si>
  <si>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</si>
  <si>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</si>
  <si>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</si>
  <si>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</si>
  <si>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</si>
  <si>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</si>
  <si>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</si>
  <si>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</si>
  <si>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</si>
  <si>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</si>
  <si>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</si>
  <si>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</si>
  <si>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</si>
  <si>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</si>
  <si>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</si>
  <si>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</si>
  <si>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</si>
  <si>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</si>
  <si>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</si>
  <si>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</si>
  <si>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</si>
  <si>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</si>
  <si>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</si>
  <si>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</si>
  <si>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</si>
  <si>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</si>
  <si>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</si>
  <si>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</si>
  <si>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</si>
  <si>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</si>
  <si>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</si>
  <si>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</si>
  <si>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</si>
  <si>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</si>
  <si>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</si>
  <si>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</si>
  <si>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</si>
  <si>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</si>
  <si>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</si>
  <si>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</si>
  <si>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</si>
  <si>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</si>
  <si>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</si>
  <si>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</si>
  <si>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</si>
  <si>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</si>
  <si>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</si>
  <si>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</si>
  <si>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</si>
  <si>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</si>
  <si>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</si>
  <si>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</si>
  <si>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</si>
  <si>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</si>
  <si>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</si>
  <si>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</si>
  <si>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</si>
  <si>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</si>
  <si>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</si>
  <si>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</si>
  <si>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</si>
  <si>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</si>
  <si>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</si>
  <si>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</si>
  <si>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</si>
  <si>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</si>
  <si>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</si>
  <si>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</si>
  <si>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</si>
  <si>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</si>
  <si>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</si>
  <si>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</si>
  <si>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</si>
  <si>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</si>
  <si>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</si>
  <si>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</si>
  <si>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</si>
  <si>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</si>
  <si>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</si>
  <si>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</si>
  <si>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</si>
  <si>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</si>
  <si>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</si>
  <si>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</si>
  <si>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</si>
  <si>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</si>
  <si>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</si>
  <si>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</si>
  <si>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</si>
  <si>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</si>
  <si>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</si>
  <si>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</si>
  <si>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</si>
  <si>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</si>
  <si>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</si>
  <si>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</si>
  <si>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</si>
  <si>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</si>
  <si>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</si>
  <si>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</si>
  <si>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</si>
  <si>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</si>
  <si>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</si>
  <si>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</si>
  <si>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</si>
  <si>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</si>
  <si>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</si>
  <si>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</si>
  <si>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</si>
  <si>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</si>
  <si>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</si>
  <si>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</si>
  <si>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</si>
  <si>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</si>
  <si>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</si>
  <si>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</si>
  <si>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</si>
  <si>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</si>
  <si>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</si>
  <si>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</si>
  <si>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</si>
  <si>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</si>
  <si>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</si>
  <si>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</si>
  <si>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</si>
  <si>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</si>
  <si>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</si>
  <si>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</si>
  <si>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</si>
  <si>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</si>
  <si>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</si>
  <si>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</si>
  <si>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</si>
  <si>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</si>
  <si>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</si>
  <si>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</si>
  <si>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</si>
  <si>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</si>
  <si>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</si>
  <si>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</si>
  <si>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</si>
  <si>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</si>
  <si>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</si>
  <si>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</si>
  <si>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</si>
  <si>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</si>
  <si>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</si>
  <si>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</si>
  <si>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</si>
  <si>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</si>
  <si>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</si>
  <si>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</si>
  <si>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</si>
  <si>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</si>
  <si>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</si>
  <si>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</si>
  <si>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</si>
  <si>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</si>
  <si>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</si>
  <si>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</si>
  <si>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</si>
  <si>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</si>
  <si>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</si>
  <si>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</si>
  <si>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</si>
  <si>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</si>
  <si>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</si>
  <si>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</si>
  <si>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</si>
  <si>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</si>
  <si>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</si>
  <si>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</si>
  <si>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</si>
  <si>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</si>
  <si>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</si>
  <si>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</si>
  <si>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</si>
  <si>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</si>
  <si>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</si>
  <si>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</si>
  <si>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</si>
  <si>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</si>
  <si>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</si>
  <si>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</si>
  <si>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</si>
  <si>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</si>
  <si>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</si>
  <si>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</si>
  <si>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</si>
  <si>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</si>
  <si>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</si>
  <si>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</si>
  <si>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</si>
  <si>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</si>
  <si>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</si>
  <si>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</si>
  <si>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</si>
  <si>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</si>
  <si>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</si>
  <si>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</si>
  <si>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</si>
  <si>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</si>
  <si>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</si>
  <si>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</si>
  <si>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</si>
  <si>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</si>
  <si>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</si>
  <si>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</si>
  <si>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</si>
  <si>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</si>
  <si>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</si>
  <si>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</si>
  <si>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</si>
  <si>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</si>
  <si>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</si>
  <si>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</si>
  <si>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</si>
  <si>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</si>
  <si>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</si>
  <si>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</si>
  <si>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</si>
  <si>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</si>
  <si>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</si>
  <si>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</si>
  <si>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</si>
  <si>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</si>
  <si>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</si>
  <si>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</si>
  <si>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</si>
  <si>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</si>
  <si>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</si>
  <si>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</si>
  <si>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</si>
  <si>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</si>
  <si>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</si>
  <si>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</si>
  <si>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</si>
  <si>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</si>
  <si>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</si>
  <si>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</si>
  <si>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</si>
  <si>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</si>
  <si>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</si>
  <si>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</si>
  <si>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</si>
  <si>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</si>
  <si>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</si>
  <si>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</si>
  <si>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</si>
  <si>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</si>
  <si>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</si>
  <si>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</si>
  <si>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</si>
  <si>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</si>
  <si>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</si>
  <si>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</si>
  <si>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</si>
  <si>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</si>
  <si>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</si>
  <si>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</si>
  <si>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</si>
  <si>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</si>
  <si>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</si>
  <si>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</si>
  <si>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</si>
  <si>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</si>
  <si>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</si>
  <si>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</si>
  <si>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</si>
  <si>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</si>
  <si>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</si>
  <si>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</si>
  <si>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</si>
  <si>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</si>
  <si>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</si>
  <si>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</si>
  <si>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</si>
  <si>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</si>
  <si>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</si>
  <si>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</si>
  <si>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</si>
  <si>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</si>
  <si>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</si>
  <si>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</si>
  <si>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</si>
  <si>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</si>
  <si>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</si>
  <si>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</si>
  <si>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</si>
  <si>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</si>
  <si>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</si>
  <si>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</si>
  <si>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</si>
  <si>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</si>
  <si>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</si>
  <si>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</si>
  <si>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</si>
  <si>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</si>
  <si>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</si>
  <si>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</si>
  <si>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</si>
  <si>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</si>
  <si>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</si>
  <si>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</si>
  <si>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</si>
  <si>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</si>
  <si>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</si>
  <si>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</si>
  <si>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</si>
  <si>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</si>
  <si>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</si>
  <si>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</si>
  <si>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</si>
  <si>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</si>
  <si>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</si>
  <si>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</si>
  <si>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</si>
  <si>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</si>
  <si>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</si>
  <si>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</si>
  <si>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</si>
  <si>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</si>
  <si>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</si>
  <si>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</si>
  <si>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</si>
  <si>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</si>
  <si>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</si>
  <si>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</si>
  <si>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</si>
  <si>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</si>
  <si>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</si>
  <si>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</si>
  <si>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</si>
  <si>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</si>
  <si>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</si>
  <si>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</si>
  <si>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</si>
  <si>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</si>
  <si>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</si>
  <si>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</si>
  <si>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</si>
  <si>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</si>
  <si>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</si>
  <si>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</si>
  <si>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</si>
  <si>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</si>
  <si>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</si>
  <si>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</si>
  <si>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</si>
  <si>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</si>
  <si>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</si>
  <si>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</si>
  <si>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</si>
  <si>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</si>
  <si>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</si>
  <si>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</si>
  <si>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</si>
  <si>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</si>
  <si>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</si>
  <si>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</si>
  <si>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</si>
  <si>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</si>
  <si>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</si>
  <si>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</si>
  <si>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</si>
  <si>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</si>
  <si>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</si>
  <si>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</si>
  <si>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</si>
  <si>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</si>
  <si>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</si>
  <si>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</si>
  <si>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</si>
  <si>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</si>
  <si>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</si>
  <si>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</si>
  <si>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</si>
  <si>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</si>
  <si>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</si>
  <si>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</si>
  <si>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</si>
  <si>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</si>
  <si>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</si>
  <si>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</si>
  <si>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</si>
  <si>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</si>
  <si>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</si>
  <si>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</si>
  <si>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</si>
  <si>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</si>
  <si>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</si>
  <si>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</si>
  <si>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</si>
  <si>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</si>
  <si>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</si>
  <si>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</si>
  <si>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</si>
  <si>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</si>
  <si>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</si>
  <si>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</si>
  <si>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</si>
  <si>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</si>
  <si>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</si>
  <si>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</si>
  <si>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</si>
  <si>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</si>
  <si>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</si>
  <si>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</si>
  <si>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</si>
  <si>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</si>
  <si>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</si>
  <si>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</si>
  <si>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</si>
  <si>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</si>
  <si>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</si>
  <si>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</si>
  <si>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</si>
  <si>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</si>
  <si>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</si>
  <si>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</si>
  <si>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</si>
  <si>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</si>
  <si>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</si>
  <si>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</si>
  <si>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</si>
  <si>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</si>
  <si>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</si>
  <si>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</si>
  <si>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</si>
  <si>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</si>
  <si>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</si>
  <si>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</si>
  <si>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</si>
  <si>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</si>
  <si>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</si>
  <si>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</si>
  <si>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</si>
  <si>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</si>
  <si>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</si>
  <si>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</si>
  <si>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</si>
  <si>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</si>
  <si>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</si>
  <si>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</si>
  <si>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</si>
  <si>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</si>
  <si>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</si>
  <si>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</si>
  <si>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</si>
  <si>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</si>
  <si>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</si>
  <si>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</si>
  <si>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</si>
  <si>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</si>
  <si>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</si>
  <si>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</si>
  <si>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</si>
  <si>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Carroll, Jo Daviess</t>
  </si>
  <si>
    <t>27 S. State Avenue, Suite 101</t>
  </si>
  <si>
    <t>Freeport</t>
  </si>
  <si>
    <t>Kris Hall</t>
  </si>
  <si>
    <t>khall@cteacademy.net</t>
  </si>
  <si>
    <t>815-599-1408</t>
  </si>
  <si>
    <t>815-297-9032</t>
  </si>
  <si>
    <t>Aaron Mercier</t>
  </si>
  <si>
    <t>amercier@roe8.com</t>
  </si>
  <si>
    <t>No contract obligations</t>
  </si>
  <si>
    <t>Account</t>
  </si>
  <si>
    <t>Page</t>
  </si>
  <si>
    <t>Line</t>
  </si>
  <si>
    <t>Perkins CTE Federal Secondary School Program</t>
  </si>
  <si>
    <t>X</t>
  </si>
  <si>
    <t>Warren, Lena-Winslow, River Ridge, Stockton *</t>
  </si>
  <si>
    <t>* = Scales Mound, West Carroll, East Dubuque, Galena, Jo Daviess Carroll CTE Academy</t>
  </si>
  <si>
    <t>Eagle Ridge Vocational Del Sys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</si>
</sst>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181" fontId="56" fillId="0" borderId="165" xfId="19" applyNumberFormat="1" applyFont="1" applyBorder="1"/>
    <xf numFmtId="0" fontId="74" fillId="0" borderId="0" xfId="0" applyFont="1" applyAlignment="1">
      <alignment horizontal="center"/>
    </xf>
    <xf numFmtId="0" fontId="56" fillId="0" borderId="0" xfId="0" applyFont="1" applyAlignment="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424295</xdr:colOff>
          <xdr:row>3</xdr:row>
          <xdr:rowOff>95250</xdr:rowOff>
        </xdr:from>
        <xdr:to>
          <xdr:col>1</xdr:col>
          <xdr:colOff>1338695</xdr:colOff>
          <xdr:row>7</xdr:row>
          <xdr:rowOff>133350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zoomScaleNormal="10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c r="C5" s="26" t="s">
        <v>910</v>
      </c>
      <c r="D5" s="84"/>
      <c r="E5" s="84"/>
      <c r="H5" s="38"/>
      <c r="I5" s="1993" t="s">
        <v>680</v>
      </c>
      <c r="J5" s="1992"/>
      <c r="K5" s="1992"/>
      <c r="L5" s="1992"/>
      <c r="M5" s="1992"/>
      <c r="N5" s="1992"/>
      <c r="O5" s="1992"/>
      <c r="P5" s="1992"/>
      <c r="Q5" s="1992"/>
      <c r="R5" s="1992"/>
      <c r="S5" s="1992"/>
    </row>
    <row r="6" spans="1:28" ht="14.1" customHeight="1" x14ac:dyDescent="0.2">
      <c r="B6" s="104" t="s">
        <v>2073</v>
      </c>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2073</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8000000046</v>
      </c>
      <c r="B13" s="2019"/>
      <c r="C13" s="2019"/>
      <c r="D13" s="2019"/>
      <c r="E13" s="2019"/>
      <c r="F13" s="2019"/>
      <c r="G13" s="2019"/>
      <c r="H13" s="2020"/>
      <c r="I13" s="31"/>
      <c r="J13" s="30"/>
      <c r="K13" s="28"/>
      <c r="L13" s="30"/>
      <c r="M13" s="30"/>
      <c r="N13" s="30"/>
      <c r="O13" s="30"/>
      <c r="P13" s="30"/>
      <c r="Q13" s="30"/>
      <c r="R13" s="30"/>
      <c r="S13" s="30"/>
      <c r="T13" s="2023" t="s">
        <v>2064</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2074</v>
      </c>
      <c r="B15" s="2021"/>
      <c r="C15" s="2021"/>
      <c r="D15" s="2021"/>
      <c r="E15" s="2021"/>
      <c r="F15" s="2021"/>
      <c r="G15" s="2021"/>
      <c r="H15" s="2022"/>
      <c r="T15" s="2027" t="s">
        <v>2065</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2091</v>
      </c>
      <c r="B17" s="1978"/>
      <c r="C17" s="1978"/>
      <c r="D17" s="1978"/>
      <c r="E17" s="1978"/>
      <c r="F17" s="1978"/>
      <c r="G17" s="1978"/>
      <c r="H17" s="2003"/>
      <c r="T17" s="2034" t="s">
        <v>2066</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2075</v>
      </c>
      <c r="B19" s="1963"/>
      <c r="C19" s="1963"/>
      <c r="D19" s="1963"/>
      <c r="E19" s="1963"/>
      <c r="F19" s="1963"/>
      <c r="G19" s="1963"/>
      <c r="H19" s="1943"/>
      <c r="I19" s="30"/>
      <c r="J19" s="99"/>
      <c r="K19" s="40"/>
      <c r="L19" s="38"/>
      <c r="M19" s="112" t="s">
        <v>315</v>
      </c>
      <c r="P19" s="27"/>
      <c r="Q19" s="27"/>
      <c r="R19" s="27"/>
      <c r="S19" s="31"/>
      <c r="T19" s="2017" t="s">
        <v>2067</v>
      </c>
      <c r="U19" s="1942"/>
      <c r="V19" s="1942"/>
      <c r="W19" s="1943"/>
      <c r="X19" s="2032" t="s">
        <v>2068</v>
      </c>
      <c r="Y19" s="2033"/>
      <c r="Z19" s="2030">
        <v>61032</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2076</v>
      </c>
      <c r="B21" s="1942"/>
      <c r="C21" s="1942"/>
      <c r="D21" s="1942"/>
      <c r="E21" s="1942"/>
      <c r="F21" s="1942"/>
      <c r="G21" s="1942"/>
      <c r="H21" s="1943"/>
      <c r="I21" s="1997" t="s">
        <v>678</v>
      </c>
      <c r="J21" s="1992"/>
      <c r="K21" s="1992"/>
      <c r="L21" s="1992"/>
      <c r="M21" s="1992"/>
      <c r="N21" s="1992"/>
      <c r="O21" s="1992"/>
      <c r="P21" s="1992"/>
      <c r="Q21" s="1992"/>
      <c r="R21" s="1992"/>
      <c r="S21" s="1998"/>
      <c r="T21" s="2041" t="s">
        <v>2069</v>
      </c>
      <c r="U21" s="2042"/>
      <c r="V21" s="2042"/>
      <c r="W21" s="2042"/>
      <c r="X21" s="2047" t="s">
        <v>2070</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2071</v>
      </c>
      <c r="U23" s="2040"/>
      <c r="V23" s="2040"/>
      <c r="W23" s="2040"/>
      <c r="X23" s="2044">
        <v>44530</v>
      </c>
      <c r="Y23" s="2045"/>
      <c r="Z23" s="2045"/>
      <c r="AA23" s="2046"/>
    </row>
    <row r="24" spans="1:27" ht="14.1" customHeight="1" x14ac:dyDescent="0.2">
      <c r="A24" s="88" t="s">
        <v>677</v>
      </c>
      <c r="B24" s="49"/>
      <c r="C24" s="49"/>
      <c r="D24" s="49"/>
      <c r="E24" s="49"/>
      <c r="F24" s="49"/>
      <c r="G24" s="49"/>
      <c r="H24" s="61"/>
      <c r="J24" s="1964" t="str">
        <f>IF(B5="x",IF(AUDITCHECK!D29="AFR form Incomplete.","",IF(AUDITCHECK!D29="Deficit reduction plan is required.","School District must complete a deficit reduction plan in the 2019-2020 Budget",)),"")</f>
        <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61032</v>
      </c>
      <c r="B25" s="1942"/>
      <c r="C25" s="1942"/>
      <c r="D25" s="1942"/>
      <c r="E25" s="1942"/>
      <c r="F25" s="1942"/>
      <c r="G25" s="1942"/>
      <c r="H25" s="1943"/>
      <c r="I25" s="113"/>
      <c r="J25" s="1966"/>
      <c r="K25" s="1966"/>
      <c r="L25" s="1966"/>
      <c r="M25" s="1966"/>
      <c r="N25" s="1966"/>
      <c r="O25" s="1966"/>
      <c r="P25" s="1966"/>
      <c r="Q25" s="1966"/>
      <c r="R25" s="1966"/>
      <c r="S25" s="1967"/>
      <c r="T25" s="2037" t="s">
        <v>2072</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2088</v>
      </c>
      <c r="M29" s="40" t="s">
        <v>99</v>
      </c>
      <c r="N29" s="32" t="s">
        <v>1523</v>
      </c>
      <c r="O29" s="32"/>
      <c r="P29" s="32"/>
      <c r="Q29" s="32"/>
      <c r="R29" s="32"/>
      <c r="S29" s="123"/>
      <c r="T29" s="6"/>
      <c r="U29" s="6"/>
      <c r="V29" s="6"/>
      <c r="W29" s="6"/>
      <c r="X29" s="6"/>
      <c r="Y29" s="6"/>
      <c r="Z29" s="6"/>
      <c r="AA29" s="132"/>
    </row>
    <row r="30" spans="1:27" ht="13.5" customHeight="1" x14ac:dyDescent="0.2">
      <c r="A30" s="153"/>
      <c r="B30" s="136" t="s">
        <v>2088</v>
      </c>
      <c r="C30" s="124" t="s">
        <v>1164</v>
      </c>
      <c r="D30" s="28"/>
      <c r="E30" s="28"/>
      <c r="F30" s="140"/>
      <c r="G30" s="114"/>
      <c r="H30" s="114"/>
      <c r="I30" s="54"/>
      <c r="J30" s="102"/>
      <c r="K30" s="28" t="s">
        <v>576</v>
      </c>
      <c r="L30" s="148" t="s">
        <v>2088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2077</v>
      </c>
      <c r="B38" s="1978"/>
      <c r="C38" s="1978"/>
      <c r="D38" s="1978"/>
      <c r="E38" s="1978"/>
      <c r="F38" s="1942"/>
      <c r="G38" s="1942"/>
      <c r="H38" s="1943"/>
      <c r="I38" s="1970"/>
      <c r="J38" s="1971"/>
      <c r="K38" s="1971"/>
      <c r="L38" s="1971"/>
      <c r="M38" s="1971"/>
      <c r="N38" s="1971"/>
      <c r="O38" s="1971"/>
      <c r="P38" s="1972"/>
      <c r="Q38" s="1972"/>
      <c r="R38" s="1972"/>
      <c r="S38" s="1973"/>
      <c r="T38" s="2027" t="s">
        <v>2081</v>
      </c>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2078</v>
      </c>
      <c r="B40" s="1956"/>
      <c r="C40" s="1957"/>
      <c r="D40" s="1957"/>
      <c r="E40" s="1957"/>
      <c r="F40" s="1958"/>
      <c r="G40" s="1958"/>
      <c r="H40" s="1959"/>
      <c r="I40" s="1980"/>
      <c r="J40" s="1981"/>
      <c r="K40" s="1981"/>
      <c r="L40" s="1981"/>
      <c r="M40" s="1981"/>
      <c r="N40" s="1981"/>
      <c r="O40" s="1981"/>
      <c r="P40" s="1981"/>
      <c r="Q40" s="1981"/>
      <c r="R40" s="1981"/>
      <c r="S40" s="1982"/>
      <c r="T40" s="1980" t="s">
        <v>2082</v>
      </c>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2079</v>
      </c>
      <c r="B42" s="1961"/>
      <c r="C42" s="1962"/>
      <c r="D42" s="1960" t="s">
        <v>2080</v>
      </c>
      <c r="E42" s="1961"/>
      <c r="F42" s="1961"/>
      <c r="G42" s="1961"/>
      <c r="H42" s="1962"/>
      <c r="I42" s="1944"/>
      <c r="J42" s="1945"/>
      <c r="K42" s="1945"/>
      <c r="L42" s="1945"/>
      <c r="M42" s="1945"/>
      <c r="N42" s="1945"/>
      <c r="O42" s="1946"/>
      <c r="P42" s="1979"/>
      <c r="Q42" s="1945"/>
      <c r="R42" s="1945"/>
      <c r="S42" s="1946"/>
      <c r="T42" s="1944" t="s">
        <v>2079</v>
      </c>
      <c r="U42" s="1945"/>
      <c r="V42" s="1945"/>
      <c r="W42" s="1946"/>
      <c r="X42" s="1979" t="s">
        <v>2080</v>
      </c>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topLeftCell="A19"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K28" sqref="K2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0</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0</v>
      </c>
      <c r="I23" s="1758">
        <f>SUM(I14:I16,I21,I22)</f>
        <v>0</v>
      </c>
      <c r="J23" s="1758">
        <f>SUM(J14:J16,J21,J22)</f>
        <v>0</v>
      </c>
      <c r="K23" s="1758">
        <f>SUM(K14:K16,K21,K22)</f>
        <v>0</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topLeftCell="A10" colorId="8" zoomScale="110" zoomScaleNormal="110" workbookViewId="0">
      <selection activeCell="J12" sqref="J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77518</v>
      </c>
      <c r="D12" s="844">
        <v>10148</v>
      </c>
      <c r="E12" s="844"/>
      <c r="F12" s="1760">
        <f>(C12+D12)-E12</f>
        <v>87666</v>
      </c>
      <c r="G12" s="843">
        <v>10</v>
      </c>
      <c r="H12" s="765">
        <v>17086</v>
      </c>
      <c r="I12" s="765">
        <v>8079</v>
      </c>
      <c r="J12" s="765"/>
      <c r="K12" s="1769">
        <f>(H12+I12)-J12</f>
        <v>25165</v>
      </c>
      <c r="L12" s="1769">
        <f>F12-K12</f>
        <v>62501</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77518</v>
      </c>
      <c r="D16" s="1760">
        <f>SUM(D3,D5:D6,D8:D10,D12:D15)</f>
        <v>10148</v>
      </c>
      <c r="E16" s="1760">
        <f>SUM(E3,E5:E6,E8:E10,E12:E15)</f>
        <v>0</v>
      </c>
      <c r="F16" s="1760">
        <f>SUM(F3,F5:F6,F8:F10,F12:F15)</f>
        <v>87666</v>
      </c>
      <c r="G16" s="843"/>
      <c r="H16" s="1760">
        <f>SUM(H3,H6,H8:H10,H12:H14,)</f>
        <v>17086</v>
      </c>
      <c r="I16" s="1760">
        <f>SUM(I3,I6,I8:I10,I12:I14,)</f>
        <v>8079</v>
      </c>
      <c r="J16" s="1760">
        <f>SUM(J3,J6,J8:J10,J12:J14,)</f>
        <v>0</v>
      </c>
      <c r="K16" s="1760">
        <f>(H16+I16)-J16</f>
        <v>25165</v>
      </c>
      <c r="L16" s="1760">
        <f>F16-K16</f>
        <v>62501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8079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166" activePane="bottomLeft" state="frozen"/>
      <selection activeCell="A47" sqref="A47"/>
      <selection pane="bottomLeft" activeCell="F173" sqref="F17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284116</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284116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55000</v>
      </c>
      <c r="G53" s="865"/>
    </row>
    <row r="54" spans="1:7" x14ac:dyDescent="0.2">
      <c r="A54" s="869" t="s">
        <v>459</v>
      </c>
      <c r="B54" s="869" t="s">
        <v>1476</v>
      </c>
      <c r="C54" s="889" t="s">
        <v>982</v>
      </c>
      <c r="D54" s="885" t="s">
        <v>1095</v>
      </c>
      <c r="E54" s="868"/>
      <c r="F54" s="1913">
        <f>'Expenditures 15-22'!G114</f>
        <v>10148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65148</v>
      </c>
      <c r="G76" s="865"/>
    </row>
    <row r="77" spans="1:8" s="893" customFormat="1" ht="12" customHeight="1" thickTop="1" thickBot="1" x14ac:dyDescent="0.25">
      <c r="A77" s="1779"/>
      <c r="B77" s="1776"/>
      <c r="C77" s="1772"/>
      <c r="D77" s="1777" t="s">
        <v>1900</v>
      </c>
      <c r="E77" s="1774"/>
      <c r="F77" s="1780">
        <f>(F14-F76)</f>
        <v>218968</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23911</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49454</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0</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73365</v>
      </c>
    </row>
    <row r="175" spans="1:7" ht="12" customHeight="1" x14ac:dyDescent="0.2">
      <c r="A175" s="1770"/>
      <c r="B175" s="1784"/>
      <c r="C175" s="1785"/>
      <c r="D175" s="1786" t="s">
        <v>2057</v>
      </c>
      <c r="E175" s="1787"/>
      <c r="F175" s="1789">
        <f>'PCTC-OEPP 27-28'!F77-F174</f>
        <v>145603</v>
      </c>
    </row>
    <row r="176" spans="1:7" ht="12" customHeight="1" x14ac:dyDescent="0.2">
      <c r="A176" s="1770"/>
      <c r="B176" s="1784"/>
      <c r="C176" s="1785"/>
      <c r="D176" s="1786" t="s">
        <v>1817</v>
      </c>
      <c r="E176" s="1787"/>
      <c r="F176" s="1789">
        <f>'Cap Outlay Deprec 26'!I18</f>
        <v>8079</v>
      </c>
    </row>
    <row r="177" spans="1:7" ht="12" customHeight="1" x14ac:dyDescent="0.2">
      <c r="A177" s="1770"/>
      <c r="B177" s="1784"/>
      <c r="C177" s="1785"/>
      <c r="D177" s="1786" t="s">
        <v>2058</v>
      </c>
      <c r="E177" s="1787"/>
      <c r="F177" s="1789">
        <f>F175+F176</f>
        <v>153682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topLeftCell="A13" zoomScaleNormal="100" workbookViewId="0">
      <selection activeCell="A18" sqref="A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2083</v>
      </c>
      <c r="B17" s="1934"/>
      <c r="C17" s="1656"/>
      <c r="D17" s="1844">
        <v>1E-4</v>
      </c>
      <c r="E17" s="1540">
        <f t="shared" ref="E17:E141" si="0">IF(D17&lt;=25000,D17,IF(D17&gt;25000,25000,0))</f>
        <v>1E-4</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1E-4</v>
      </c>
      <c r="E141" s="1541">
        <f t="shared" si="0"/>
        <v>1E-4</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7" t="s">
        <v>1977</v>
      </c>
      <c r="B11" s="2288"/>
      <c r="C11" s="2288"/>
      <c r="D11" s="2289"/>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65222</v>
      </c>
      <c r="F19" s="1799"/>
      <c r="G19" s="1801">
        <f>'Expenditures 15-22'!K33-SUM('Expenditures 15-22'!G33,'Expenditures 15-22'!I33)+'Expenditures 15-22'!D229</f>
        <v>65222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5584</v>
      </c>
      <c r="F21" s="1802"/>
      <c r="G21" s="1805">
        <f>'Expenditures 15-22'!K42-SUM('Expenditures 15-22'!G42,'Expenditures 15-22'!I42)+'Expenditures 15-22'!K120-SUM('Expenditures 15-22'!G120,'Expenditures 15-22'!I120)+'Expenditures 15-22'!K180-SUM('Expenditures 15-22'!G180,'Expenditures 15-22'!I180)+'Expenditures 15-22'!D238</f>
        <v>5584</v>
      </c>
      <c r="H21" s="987"/>
      <c r="I21" s="162"/>
    </row>
    <row r="22" spans="1:9" s="668" customFormat="1" ht="12" customHeight="1" x14ac:dyDescent="0.2">
      <c r="A22" s="994" t="s">
        <v>564</v>
      </c>
      <c r="B22" s="995"/>
      <c r="C22" s="993">
        <v>2200</v>
      </c>
      <c r="D22" s="1802"/>
      <c r="E22" s="1804">
        <f>'Expenditures 15-22'!K47-SUM('Expenditures 15-22'!G47,'Expenditures 15-22'!I47)+'Expenditures 15-22'!D243</f>
        <v>15230</v>
      </c>
      <c r="F22" s="1802"/>
      <c r="G22" s="1805">
        <f>'Expenditures 15-22'!K47-SUM('Expenditures 15-22'!G47,'Expenditures 15-22'!I47)+'Expenditures 15-22'!D243</f>
        <v>15230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118732</v>
      </c>
      <c r="F23" s="1802"/>
      <c r="G23" s="1804">
        <f>'Expenditures 15-22'!K53-SUM('Expenditures 15-22'!G53,'Expenditures 15-22'!I53)+'Expenditures 15-22'!D257+'Expenditures 15-22'!K330-SUM('Expenditures 15-22'!G330,'Expenditures 15-22'!I330)</f>
        <v>118732</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14200</v>
      </c>
      <c r="E27" s="1804">
        <f>E8</f>
        <v>0</v>
      </c>
      <c r="F27" s="1804">
        <f>'Expenditures 15-22'!K60-SUM('Expenditures 15-22'!G60,'Expenditures 15-22'!I60)+'Expenditures 15-22'!D264-E8</f>
        <v>14200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14200</v>
      </c>
      <c r="E41" s="1806">
        <f>SUM(E19:E40)</f>
        <v>204768</v>
      </c>
      <c r="F41" s="1806">
        <f>SUM(F19:F39)</f>
        <v>14200</v>
      </c>
      <c r="G41" s="1806">
        <f>SUM(G19:G40)</f>
        <v>204768</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14200</v>
      </c>
      <c r="F43" s="1807" t="s">
        <v>473</v>
      </c>
      <c r="G43" s="1808">
        <f>F41</f>
        <v>14200</v>
      </c>
    </row>
    <row r="44" spans="1:7" ht="12" customHeight="1" x14ac:dyDescent="0.2">
      <c r="A44" s="987"/>
      <c r="B44" s="162"/>
      <c r="C44" s="1001"/>
      <c r="D44" s="1807" t="s">
        <v>474</v>
      </c>
      <c r="E44" s="1808">
        <f>E41</f>
        <v>204768</v>
      </c>
      <c r="F44" s="1807" t="s">
        <v>474</v>
      </c>
      <c r="G44" s="1808">
        <f>G41</f>
        <v>204768</v>
      </c>
    </row>
    <row r="45" spans="1:7" ht="12" customHeight="1" x14ac:dyDescent="0.2">
      <c r="A45" s="987"/>
      <c r="B45" s="162"/>
      <c r="C45" s="162"/>
      <c r="D45" s="1809" t="s">
        <v>1006</v>
      </c>
      <c r="E45" s="1810">
        <f>(E43/E44)</f>
        <v>6.9346772933270823E-2</v>
      </c>
      <c r="F45" s="1809" t="s">
        <v>1006</v>
      </c>
      <c r="G45" s="1810">
        <f>(G43/G44)</f>
        <v>6.9346772933270823E-2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Eagle Ridge Vocational Del Sys</v>
      </c>
      <c r="D6" s="2308"/>
      <c r="E6" s="2308"/>
      <c r="F6" s="1852"/>
    </row>
    <row r="7" spans="1:10" ht="11.25" customHeight="1" thickBot="1" x14ac:dyDescent="0.3">
      <c r="A7" s="1850"/>
      <c r="B7" s="1851"/>
      <c r="C7" s="2309">
        <f>COVER!A13</f>
        <v>8000000046</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2073</v>
      </c>
      <c r="D26" s="1865" t="s">
        <v>2073</v>
      </c>
      <c r="E26" s="1868" t="s">
        <v>2073</v>
      </c>
      <c r="F26" s="1867" t="s">
        <v>2089</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t="s">
        <v>2073</v>
      </c>
      <c r="D32" s="1865" t="s">
        <v>2073</v>
      </c>
      <c r="E32" s="1868" t="s">
        <v>2073</v>
      </c>
      <c r="F32" s="1867" t="s">
        <v>2089</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t="s">
        <v>2090</v>
      </c>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Eagle Ridge Vocational Del Sys</v>
      </c>
      <c r="J6" s="2318"/>
      <c r="Q6" s="1664"/>
    </row>
    <row r="7" spans="1:17" x14ac:dyDescent="0.2">
      <c r="A7" s="2319" t="s">
        <v>869</v>
      </c>
      <c r="B7" s="2320"/>
      <c r="C7" s="2320"/>
      <c r="D7" s="2320"/>
      <c r="E7" s="2321"/>
      <c r="F7" s="1017"/>
      <c r="G7" s="1009"/>
      <c r="H7" s="1016" t="s">
        <v>372</v>
      </c>
      <c r="I7" s="2322">
        <f>COVER!A13</f>
        <v>8000000046</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29" t="s">
        <v>1981</v>
      </c>
      <c r="C20" s="2329"/>
      <c r="D20" s="2330"/>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G65"/>
  <sheetViews>
    <sheetView showGridLines="0" zoomScale="110" zoomScaleNormal="110" workbookViewId="0">
      <selection activeCell="E8" sqref="E8"/>
    </sheetView>
  </sheetViews>
  <sheetFormatPr defaultRowHeight="12.75" x14ac:dyDescent="0.2"/>
  <cols>
    <col min="1" max="1" width="3" style="329" customWidth="1"/>
    <col min="2" max="5" width="11.7109375" style="329" customWidth="1"/>
    <col min="6" max="6" width="39.7109375" style="329" customWidth="1"/>
    <col min="7" max="7" width="11.7109375" style="329" customWidth="1"/>
    <col min="8" max="16384" width="9.140625" style="329"/>
  </cols>
  <sheetData>
    <row r="2" spans="1:7" x14ac:dyDescent="0.2">
      <c r="A2" s="389" t="s">
        <v>258</v>
      </c>
    </row>
    <row r="3" spans="1:7" x14ac:dyDescent="0.2">
      <c r="A3" s="329" t="s">
        <v>259</v>
      </c>
    </row>
    <row r="5" spans="1:7" x14ac:dyDescent="0.2">
      <c r="A5" s="1068"/>
      <c r="B5" s="1939" t="s">
        <v>2084</v>
      </c>
      <c r="C5" s="1939" t="s">
        <v>2085</v>
      </c>
      <c r="D5" s="1939" t="s">
        <v>1077</v>
      </c>
      <c r="E5" s="1939" t="s">
        <v>2086</v>
      </c>
      <c r="F5" s="1939" t="s">
        <v>481</v>
      </c>
      <c r="G5" s="1939" t="s">
        <v>865</v>
      </c>
    </row>
    <row r="6" spans="1:7" x14ac:dyDescent="0.2">
      <c r="A6" s="1068"/>
    </row>
    <row r="7" spans="1:7" ht="13.5" thickBot="1" x14ac:dyDescent="0.25">
      <c r="A7" s="1068"/>
      <c r="B7" s="1940">
        <v>4799</v>
      </c>
      <c r="C7" s="1940">
        <v>13</v>
      </c>
      <c r="D7" s="1940">
        <v>10</v>
      </c>
      <c r="E7" s="1940">
        <v>220</v>
      </c>
      <c r="F7" s="391" t="s">
        <v>2087</v>
      </c>
      <c r="G7" s="1938">
        <v>49454</v>
      </c>
    </row>
    <row r="8" spans="1:7" ht="13.5" thickTop="1" x14ac:dyDescent="0.2">
      <c r="A8" s="1068"/>
    </row>
    <row r="9" spans="1:7" x14ac:dyDescent="0.2">
      <c r="A9" s="1069"/>
    </row>
    <row r="10" spans="1:7" x14ac:dyDescent="0.2">
      <c r="A10" s="1069"/>
    </row>
    <row r="11" spans="1:7" x14ac:dyDescent="0.2">
      <c r="A11" s="1069"/>
    </row>
    <row r="12" spans="1:7" x14ac:dyDescent="0.2">
      <c r="A12" s="1069"/>
    </row>
    <row r="13" spans="1:7" x14ac:dyDescent="0.2">
      <c r="A13" s="1069"/>
    </row>
    <row r="14" spans="1:7" x14ac:dyDescent="0.2">
      <c r="A14" s="1069"/>
    </row>
    <row r="15" spans="1:7" x14ac:dyDescent="0.2">
      <c r="A15" s="1069"/>
    </row>
    <row r="16" spans="1:7"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Eagle Ridge Vocational Del Sys</v>
      </c>
    </row>
    <row r="65" spans="2:2" x14ac:dyDescent="0.2">
      <c r="B65" s="1070">
        <f>COVER!A13</f>
        <v>8000000046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428625</xdr:colOff>
                <xdr:row>3</xdr:row>
                <xdr:rowOff>95250</xdr:rowOff>
              </from>
              <to>
                <xdr:col>1</xdr:col>
                <xdr:colOff>1343025</xdr:colOff>
                <xdr:row>7</xdr:row>
                <xdr:rowOff>133350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topLeftCell="A1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388931</v>
      </c>
      <c r="C8" s="1815">
        <f>'Acct Summary 7-8'!D8</f>
        <v>0</v>
      </c>
      <c r="D8" s="1815">
        <f>'Acct Summary 7-8'!F8</f>
        <v>0</v>
      </c>
      <c r="E8" s="1815">
        <f>'Acct Summary 7-8'!I8</f>
        <v>0</v>
      </c>
      <c r="F8" s="1815">
        <f>SUM(B8:E8)</f>
        <v>388931</v>
      </c>
    </row>
    <row r="9" spans="1:8" s="1079" customFormat="1" ht="14.25" customHeight="1" thickBot="1" x14ac:dyDescent="0.25">
      <c r="A9" s="1078" t="s">
        <v>1369</v>
      </c>
      <c r="B9" s="1816">
        <f>'Acct Summary 7-8'!C17</f>
        <v>284116</v>
      </c>
      <c r="C9" s="1816">
        <f>'Acct Summary 7-8'!D17</f>
        <v>0</v>
      </c>
      <c r="D9" s="1816">
        <f>'Acct Summary 7-8'!F17</f>
        <v>0</v>
      </c>
      <c r="E9" s="1815"/>
      <c r="F9" s="1815">
        <f>SUM(B9:E9)</f>
        <v>284116</v>
      </c>
    </row>
    <row r="10" spans="1:8" s="1079" customFormat="1" ht="14.25" thickTop="1" thickBot="1" x14ac:dyDescent="0.25">
      <c r="A10" s="1080" t="s">
        <v>1370</v>
      </c>
      <c r="B10" s="1817">
        <f>(B8-B9)</f>
        <v>104815</v>
      </c>
      <c r="C10" s="1817">
        <f>(C8-C9)</f>
        <v>0</v>
      </c>
      <c r="D10" s="1817">
        <f>(D8-D9)</f>
        <v>0</v>
      </c>
      <c r="E10" s="1816">
        <f>(E8-E9)</f>
        <v>0</v>
      </c>
      <c r="F10" s="1818">
        <f>SUM(F8-F9)</f>
        <v>104815</v>
      </c>
    </row>
    <row r="11" spans="1:8" s="1079" customFormat="1" ht="14.25" thickTop="1" thickBot="1" x14ac:dyDescent="0.25">
      <c r="A11" s="1081" t="s">
        <v>1985</v>
      </c>
      <c r="B11" s="1819">
        <f>'Acct Summary 7-8'!C81</f>
        <v>117685</v>
      </c>
      <c r="C11" s="1819">
        <f>'Acct Summary 7-8'!D81</f>
        <v>0</v>
      </c>
      <c r="D11" s="1819">
        <f>'Acct Summary 7-8'!F81</f>
        <v>0</v>
      </c>
      <c r="E11" s="1819">
        <f>'Acct Summary 7-8'!I81</f>
        <v>0</v>
      </c>
      <c r="F11" s="1820">
        <f>SUM(B11:E11)</f>
        <v>117685</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I32" sqref="I3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ENTRY IS REQUIRED!</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8000000046</v>
      </c>
    </row>
    <row r="3" spans="1:2" x14ac:dyDescent="0.2">
      <c r="A3" t="s">
        <v>956</v>
      </c>
      <c r="B3" s="138" t="str">
        <f>COVER!A15</f>
        <v>Carroll, Jo Daviess</v>
      </c>
    </row>
    <row r="4" spans="1:2" x14ac:dyDescent="0.2">
      <c r="A4" t="s">
        <v>1007</v>
      </c>
      <c r="B4" s="138" t="str">
        <f>COVER!A17</f>
        <v>Eagle Ridge Vocational Del Sys</v>
      </c>
    </row>
    <row r="5" spans="1:2" x14ac:dyDescent="0.2">
      <c r="A5" t="s">
        <v>704</v>
      </c>
      <c r="B5" s="138" t="str">
        <f>COVER!A38</f>
        <v>Kris Hall</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127685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10000</v>
      </c>
      <c r="C91" s="2" t="s">
        <v>573</v>
      </c>
      <c r="D91" s="2" t="str">
        <f t="shared" si="0"/>
        <v>Error?</v>
      </c>
    </row>
    <row r="92" spans="1:4" x14ac:dyDescent="0.2">
      <c r="A92" s="5">
        <v>31</v>
      </c>
      <c r="B92" s="138">
        <f>'Assets-Liab 5-6'!C39</f>
        <v>0</v>
      </c>
      <c r="D92" s="2" t="str">
        <f t="shared" si="0"/>
        <v>Error?</v>
      </c>
    </row>
    <row r="93" spans="1:4" x14ac:dyDescent="0.2">
      <c r="A93" s="5">
        <v>32</v>
      </c>
      <c r="B93" s="138">
        <f>'Assets-Liab 5-6'!C41</f>
        <v>127685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87666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87666</v>
      </c>
      <c r="C279" s="2" t="s">
        <v>573</v>
      </c>
      <c r="D279" s="2" t="str">
        <f t="shared" si="3"/>
        <v>Error?</v>
      </c>
    </row>
    <row r="280" spans="1:4" x14ac:dyDescent="0.2">
      <c r="A280" s="5">
        <v>219</v>
      </c>
      <c r="B280" s="138">
        <f>'Assets-Liab 5-6'!M40</f>
        <v>87666</v>
      </c>
      <c r="D280" s="2" t="str">
        <f t="shared" si="3"/>
        <v>Error?</v>
      </c>
    </row>
    <row r="281" spans="1:4" x14ac:dyDescent="0.2">
      <c r="A281" s="5">
        <v>220</v>
      </c>
      <c r="B281" s="138">
        <f>'Assets-Liab 5-6'!M41</f>
        <v>87666</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4696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4696</v>
      </c>
      <c r="C731" s="2" t="s">
        <v>573</v>
      </c>
      <c r="D731" s="2" t="str">
        <f t="shared" si="10"/>
        <v>Error?</v>
      </c>
    </row>
    <row r="732" spans="1:4" x14ac:dyDescent="0.2">
      <c r="A732" s="5">
        <v>671</v>
      </c>
      <c r="B732" s="138">
        <f>'Expenditures 15-22'!C49</f>
        <v>99310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99310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104006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104006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14338</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14338</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14338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14338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4536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4455</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4455</v>
      </c>
      <c r="C843" s="2" t="s">
        <v>573</v>
      </c>
      <c r="D843" s="2" t="str">
        <f t="shared" si="12"/>
        <v>Error?</v>
      </c>
    </row>
    <row r="844" spans="1:4" x14ac:dyDescent="0.2">
      <c r="A844" s="5">
        <v>783</v>
      </c>
      <c r="B844" s="138">
        <f>'Expenditures 15-22'!E44</f>
        <v>7557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2319</v>
      </c>
      <c r="D846" s="2" t="str">
        <f t="shared" si="12"/>
        <v>Error?</v>
      </c>
    </row>
    <row r="847" spans="1:4" x14ac:dyDescent="0.2">
      <c r="A847" s="5">
        <v>786</v>
      </c>
      <c r="B847" s="138">
        <f>'Expenditures 15-22'!E47</f>
        <v>9876</v>
      </c>
      <c r="C847" s="2" t="s">
        <v>573</v>
      </c>
      <c r="D847" s="2" t="str">
        <f t="shared" si="12"/>
        <v>Error?</v>
      </c>
    </row>
    <row r="848" spans="1:4" x14ac:dyDescent="0.2">
      <c r="A848" s="5">
        <v>787</v>
      </c>
      <c r="B848" s="138">
        <f>'Expenditures 15-22'!E49</f>
        <v>5035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5035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14200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14200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33566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38102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60686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60686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1129</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1129</v>
      </c>
      <c r="C901" s="2" t="s">
        <v>573</v>
      </c>
      <c r="D901" s="2" t="str">
        <f t="shared" si="13"/>
        <v>Error?</v>
      </c>
    </row>
    <row r="902" spans="1:4" x14ac:dyDescent="0.2">
      <c r="A902" s="5">
        <v>841</v>
      </c>
      <c r="B902" s="138">
        <f>'Expenditures 15-22'!F44</f>
        <v>82</v>
      </c>
      <c r="D902" s="2" t="str">
        <f t="shared" si="13"/>
        <v>Error?</v>
      </c>
    </row>
    <row r="903" spans="1:4" x14ac:dyDescent="0.2">
      <c r="A903" s="5">
        <v>842</v>
      </c>
      <c r="B903" s="138">
        <f>'Expenditures 15-22'!F45</f>
        <v>0</v>
      </c>
      <c r="D903" s="2" t="str">
        <f t="shared" si="13"/>
        <v>Error?</v>
      </c>
    </row>
    <row r="904" spans="1:4" x14ac:dyDescent="0.2">
      <c r="A904" s="5">
        <v>843</v>
      </c>
      <c r="B904" s="138">
        <f>'Expenditures 15-22'!F46</f>
        <v>576</v>
      </c>
      <c r="D904" s="2" t="str">
        <f t="shared" si="13"/>
        <v>Error?</v>
      </c>
    </row>
    <row r="905" spans="1:4" x14ac:dyDescent="0.2">
      <c r="A905" s="5">
        <v>844</v>
      </c>
      <c r="B905" s="138">
        <f>'Expenditures 15-22'!F47</f>
        <v>658</v>
      </c>
      <c r="C905" s="2" t="s">
        <v>573</v>
      </c>
      <c r="D905" s="2" t="str">
        <f t="shared" si="13"/>
        <v>Error?</v>
      </c>
    </row>
    <row r="906" spans="1:4" x14ac:dyDescent="0.2">
      <c r="A906" s="5">
        <v>845</v>
      </c>
      <c r="B906" s="138">
        <f>'Expenditures 15-22'!F49</f>
        <v>49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1836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62522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10148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10148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10148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55000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55000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75370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75370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5584</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5584</v>
      </c>
      <c r="C1115" s="2" t="s">
        <v>573</v>
      </c>
      <c r="D1115" s="2" t="str">
        <f t="shared" si="16"/>
        <v>Error?</v>
      </c>
    </row>
    <row r="1116" spans="1:4" x14ac:dyDescent="0.2">
      <c r="A1116" s="5">
        <v>1055</v>
      </c>
      <c r="B1116" s="138">
        <f>'Expenditures 15-22'!K44</f>
        <v>12335</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2895</v>
      </c>
      <c r="C1118" s="2" t="s">
        <v>573</v>
      </c>
      <c r="D1118" s="2" t="str">
        <f t="shared" si="16"/>
        <v>Error?</v>
      </c>
    </row>
    <row r="1119" spans="1:4" x14ac:dyDescent="0.2">
      <c r="A1119" s="5">
        <v>1058</v>
      </c>
      <c r="B1119" s="138">
        <f>'Expenditures 15-22'!K47</f>
        <v>15230</v>
      </c>
      <c r="C1119" s="2" t="s">
        <v>573</v>
      </c>
      <c r="D1119" s="2" t="str">
        <f t="shared" si="16"/>
        <v>Error?</v>
      </c>
    </row>
    <row r="1120" spans="1:4" x14ac:dyDescent="0.2">
      <c r="A1120" s="5">
        <v>1059</v>
      </c>
      <c r="B1120" s="138">
        <f>'Expenditures 15-22'!K49</f>
        <v>118732</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118732</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14200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14200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153746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55000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284116</v>
      </c>
      <c r="C1152" s="2" t="s">
        <v>573</v>
      </c>
      <c r="D1152" s="2" t="str">
        <f t="shared" si="17"/>
        <v>Error?</v>
      </c>
    </row>
    <row r="1153" spans="1:4" x14ac:dyDescent="0.2">
      <c r="A1153" s="5">
        <v>1092</v>
      </c>
      <c r="B1153" s="138">
        <f>'Expenditures 15-22'!K115</f>
        <v>104815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12870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117685</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77518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77518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10148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10148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87666</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87666</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17086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17086</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8079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8079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25165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25165</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62501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62501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117685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573</v>
      </c>
      <c r="D2551" s="2" t="str">
        <f t="shared" si="38"/>
        <v>Error?</v>
      </c>
    </row>
    <row r="2552" spans="1:4" x14ac:dyDescent="0.2">
      <c r="A2552" s="10">
        <v>2491</v>
      </c>
      <c r="D2552" s="2" t="str">
        <f t="shared" si="38"/>
        <v>OK</v>
      </c>
    </row>
    <row r="2553" spans="1:4" x14ac:dyDescent="0.2">
      <c r="A2553" s="5">
        <v>2492</v>
      </c>
      <c r="B2553" s="138">
        <f>'Acct Summary 7-8'!C6</f>
        <v>23911</v>
      </c>
      <c r="C2553" s="2" t="s">
        <v>573</v>
      </c>
      <c r="D2553" s="2" t="str">
        <f t="shared" si="38"/>
        <v>Error?</v>
      </c>
    </row>
    <row r="2554" spans="1:4" x14ac:dyDescent="0.2">
      <c r="A2554" s="5">
        <v>2493</v>
      </c>
      <c r="B2554" s="138">
        <f>'Acct Summary 7-8'!C7</f>
        <v>49454</v>
      </c>
      <c r="C2554" s="2" t="s">
        <v>573</v>
      </c>
      <c r="D2554" s="2" t="str">
        <f t="shared" si="38"/>
        <v>Error?</v>
      </c>
    </row>
    <row r="2555" spans="1:4" x14ac:dyDescent="0.2">
      <c r="A2555" s="5">
        <v>2494</v>
      </c>
      <c r="B2555" s="138">
        <f>'Acct Summary 7-8'!C8</f>
        <v>388931</v>
      </c>
      <c r="C2555" s="2" t="s">
        <v>573</v>
      </c>
      <c r="D2555" s="2" t="str">
        <f t="shared" si="38"/>
        <v>Error?</v>
      </c>
    </row>
    <row r="2556" spans="1:4" x14ac:dyDescent="0.2">
      <c r="A2556" s="5">
        <v>2495</v>
      </c>
      <c r="B2556" s="138">
        <f>'Acct Summary 7-8'!C12</f>
        <v>75370</v>
      </c>
      <c r="C2556" s="2" t="s">
        <v>573</v>
      </c>
      <c r="D2556" s="2" t="str">
        <f t="shared" si="38"/>
        <v>Error?</v>
      </c>
    </row>
    <row r="2557" spans="1:4" x14ac:dyDescent="0.2">
      <c r="A2557" s="5">
        <v>2496</v>
      </c>
      <c r="B2557" s="138">
        <f>'Acct Summary 7-8'!C13</f>
        <v>153746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55000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284116</v>
      </c>
      <c r="C2561" s="2" t="s">
        <v>573</v>
      </c>
      <c r="D2561" s="2" t="str">
        <f t="shared" si="39"/>
        <v>Error?</v>
      </c>
    </row>
    <row r="2562" spans="1:4" x14ac:dyDescent="0.2">
      <c r="A2562" s="5">
        <v>2501</v>
      </c>
      <c r="B2562" s="138">
        <f>'Acct Summary 7-8'!C20</f>
        <v>104815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104815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315566</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2393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388931</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284116</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117685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49454</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0</v>
      </c>
      <c r="C5121" s="2" t="s">
        <v>573</v>
      </c>
      <c r="D5121" s="2" t="str">
        <f t="shared" si="79"/>
        <v>Error?</v>
      </c>
    </row>
    <row r="5122" spans="1:4" x14ac:dyDescent="0.2">
      <c r="A5122" s="5">
        <v>5061</v>
      </c>
      <c r="B5122" s="138">
        <f>'Revenues 9-14'!C111</f>
        <v>315566</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315566</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23911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23911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23911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23911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49454</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49454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49454</v>
      </c>
      <c r="C5326" s="2" t="s">
        <v>573</v>
      </c>
      <c r="D5326" s="2" t="str">
        <f t="shared" si="82"/>
        <v>Error?</v>
      </c>
    </row>
    <row r="5327" spans="1:5" x14ac:dyDescent="0.2">
      <c r="A5327" s="5">
        <v>5266</v>
      </c>
      <c r="B5327" s="138">
        <f>'Revenues 9-14'!C268</f>
        <v>388931</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125292</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10000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104815</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0.89064026851340439</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55000</v>
      </c>
      <c r="D7002" s="2" t="str">
        <f t="shared" si="108"/>
        <v>Error?</v>
      </c>
    </row>
    <row r="7003" spans="1:4" x14ac:dyDescent="0.2">
      <c r="A7003">
        <v>6942</v>
      </c>
      <c r="B7003" s="138">
        <f>'Expenditures 15-22'!K96</f>
        <v>55000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55000</v>
      </c>
      <c r="D7012" s="2" t="str">
        <f t="shared" si="108"/>
        <v>Error?</v>
      </c>
    </row>
    <row r="7013" spans="1:4" x14ac:dyDescent="0.2">
      <c r="A7013">
        <v>6952</v>
      </c>
      <c r="B7013" s="138">
        <f>'Expenditures 15-22'!K100</f>
        <v>55000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8079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1E-4</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Eagle Ridge Vocational Del Sys</v>
      </c>
      <c r="B7" s="2385"/>
      <c r="C7" s="2385"/>
      <c r="D7" s="2422"/>
      <c r="E7" s="2423">
        <f>COVER!A13</f>
        <v>8000000046</v>
      </c>
      <c r="F7" s="2424"/>
      <c r="G7" s="2391" t="str">
        <f>COVER!T23</f>
        <v>066-004238</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BENNING GROUP, LLC</v>
      </c>
      <c r="H9" s="2398"/>
      <c r="I9" s="2398"/>
      <c r="J9" s="2398"/>
      <c r="K9" s="2398"/>
      <c r="L9" s="2399"/>
    </row>
    <row r="10" spans="1:29" ht="13.5" customHeight="1" x14ac:dyDescent="0.2">
      <c r="A10" s="2381" t="str">
        <f>COVER!A38</f>
        <v>Kris Hall</v>
      </c>
      <c r="B10" s="2382"/>
      <c r="C10" s="2382"/>
      <c r="D10" s="2382"/>
      <c r="E10" s="2382"/>
      <c r="F10" s="2383"/>
      <c r="G10" s="2397" t="str">
        <f>COVER!T17</f>
        <v>50 W. DOUGLAS STREET, SUITE 801</v>
      </c>
      <c r="H10" s="2410"/>
      <c r="I10" s="2410"/>
      <c r="J10" s="2410"/>
      <c r="K10" s="2410"/>
      <c r="L10" s="2411"/>
    </row>
    <row r="11" spans="1:29" ht="13.5" customHeight="1" x14ac:dyDescent="0.2">
      <c r="A11" s="1184" t="s">
        <v>1519</v>
      </c>
      <c r="B11" s="1185"/>
      <c r="C11" s="1186"/>
      <c r="D11" s="1191"/>
      <c r="E11" s="1186"/>
      <c r="F11" s="1190"/>
      <c r="G11" s="2397" t="str">
        <f>COVER!T19</f>
        <v>FREEPORT</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jblocker@benninggroup.com</v>
      </c>
      <c r="J13" s="2419"/>
      <c r="K13" s="2419"/>
      <c r="L13" s="2420"/>
    </row>
    <row r="14" spans="1:29" ht="13.5" customHeight="1" x14ac:dyDescent="0.2">
      <c r="A14" s="2397" t="str">
        <f>COVER!A19</f>
        <v>27 S. State Avenue, Suite 101</v>
      </c>
      <c r="B14" s="2410"/>
      <c r="C14" s="2410"/>
      <c r="D14" s="2410"/>
      <c r="E14" s="2410"/>
      <c r="F14" s="2411"/>
      <c r="G14" s="1195" t="s">
        <v>1185</v>
      </c>
      <c r="H14" s="1193"/>
      <c r="I14" s="1193"/>
      <c r="J14" s="1193"/>
      <c r="K14" s="1193"/>
      <c r="L14" s="1194"/>
    </row>
    <row r="15" spans="1:29" ht="13.5" customHeight="1" x14ac:dyDescent="0.2">
      <c r="A15" s="2397" t="str">
        <f>COVER!A21</f>
        <v>Freeport</v>
      </c>
      <c r="B15" s="2410"/>
      <c r="C15" s="2410"/>
      <c r="D15" s="2410"/>
      <c r="E15" s="2410"/>
      <c r="F15" s="2411"/>
      <c r="G15" s="2407" t="str">
        <f>COVER!T15</f>
        <v>JENNY L. BLOCKER</v>
      </c>
      <c r="H15" s="2408"/>
      <c r="I15" s="2408"/>
      <c r="J15" s="2408"/>
      <c r="K15" s="2408"/>
      <c r="L15" s="2409"/>
    </row>
    <row r="16" spans="1:29" ht="12.2" customHeight="1" x14ac:dyDescent="0.2">
      <c r="A16" s="2387">
        <f>COVER!A25</f>
        <v>61032</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815/235-3157</v>
      </c>
      <c r="H18" s="2385"/>
      <c r="I18" s="2385"/>
      <c r="J18" s="2385"/>
      <c r="K18" s="2384" t="str">
        <f>COVER!X21</f>
        <v>815/235-3158</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Eagle Ridge Vocational Del Sys</v>
      </c>
      <c r="B1" s="2421"/>
      <c r="C1" s="2421"/>
      <c r="D1" s="2421"/>
    </row>
    <row r="2" spans="1:11" s="1212" customFormat="1" ht="12.75" x14ac:dyDescent="0.2">
      <c r="A2" s="2426">
        <f>'Single Audit Cover'!E7</f>
        <v>8000000046</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Eagle Ridge Vocational Del Sys</v>
      </c>
      <c r="B1" s="2429"/>
      <c r="C1" s="2429"/>
      <c r="D1" s="2429"/>
      <c r="E1" s="2429"/>
    </row>
    <row r="2" spans="1:5" x14ac:dyDescent="0.2">
      <c r="A2" s="2430">
        <f>'Single Audit Cover'!E7</f>
        <v>8000000046</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49454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49454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49454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49454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Eagle Ridge Vocational Del Sys</v>
      </c>
      <c r="C1" s="2433"/>
      <c r="D1" s="2433"/>
      <c r="E1" s="2433"/>
      <c r="F1" s="2433"/>
      <c r="G1" s="2433"/>
      <c r="H1" s="2433"/>
      <c r="I1" s="2433"/>
      <c r="J1" s="2433"/>
      <c r="K1" s="2433"/>
      <c r="L1" s="2433"/>
      <c r="M1" s="2433"/>
    </row>
    <row r="2" spans="2:14" ht="15" x14ac:dyDescent="0.2">
      <c r="B2" s="2434">
        <f>'Single Audit Cover'!E7</f>
        <v>8000000046</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Eagle Ridge Vocational Del Sys</v>
      </c>
      <c r="B1" s="2438"/>
      <c r="C1" s="2438"/>
      <c r="D1" s="2438"/>
      <c r="E1" s="2438"/>
      <c r="F1" s="2438"/>
    </row>
    <row r="2" spans="1:7" ht="13.5" customHeight="1" x14ac:dyDescent="0.2">
      <c r="A2" s="2434">
        <f>'Single Audit Cover'!E7</f>
        <v>8000000046</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10"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2064</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Eagle Ridge Vocational Del Sys</v>
      </c>
      <c r="C1" s="2454"/>
      <c r="D1" s="2454"/>
      <c r="E1" s="2454"/>
      <c r="F1" s="2454"/>
      <c r="G1" s="2454"/>
      <c r="H1" s="2454"/>
      <c r="I1" s="2454"/>
      <c r="J1" s="1406"/>
    </row>
    <row r="2" spans="2:10" s="317" customFormat="1" ht="12.75" customHeight="1" x14ac:dyDescent="0.2">
      <c r="B2" s="2455">
        <f>'Single Audit Cover'!E7</f>
        <v>8000000046</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Eagle Ridge Vocational Del Sys</v>
      </c>
      <c r="C1" s="2453"/>
      <c r="D1" s="2453"/>
      <c r="E1" s="2453"/>
      <c r="F1" s="2453"/>
      <c r="G1" s="2453"/>
      <c r="H1" s="2453"/>
      <c r="I1" s="2453"/>
      <c r="J1" s="2453"/>
      <c r="K1" s="2453"/>
      <c r="L1" s="1371"/>
      <c r="M1" s="1371"/>
    </row>
    <row r="2" spans="1:13" ht="12" customHeight="1" x14ac:dyDescent="0.2">
      <c r="B2" s="2455">
        <f>'Single Audit Cover'!E7</f>
        <v>8000000046</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Eagle Ridge Vocational Del Sys</v>
      </c>
      <c r="C1" s="2480"/>
      <c r="D1" s="2480"/>
      <c r="E1" s="2480"/>
      <c r="F1" s="2480"/>
      <c r="G1" s="2480"/>
      <c r="H1" s="2480"/>
      <c r="I1" s="2480"/>
      <c r="J1" s="2480"/>
      <c r="K1" s="2480"/>
      <c r="L1" s="1449"/>
    </row>
    <row r="2" spans="1:12" ht="12.75" customHeight="1" x14ac:dyDescent="0.2">
      <c r="B2" s="2481">
        <f>'Single Audit Cover'!E7</f>
        <v>8000000046</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Eagle Ridge Vocational Del Sys</v>
      </c>
      <c r="C1" s="2453"/>
      <c r="D1" s="2453"/>
      <c r="E1" s="1469"/>
    </row>
    <row r="2" spans="2:5" s="1279" customFormat="1" ht="12.75" customHeight="1" x14ac:dyDescent="0.2">
      <c r="B2" s="2455">
        <f>'Single Audit Cover'!E7</f>
        <v>8000000046</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388931</v>
      </c>
      <c r="E16" s="356"/>
      <c r="F16" s="1733">
        <f>SUM('Acct Summary 7-8'!C17,'Acct Summary 7-8'!D17,'Acct Summary 7-8'!F17)</f>
        <v>284116</v>
      </c>
      <c r="G16" s="356"/>
      <c r="H16" s="1733">
        <f>SUM(D16-F16)</f>
        <v>104815</v>
      </c>
      <c r="I16" s="222"/>
      <c r="J16" s="1733">
        <f>SUM('Acct Summary 7-8'!C81,'Acct Summary 7-8'!D81,'Acct Summary 7-8'!F81,'Acct Summary 7-8'!I81)</f>
        <v>117685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Eagle Ridge Vocational Del Sys</v>
      </c>
      <c r="E7" s="391"/>
      <c r="G7" s="252"/>
      <c r="H7" s="387"/>
      <c r="I7" s="387"/>
      <c r="J7" s="387"/>
      <c r="K7" s="387"/>
      <c r="L7" s="329"/>
      <c r="M7" s="329"/>
      <c r="N7" s="329"/>
      <c r="O7" s="329"/>
      <c r="P7" s="329"/>
    </row>
    <row r="8" spans="1:18" ht="12.75" x14ac:dyDescent="0.2">
      <c r="A8" s="329"/>
      <c r="B8" s="329"/>
      <c r="C8" s="389" t="s">
        <v>1125</v>
      </c>
      <c r="D8" s="392">
        <f>COVER!A13</f>
        <v>8000000046</v>
      </c>
      <c r="E8" s="393"/>
      <c r="G8" s="329"/>
      <c r="H8" s="329"/>
      <c r="I8" s="329"/>
      <c r="J8" s="329"/>
      <c r="K8" s="329"/>
      <c r="L8" s="329"/>
      <c r="M8" s="329"/>
      <c r="N8" s="329"/>
      <c r="O8" s="329"/>
      <c r="P8" s="329"/>
    </row>
    <row r="9" spans="1:18" ht="12.75" x14ac:dyDescent="0.2">
      <c r="A9" s="329"/>
      <c r="B9" s="329"/>
      <c r="C9" s="389" t="s">
        <v>713</v>
      </c>
      <c r="D9" s="394" t="str">
        <f>COVER!A15</f>
        <v>Carroll, 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117685</v>
      </c>
      <c r="I12" s="404"/>
      <c r="J12" s="404"/>
      <c r="K12" s="405">
        <f>TRUNC((H12/H13*100000),5)/100000</f>
        <v>0.30258580569999999</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388931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284116</v>
      </c>
      <c r="I17" s="404"/>
      <c r="J17" s="416"/>
      <c r="K17" s="405">
        <f>TRUNC((H17/H18*100000),5)/100000</f>
        <v>0.73050489669999996</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388931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2393</v>
      </c>
      <c r="I24" s="422"/>
      <c r="J24" s="422"/>
      <c r="K24" s="423">
        <f>TRUNC(((H24/H25*100000)/100000),2)</f>
        <v>3.03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789.21110999999996</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Normal="100" workbookViewId="0">
      <pane ySplit="2" topLeftCell="A27" activePane="bottomLeft" state="frozen"/>
      <selection pane="bottomLeft" activeCell="D35" sqref="D3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2393</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125292</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127685</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87666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87666</v>
      </c>
      <c r="N23" s="1688">
        <f>SUM(N21:N22)</f>
        <v>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10000</v>
      </c>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10000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117685</v>
      </c>
      <c r="D38" s="466"/>
      <c r="E38" s="466"/>
      <c r="F38" s="466"/>
      <c r="G38" s="466"/>
      <c r="H38" s="466"/>
      <c r="I38" s="466"/>
      <c r="J38" s="467"/>
      <c r="K38" s="466"/>
      <c r="L38" s="481"/>
      <c r="M38" s="497"/>
      <c r="N38" s="497"/>
    </row>
    <row r="39" spans="1:14" s="329" customFormat="1" ht="13.5" customHeight="1" x14ac:dyDescent="0.2">
      <c r="A39" s="496" t="s">
        <v>342</v>
      </c>
      <c r="B39" s="483">
        <v>730</v>
      </c>
      <c r="C39" s="466">
        <v>0</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87666</v>
      </c>
      <c r="N40" s="497"/>
    </row>
    <row r="41" spans="1:14" ht="13.5" customHeight="1" thickBot="1" x14ac:dyDescent="0.25">
      <c r="A41" s="1736" t="s">
        <v>655</v>
      </c>
      <c r="B41" s="1706"/>
      <c r="C41" s="1688">
        <f>(SUM(C34,C37,C38,C39))</f>
        <v>127685</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87666</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69"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315566</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23911</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49454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388931</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388931</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75370</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153746</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55000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284116</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284116</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6" t="s">
        <v>1655</v>
      </c>
      <c r="B20" s="2127"/>
      <c r="C20" s="1746">
        <f>C8-C17</f>
        <v>104815</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6" t="s">
        <v>440</v>
      </c>
      <c r="B76" s="2117"/>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8" t="s">
        <v>1177</v>
      </c>
      <c r="B77" s="2119"/>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2" t="s">
        <v>597</v>
      </c>
      <c r="B78" s="2123"/>
      <c r="C78" s="1702">
        <f t="shared" ref="C78:K78" si="9">C20+C77</f>
        <v>104815</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12870</v>
      </c>
      <c r="D79" s="535"/>
      <c r="E79" s="535"/>
      <c r="F79" s="535"/>
      <c r="G79" s="535"/>
      <c r="H79" s="535"/>
      <c r="I79" s="535"/>
      <c r="J79" s="535"/>
      <c r="K79" s="535"/>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117685</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104815</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0.89064026851340439</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16" activePane="bottomLeft" state="frozen"/>
      <selection pane="bottomLeft" activeCell="C135" sqref="C13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315566</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315566</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23911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23911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4" t="s">
        <v>398</v>
      </c>
      <c r="B169" s="2145"/>
      <c r="C169" s="1722">
        <f t="shared" ref="C169:K169" si="6">SUM(C132,C141,C145,C146:C150,C155,C156:C167,C168)</f>
        <v>23911</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23911</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49454</v>
      </c>
      <c r="D220" s="466"/>
      <c r="E220" s="468"/>
      <c r="F220" s="468"/>
      <c r="G220" s="466"/>
      <c r="H220" s="468"/>
      <c r="I220" s="468"/>
      <c r="J220" s="468"/>
      <c r="K220" s="468"/>
    </row>
    <row r="221" spans="1:11" ht="12.75" customHeight="1" thickBot="1" x14ac:dyDescent="0.25">
      <c r="A221" s="1723" t="s">
        <v>1085</v>
      </c>
      <c r="B221" s="1724"/>
      <c r="C221" s="1707">
        <f>SUM(C219:C220)</f>
        <v>49454</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49454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49454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388931</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87" activePane="bottomLeft" state="frozen"/>
      <selection pane="bottomLeft" activeCell="C37" sqref="C3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v>4536</v>
      </c>
      <c r="F5" s="466">
        <v>60686</v>
      </c>
      <c r="G5" s="466">
        <v>10148</v>
      </c>
      <c r="H5" s="466"/>
      <c r="I5" s="467"/>
      <c r="J5" s="467"/>
      <c r="K5" s="1671">
        <f>SUM(C5:J5)</f>
        <v>75370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v>60934</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4536</v>
      </c>
      <c r="F33" s="1670">
        <f t="shared" si="1"/>
        <v>60686</v>
      </c>
      <c r="G33" s="1670">
        <f t="shared" si="1"/>
        <v>10148</v>
      </c>
      <c r="H33" s="1670">
        <f t="shared" si="1"/>
        <v>0</v>
      </c>
      <c r="I33" s="1670">
        <f t="shared" si="1"/>
        <v>0</v>
      </c>
      <c r="J33" s="1670">
        <f t="shared" si="1"/>
        <v>0</v>
      </c>
      <c r="K33" s="1670">
        <f t="shared" si="1"/>
        <v>75370</v>
      </c>
      <c r="L33" s="1670">
        <f t="shared" si="1"/>
        <v>60934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v>4455</v>
      </c>
      <c r="F37" s="466">
        <v>1129</v>
      </c>
      <c r="G37" s="466"/>
      <c r="H37" s="466"/>
      <c r="I37" s="467"/>
      <c r="J37" s="467"/>
      <c r="K37" s="1671">
        <f t="shared" si="2"/>
        <v>5584</v>
      </c>
      <c r="L37" s="466">
        <v>12264</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4455</v>
      </c>
      <c r="F42" s="1670">
        <f t="shared" si="3"/>
        <v>1129</v>
      </c>
      <c r="G42" s="1670">
        <f t="shared" si="3"/>
        <v>0</v>
      </c>
      <c r="H42" s="1670">
        <f t="shared" si="3"/>
        <v>0</v>
      </c>
      <c r="I42" s="1670">
        <f t="shared" si="3"/>
        <v>0</v>
      </c>
      <c r="J42" s="1670">
        <f t="shared" si="3"/>
        <v>0</v>
      </c>
      <c r="K42" s="1670">
        <f t="shared" si="3"/>
        <v>5584</v>
      </c>
      <c r="L42" s="1670">
        <f t="shared" si="3"/>
        <v>12264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4696</v>
      </c>
      <c r="D44" s="481"/>
      <c r="E44" s="481">
        <v>7557</v>
      </c>
      <c r="F44" s="481">
        <v>82</v>
      </c>
      <c r="G44" s="481"/>
      <c r="H44" s="481"/>
      <c r="I44" s="467"/>
      <c r="J44" s="467"/>
      <c r="K44" s="1672">
        <f>SUM(C44:J44)</f>
        <v>12335</v>
      </c>
      <c r="L44" s="481">
        <v>22599</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v>2319</v>
      </c>
      <c r="F46" s="466">
        <v>576</v>
      </c>
      <c r="G46" s="466"/>
      <c r="H46" s="466"/>
      <c r="I46" s="467"/>
      <c r="J46" s="467"/>
      <c r="K46" s="1672">
        <f>SUM(C46:J46)</f>
        <v>2895</v>
      </c>
      <c r="L46" s="466"/>
    </row>
    <row r="47" spans="1:14" ht="12.75" customHeight="1" thickBot="1" x14ac:dyDescent="0.25">
      <c r="A47" s="1668" t="s">
        <v>561</v>
      </c>
      <c r="B47" s="1669" t="s">
        <v>32</v>
      </c>
      <c r="C47" s="1670">
        <f>SUM(C44:C46)</f>
        <v>4696</v>
      </c>
      <c r="D47" s="1670">
        <f t="shared" ref="D47:K47" si="4">SUM(D44:D46)</f>
        <v>0</v>
      </c>
      <c r="E47" s="1670">
        <f t="shared" si="4"/>
        <v>9876</v>
      </c>
      <c r="F47" s="1670">
        <f t="shared" si="4"/>
        <v>658</v>
      </c>
      <c r="G47" s="1670">
        <f t="shared" si="4"/>
        <v>0</v>
      </c>
      <c r="H47" s="1670">
        <f t="shared" si="4"/>
        <v>0</v>
      </c>
      <c r="I47" s="1670">
        <f t="shared" si="4"/>
        <v>0</v>
      </c>
      <c r="J47" s="1670">
        <f t="shared" si="4"/>
        <v>0</v>
      </c>
      <c r="K47" s="1670">
        <f t="shared" si="4"/>
        <v>15230</v>
      </c>
      <c r="L47" s="1670">
        <f>SUM(L44:L46)</f>
        <v>22599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99310</v>
      </c>
      <c r="D49" s="481">
        <v>14338</v>
      </c>
      <c r="E49" s="481">
        <v>5035</v>
      </c>
      <c r="F49" s="481">
        <v>49</v>
      </c>
      <c r="G49" s="481"/>
      <c r="H49" s="481"/>
      <c r="I49" s="467"/>
      <c r="J49" s="467"/>
      <c r="K49" s="1672">
        <f>SUM(C49:J49)</f>
        <v>118732</v>
      </c>
      <c r="L49" s="481"/>
    </row>
    <row r="50" spans="1:14" x14ac:dyDescent="0.2">
      <c r="A50" s="1504" t="s">
        <v>818</v>
      </c>
      <c r="B50" s="614">
        <v>2320</v>
      </c>
      <c r="C50" s="466"/>
      <c r="D50" s="466"/>
      <c r="E50" s="466"/>
      <c r="F50" s="466"/>
      <c r="G50" s="466"/>
      <c r="H50" s="466"/>
      <c r="I50" s="467"/>
      <c r="J50" s="467"/>
      <c r="K50" s="1672">
        <f>SUM(C50:J50)</f>
        <v>0</v>
      </c>
      <c r="L50" s="466">
        <v>61980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99310</v>
      </c>
      <c r="D53" s="1670">
        <f t="shared" ref="D53:L53" si="5">SUM(D49:D52)</f>
        <v>14338</v>
      </c>
      <c r="E53" s="1670">
        <f t="shared" si="5"/>
        <v>5035</v>
      </c>
      <c r="F53" s="1670">
        <f t="shared" si="5"/>
        <v>49</v>
      </c>
      <c r="G53" s="1670">
        <f t="shared" si="5"/>
        <v>0</v>
      </c>
      <c r="H53" s="1670">
        <f t="shared" si="5"/>
        <v>0</v>
      </c>
      <c r="I53" s="1670">
        <f t="shared" si="5"/>
        <v>0</v>
      </c>
      <c r="J53" s="1670">
        <f t="shared" si="5"/>
        <v>0</v>
      </c>
      <c r="K53" s="1670">
        <f t="shared" si="5"/>
        <v>118732</v>
      </c>
      <c r="L53" s="1670">
        <f t="shared" si="5"/>
        <v>61980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v>14200</v>
      </c>
      <c r="F60" s="466"/>
      <c r="G60" s="466"/>
      <c r="H60" s="466"/>
      <c r="I60" s="467"/>
      <c r="J60" s="467"/>
      <c r="K60" s="1672">
        <f t="shared" si="7"/>
        <v>14200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14200</v>
      </c>
      <c r="F65" s="1670">
        <f t="shared" si="8"/>
        <v>0</v>
      </c>
      <c r="G65" s="1670">
        <f t="shared" si="8"/>
        <v>0</v>
      </c>
      <c r="H65" s="1670">
        <f t="shared" si="8"/>
        <v>0</v>
      </c>
      <c r="I65" s="1670">
        <f t="shared" si="8"/>
        <v>0</v>
      </c>
      <c r="J65" s="1670">
        <f t="shared" si="8"/>
        <v>0</v>
      </c>
      <c r="K65" s="1670">
        <f t="shared" si="8"/>
        <v>14200</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104006</v>
      </c>
      <c r="D74" s="1677">
        <f t="shared" ref="D74:K74" si="10">SUM(D42,D47,D53,D57,D65,D72,D73)</f>
        <v>14338</v>
      </c>
      <c r="E74" s="1677">
        <f t="shared" si="10"/>
        <v>33566</v>
      </c>
      <c r="F74" s="1677">
        <f t="shared" si="10"/>
        <v>1836</v>
      </c>
      <c r="G74" s="1677">
        <f t="shared" si="10"/>
        <v>0</v>
      </c>
      <c r="H74" s="1677">
        <f t="shared" si="10"/>
        <v>0</v>
      </c>
      <c r="I74" s="1677">
        <f t="shared" si="10"/>
        <v>0</v>
      </c>
      <c r="J74" s="1677">
        <f t="shared" si="10"/>
        <v>0</v>
      </c>
      <c r="K74" s="1677">
        <f t="shared" si="10"/>
        <v>153746</v>
      </c>
      <c r="L74" s="1677">
        <f>SUM(L42,L47,L53,L57,L65,L72,L73)</f>
        <v>96843</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v>191731</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191731</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v>55000</v>
      </c>
      <c r="I96" s="477"/>
      <c r="J96" s="477"/>
      <c r="K96" s="1677">
        <f t="shared" si="12"/>
        <v>55000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55000</v>
      </c>
      <c r="I100" s="477"/>
      <c r="J100" s="477"/>
      <c r="K100" s="1677">
        <f>SUM(K93:K99)</f>
        <v>55000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55000</v>
      </c>
      <c r="I102" s="477"/>
      <c r="J102" s="477"/>
      <c r="K102" s="1677">
        <f>SUM(K84,K92,K100,K101)</f>
        <v>55000</v>
      </c>
      <c r="L102" s="1677">
        <f>SUM(L84,L92,L100,L101)</f>
        <v>191731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104006</v>
      </c>
      <c r="D114" s="1670">
        <f t="shared" ref="D114:K114" si="13">SUM(D33,D74,D75,D102,D112,D113)</f>
        <v>14338</v>
      </c>
      <c r="E114" s="1670">
        <f t="shared" si="13"/>
        <v>38102</v>
      </c>
      <c r="F114" s="1670">
        <f t="shared" si="13"/>
        <v>62522</v>
      </c>
      <c r="G114" s="1670">
        <f t="shared" si="13"/>
        <v>10148</v>
      </c>
      <c r="H114" s="1670">
        <f>SUM(H33,H74,H75,H102,H112,H113)</f>
        <v>55000</v>
      </c>
      <c r="I114" s="1670">
        <f t="shared" si="13"/>
        <v>0</v>
      </c>
      <c r="J114" s="1670">
        <f t="shared" si="13"/>
        <v>0</v>
      </c>
      <c r="K114" s="1670">
        <f t="shared" si="13"/>
        <v>284116</v>
      </c>
      <c r="L114" s="1670">
        <f>SUM(L33,L74,L75,L102,L112,L113)</f>
        <v>349508</v>
      </c>
    </row>
    <row r="115" spans="1:14" ht="13.5" thickTop="1" x14ac:dyDescent="0.2">
      <c r="A115" s="2156" t="s">
        <v>996</v>
      </c>
      <c r="B115" s="2157"/>
      <c r="C115" s="618"/>
      <c r="D115" s="618"/>
      <c r="E115" s="618"/>
      <c r="F115" s="618"/>
      <c r="G115" s="618"/>
      <c r="H115" s="618"/>
      <c r="I115" s="618"/>
      <c r="J115" s="618"/>
      <c r="K115" s="1684">
        <f>'Revenues 9-14'!C268-'Expenditures 15-22'!K114</f>
        <v>104815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3"/>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6" t="s">
        <v>1178</v>
      </c>
      <c r="B152" s="2177"/>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6" t="s">
        <v>996</v>
      </c>
      <c r="B175" s="2157"/>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6" t="s">
        <v>996</v>
      </c>
      <c r="B211" s="2157"/>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6" t="s">
        <v>996</v>
      </c>
      <c r="B296" s="2157"/>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9" t="s">
        <v>996</v>
      </c>
      <c r="B343" s="217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6" t="s">
        <v>996</v>
      </c>
      <c r="B368" s="215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purl.org/dc/terms/"/>
    <ds:schemaRef ds:uri="d21dc803-237d-4c68-8692-8d731fd29118"/>
    <ds:schemaRef ds:uri="http://schemas.microsoft.com/office/infopath/2007/PartnerControls"/>
    <ds:schemaRef ds:uri="http://purl.org/dc/elements/1.1/"/>
    <ds:schemaRef ds:uri="6ce3111e-7420-4802-b50a-75d4e9a0b980"/>
    <ds:schemaRef ds:uri="http://schemas.openxmlformats.org/package/2006/metadata/core-properties"/>
    <ds:schemaRef ds:uri="http://purl.org/dc/dcmitype/"/>
    <ds:schemaRef ds:uri="4d435f69-8686-490b-bd6d-b153bf22ab5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2019-11-01T13:46:34Z</cp:lastPrinted>
  <dcterms:created xsi:type="dcterms:W3CDTF">2003-10-29T19:06:34Z</dcterms:created>
  <dcterms:modified xsi:type="dcterms:W3CDTF">2020-01-07T17:52:37Z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