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B2665098-41DE-479C-BB8B-575AD15BE230}"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4" i="179" l="1"/>
  <c r="J16" i="179" s="1"/>
  <c r="D19" i="173"/>
  <c r="D18" i="173"/>
  <c r="D17" i="173"/>
  <c r="M14" i="179"/>
  <c r="M16" i="179" s="1"/>
  <c r="K14" i="179"/>
  <c r="K16" i="179" s="1"/>
  <c r="I14" i="179"/>
  <c r="I16" i="179" s="1"/>
  <c r="H14" i="179"/>
  <c r="H16" i="179" s="1"/>
  <c r="G14" i="179"/>
  <c r="G16" i="179" s="1"/>
  <c r="F14" i="179"/>
  <c r="F16" i="179" s="1"/>
  <c r="D35" i="171" s="1"/>
  <c r="E13" i="179"/>
  <c r="E14" i="179" s="1"/>
  <c r="E16" i="179" s="1"/>
  <c r="D21" i="181"/>
  <c r="D18" i="181"/>
  <c r="D20" i="181"/>
  <c r="D19" i="181"/>
  <c r="D51" i="29"/>
  <c r="C135" i="5"/>
  <c r="D29" i="173" l="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E20" i="181"/>
  <c r="F20" i="181" s="1"/>
  <c r="E19" i="181"/>
  <c r="F19" i="181" s="1"/>
  <c r="F21" i="181" l="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13" i="179" l="1"/>
  <c r="L12" i="179"/>
  <c r="L14" i="179" s="1"/>
  <c r="L16" i="179" s="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28" i="108"/>
  <c r="F31" i="108"/>
  <c r="F36" i="108"/>
  <c r="G28" i="108"/>
  <c r="G30"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L22" i="37"/>
  <c r="L5" i="11"/>
  <c r="B2056" i="106" s="1"/>
  <c r="D2056" i="106" s="1"/>
  <c r="D22" i="37" l="1"/>
  <c r="B2836" i="106"/>
  <c r="D2836" i="106" s="1"/>
  <c r="B2724" i="106"/>
  <c r="D2724" i="106" s="1"/>
  <c r="H28" i="118"/>
  <c r="B1126" i="106"/>
  <c r="D1126" i="106" s="1"/>
  <c r="E38" i="108"/>
  <c r="L367" i="29"/>
  <c r="J77" i="4"/>
  <c r="B6262" i="106" s="1"/>
  <c r="D6262" i="106" s="1"/>
  <c r="F72" i="34"/>
  <c r="H112" i="29"/>
  <c r="B7018" i="106" s="1"/>
  <c r="D7018" i="106" s="1"/>
  <c r="F34" i="34"/>
  <c r="D24" i="37"/>
  <c r="B4270" i="106" s="1"/>
  <c r="D4270" i="106" s="1"/>
  <c r="F46" i="34"/>
  <c r="H44" i="4"/>
  <c r="F37" i="34"/>
  <c r="F50" i="34"/>
  <c r="F71" i="34"/>
  <c r="B6238" i="106"/>
  <c r="D6238" i="106" s="1"/>
  <c r="G29" i="108"/>
  <c r="H33" i="118"/>
  <c r="F42" i="34"/>
  <c r="D6103" i="106"/>
  <c r="D69" i="36"/>
  <c r="D54" i="36"/>
  <c r="F77" i="4"/>
  <c r="B3255" i="106" s="1"/>
  <c r="D3255" i="106" s="1"/>
  <c r="C129" i="29"/>
  <c r="B1225" i="106" s="1"/>
  <c r="D1225" i="106" s="1"/>
  <c r="B3647" i="106"/>
  <c r="D3647" i="106" s="1"/>
  <c r="G210" i="29"/>
  <c r="J129" i="29"/>
  <c r="B7038" i="106" s="1"/>
  <c r="D7038" i="106" s="1"/>
  <c r="H342" i="29"/>
  <c r="J210" i="29"/>
  <c r="B7072" i="106" s="1"/>
  <c r="D7072" i="106" s="1"/>
  <c r="K184" i="29"/>
  <c r="F13" i="4" s="1"/>
  <c r="B2596" i="106" s="1"/>
  <c r="D2596" i="106" s="1"/>
  <c r="J41" i="3"/>
  <c r="B6216" i="106" s="1"/>
  <c r="D6216" i="106" s="1"/>
  <c r="I210" i="29"/>
  <c r="B7071" i="106" s="1"/>
  <c r="D7071" i="106" s="1"/>
  <c r="L13" i="11"/>
  <c r="B2060" i="106" s="1"/>
  <c r="D2060" i="106" s="1"/>
  <c r="J352" i="29"/>
  <c r="J367" i="29" s="1"/>
  <c r="B7245" i="106" s="1"/>
  <c r="D7245" i="106" s="1"/>
  <c r="L342" i="29"/>
  <c r="F36" i="34"/>
  <c r="C352" i="29"/>
  <c r="B3621" i="106" s="1"/>
  <c r="D3621" i="106" s="1"/>
  <c r="K76" i="4"/>
  <c r="B3586" i="106" s="1"/>
  <c r="D3586" i="106" s="1"/>
  <c r="H76" i="4"/>
  <c r="B3298" i="106" s="1"/>
  <c r="D3298" i="106" s="1"/>
  <c r="F19" i="7"/>
  <c r="B1807" i="106" s="1"/>
  <c r="D1807" i="106" s="1"/>
  <c r="H365" i="29"/>
  <c r="B7242" i="106" s="1"/>
  <c r="D7242" i="106" s="1"/>
  <c r="C342" i="29"/>
  <c r="B7216" i="106" s="1"/>
  <c r="D7216" i="106" s="1"/>
  <c r="I129" i="29"/>
  <c r="B7037" i="106" s="1"/>
  <c r="D7037"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G170" i="5" l="1"/>
  <c r="B5778" i="106" s="1"/>
  <c r="D5778" i="106" s="1"/>
  <c r="B7235" i="106"/>
  <c r="D7235" i="106" s="1"/>
  <c r="G6" i="4"/>
  <c r="B2604" i="106" s="1"/>
  <c r="D2604" i="106" s="1"/>
  <c r="B1328" i="106"/>
  <c r="D1328" i="106" s="1"/>
  <c r="B5527" i="106"/>
  <c r="D5527" i="106" s="1"/>
  <c r="F66" i="34"/>
  <c r="H77" i="4"/>
  <c r="B3299" i="106" s="1"/>
  <c r="D3299" i="106" s="1"/>
  <c r="K77" i="4"/>
  <c r="B3587" i="106" s="1"/>
  <c r="D3587" i="106" s="1"/>
  <c r="H151" i="29"/>
  <c r="B1273" i="106" s="1"/>
  <c r="D1273" i="106" s="1"/>
  <c r="D51" i="36"/>
  <c r="C367" i="29"/>
  <c r="B3622" i="106" s="1"/>
  <c r="D3622" i="106" s="1"/>
  <c r="J151" i="29"/>
  <c r="B7052" i="106" s="1"/>
  <c r="D7052" i="106" s="1"/>
  <c r="C151" i="29"/>
  <c r="B1226" i="106" s="1"/>
  <c r="D1226" i="106" s="1"/>
  <c r="D7254" i="106"/>
  <c r="D7256" i="106"/>
  <c r="I7" i="4"/>
  <c r="B4444" i="106" s="1"/>
  <c r="D4444" i="106" s="1"/>
  <c r="B7215" i="106"/>
  <c r="D7215" i="106" s="1"/>
  <c r="B1365" i="106"/>
  <c r="D1365" i="106" s="1"/>
  <c r="F65" i="34"/>
  <c r="J16" i="4"/>
  <c r="B6226" i="106" s="1"/>
  <c r="D6226" i="106" s="1"/>
  <c r="L114" i="29"/>
  <c r="I151" i="29"/>
  <c r="F59" i="34" s="1"/>
  <c r="N23" i="3"/>
  <c r="B284" i="106" s="1"/>
  <c r="D284" i="106" s="1"/>
  <c r="D41" i="108"/>
  <c r="E43" i="108" s="1"/>
  <c r="D7251" i="106"/>
  <c r="D7250" i="106"/>
  <c r="K365" i="29"/>
  <c r="K16" i="4" s="1"/>
  <c r="L16" i="11"/>
  <c r="B2061" i="106" s="1"/>
  <c r="D2061" i="106"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K367" i="29"/>
  <c r="B1145" i="106"/>
  <c r="D1145" i="106" s="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10" i="4" l="1"/>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<sst xmlns="http://schemas.openxmlformats.org/spreadsheetml/2006/main" count="5120" uniqueCount="2124">
  <si>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</si>
  <si>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</si>
  <si>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</si>
  <si>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</si>
  <si>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</si>
  <si>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</si>
  <si>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</si>
  <si>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</si>
  <si>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</si>
  <si>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</si>
  <si>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</si>
  <si>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</si>
  <si>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</si>
  <si>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</si>
  <si>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</si>
  <si>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</si>
  <si>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</si>
  <si>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</si>
  <si>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</si>
  <si>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</si>
  <si>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</si>
  <si>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</si>
  <si>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</si>
  <si>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</si>
  <si>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</si>
  <si>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</si>
  <si>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</si>
  <si>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</si>
  <si>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</si>
  <si>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</si>
  <si>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</si>
  <si>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</si>
  <si>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</si>
  <si>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</si>
  <si>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</si>
  <si>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</si>
  <si>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</si>
  <si>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</si>
  <si>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</si>
  <si>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</si>
  <si>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</si>
  <si>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</si>
  <si>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</si>
  <si>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</si>
  <si>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</si>
  <si>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</si>
  <si>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</si>
  <si>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</si>
  <si>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</si>
  <si>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</si>
  <si>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</si>
  <si>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</si>
  <si>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</si>
  <si>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</si>
  <si>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</si>
  <si>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</si>
  <si>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</si>
  <si>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</si>
  <si>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</si>
  <si>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</si>
  <si>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</si>
  <si>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</si>
  <si>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</si>
  <si>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</si>
  <si>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</si>
  <si>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</si>
  <si>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</si>
  <si>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</si>
  <si>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</si>
  <si>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</si>
  <si>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</si>
  <si>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</si>
  <si>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</si>
  <si>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</si>
  <si>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</si>
  <si>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</si>
  <si>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</si>
  <si>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</si>
  <si>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</si>
  <si>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</si>
  <si>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</si>
  <si>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</si>
  <si>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</si>
  <si>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</si>
  <si>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</si>
  <si>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</si>
  <si>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</si>
  <si>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</si>
  <si>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</si>
  <si>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</si>
  <si>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</si>
  <si>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</si>
  <si>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</si>
  <si>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</si>
  <si>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</si>
  <si>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</si>
  <si>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</si>
  <si>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</si>
  <si>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</si>
  <si>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</si>
  <si>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</si>
  <si>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</si>
  <si>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</si>
  <si>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</si>
  <si>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</si>
  <si>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</si>
  <si>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</si>
  <si>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</si>
  <si>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</si>
  <si>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</si>
  <si>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</si>
  <si>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</si>
  <si>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</si>
  <si>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</si>
  <si>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</si>
  <si>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</si>
  <si>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</si>
  <si>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</si>
  <si>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</si>
  <si>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</si>
  <si>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</si>
  <si>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</si>
  <si>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</si>
  <si>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</si>
  <si>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</si>
  <si>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</si>
  <si>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</si>
  <si>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</si>
  <si>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</si>
  <si>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</si>
  <si>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</si>
  <si>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</si>
  <si>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</si>
  <si>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</si>
  <si>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</si>
  <si>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</si>
  <si>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</si>
  <si>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</si>
  <si>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</si>
  <si>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</si>
  <si>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</si>
  <si>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</si>
  <si>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</si>
  <si>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</si>
  <si>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</si>
  <si>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</si>
  <si>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</si>
  <si>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</si>
  <si>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</si>
  <si>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</si>
  <si>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</si>
  <si>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</si>
  <si>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</si>
  <si>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</si>
  <si>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</si>
  <si>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</si>
  <si>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</si>
  <si>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</si>
  <si>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</si>
  <si>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</si>
  <si>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</si>
  <si>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</si>
  <si>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</si>
  <si>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</si>
  <si>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</si>
  <si>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</si>
  <si>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</si>
  <si>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</si>
  <si>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</si>
  <si>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</si>
  <si>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</si>
  <si>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</si>
  <si>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</si>
  <si>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</si>
  <si>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</si>
  <si>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</si>
  <si>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</si>
  <si>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</si>
  <si>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</si>
  <si>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</si>
  <si>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</si>
  <si>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</si>
  <si>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</si>
  <si>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</si>
  <si>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</si>
  <si>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</si>
  <si>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</si>
  <si>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</si>
  <si>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</si>
  <si>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</si>
  <si>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</si>
  <si>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</si>
  <si>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</si>
  <si>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</si>
  <si>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</si>
  <si>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</si>
  <si>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</si>
  <si>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</si>
  <si>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</si>
  <si>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</si>
  <si>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</si>
  <si>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</si>
  <si>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</si>
  <si>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</si>
  <si>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</si>
  <si>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</si>
  <si>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</si>
  <si>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</si>
  <si>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</si>
  <si>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</si>
  <si>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</si>
  <si>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</si>
  <si>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</si>
  <si>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</si>
  <si>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</si>
  <si>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</si>
  <si>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</si>
  <si>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</si>
  <si>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</si>
  <si>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</si>
  <si>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</si>
  <si>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</si>
  <si>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</si>
  <si>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</si>
  <si>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</si>
  <si>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</si>
  <si>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</si>
  <si>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</si>
  <si>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</si>
  <si>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</si>
  <si>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</si>
  <si>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</si>
  <si>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</si>
  <si>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</si>
  <si>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</si>
  <si>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</si>
  <si>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</si>
  <si>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</si>
  <si>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</si>
  <si>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</si>
  <si>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</si>
  <si>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</si>
  <si>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</si>
  <si>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</si>
  <si>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</si>
  <si>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</si>
  <si>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</si>
  <si>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</si>
  <si>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</si>
  <si>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</si>
  <si>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</si>
  <si>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</si>
  <si>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</si>
  <si>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</si>
  <si>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</si>
  <si>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</si>
  <si>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</si>
  <si>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</si>
  <si>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</si>
  <si>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</si>
  <si>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</si>
  <si>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</si>
  <si>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</si>
  <si>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</si>
  <si>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</si>
  <si>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</si>
  <si>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</si>
  <si>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</si>
  <si>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</si>
  <si>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</si>
  <si>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</si>
  <si>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</si>
  <si>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</si>
  <si>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</si>
  <si>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</si>
  <si>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</si>
  <si>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</si>
  <si>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</si>
  <si>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</si>
  <si>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</si>
  <si>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</si>
  <si>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</si>
  <si>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</si>
  <si>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</si>
  <si>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</si>
  <si>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</si>
  <si>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</si>
  <si>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</si>
  <si>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</si>
  <si>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</si>
  <si>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</si>
  <si>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</si>
  <si>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</si>
  <si>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</si>
  <si>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</si>
  <si>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</si>
  <si>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</si>
  <si>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</si>
  <si>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</si>
  <si>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</si>
  <si>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</si>
  <si>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</si>
  <si>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</si>
  <si>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</si>
  <si>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</si>
  <si>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</si>
  <si>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</si>
  <si>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</si>
  <si>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</si>
  <si>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</si>
  <si>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</si>
  <si>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</si>
  <si>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</si>
  <si>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</si>
  <si>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</si>
  <si>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</si>
  <si>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</si>
  <si>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</si>
  <si>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</si>
  <si>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</si>
  <si>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</si>
  <si>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</si>
  <si>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</si>
  <si>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</si>
  <si>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</si>
  <si>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</si>
  <si>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</si>
  <si>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</si>
  <si>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</si>
  <si>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</si>
  <si>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</si>
  <si>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</si>
  <si>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</si>
  <si>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</si>
  <si>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</si>
  <si>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</si>
  <si>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</si>
  <si>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</si>
  <si>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</si>
  <si>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</si>
  <si>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</si>
  <si>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</si>
  <si>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</si>
  <si>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</si>
  <si>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</si>
  <si>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</si>
  <si>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</si>
  <si>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</si>
  <si>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</si>
  <si>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</si>
  <si>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</si>
  <si>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</si>
  <si>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</si>
  <si>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</si>
  <si>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</si>
  <si>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</si>
  <si>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</si>
  <si>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</si>
  <si>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</si>
  <si>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</si>
  <si>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</si>
  <si>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</si>
  <si>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</si>
  <si>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</si>
  <si>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</si>
  <si>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</si>
  <si>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</si>
  <si>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</si>
  <si>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</si>
  <si>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</si>
  <si>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</si>
  <si>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</si>
  <si>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</si>
  <si>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</si>
  <si>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</si>
  <si>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</si>
  <si>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</si>
  <si>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</si>
  <si>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</si>
  <si>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</si>
  <si>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</si>
  <si>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</si>
  <si>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</si>
  <si>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</si>
  <si>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</si>
  <si>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</si>
  <si>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</si>
  <si>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</si>
  <si>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</si>
  <si>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</si>
  <si>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</si>
  <si>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</si>
  <si>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</si>
  <si>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</si>
  <si>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</si>
  <si>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</si>
  <si>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</si>
  <si>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</si>
  <si>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</si>
  <si>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</si>
  <si>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</si>
  <si>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</si>
  <si>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</si>
  <si>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</si>
  <si>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</si>
  <si>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</si>
  <si>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</si>
  <si>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</si>
  <si>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</si>
  <si>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</si>
  <si>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</si>
  <si>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</si>
  <si>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</si>
  <si>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</si>
  <si>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</si>
  <si>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</si>
  <si>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</si>
  <si>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</si>
  <si>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</si>
  <si>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</si>
  <si>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</si>
  <si>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</si>
  <si>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</si>
  <si>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</si>
  <si>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</si>
  <si>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</si>
  <si>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</si>
  <si>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</si>
  <si>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</si>
  <si>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</si>
  <si>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</si>
  <si>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</si>
  <si>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</si>
  <si>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</si>
  <si>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</si>
  <si>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</si>
  <si>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</si>
  <si>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</si>
  <si>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</si>
  <si>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</si>
  <si>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</si>
  <si>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</si>
  <si>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</si>
  <si>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</si>
  <si>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</si>
  <si>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</si>
  <si>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</si>
  <si>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</si>
  <si>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</si>
  <si>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</si>
  <si>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</si>
  <si>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</si>
  <si>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</si>
  <si>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</si>
  <si>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</si>
  <si>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</si>
  <si>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</si>
  <si>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</si>
  <si>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</si>
  <si>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</si>
  <si>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</si>
  <si>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</si>
  <si>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</si>
  <si>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</si>
  <si>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</si>
  <si>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</si>
  <si>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</si>
  <si>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</si>
  <si>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</si>
  <si>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</si>
  <si>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</si>
  <si>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</si>
  <si>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</si>
  <si>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</si>
  <si>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</si>
  <si>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</si>
  <si>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</si>
  <si>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</si>
  <si>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</si>
  <si>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</si>
  <si>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</si>
  <si>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</si>
  <si>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</si>
  <si>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</si>
  <si>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</si>
  <si>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</si>
  <si>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</si>
  <si>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</si>
  <si>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</si>
  <si>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</si>
  <si>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</si>
  <si>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</si>
  <si>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</si>
  <si>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</si>
  <si>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</si>
  <si>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</si>
  <si>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</si>
  <si>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</si>
  <si>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</si>
  <si>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</si>
  <si>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</si>
  <si>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</si>
  <si>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</si>
  <si>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</si>
  <si>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</si>
  <si>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</si>
  <si>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</si>
  <si>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</si>
  <si>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</si>
  <si>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</si>
  <si>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</si>
  <si>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</si>
  <si>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</si>
  <si>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</si>
  <si>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</si>
  <si>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</si>
  <si>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</si>
  <si>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</si>
  <si>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</si>
  <si>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</si>
  <si>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</si>
  <si>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</si>
  <si>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</si>
  <si>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</si>
  <si>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</si>
  <si>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</si>
  <si>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</si>
  <si>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</si>
  <si>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</si>
  <si>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</si>
  <si>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</si>
  <si>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</si>
  <si>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</si>
  <si>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</si>
  <si>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</si>
  <si>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</si>
  <si>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</si>
  <si>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</si>
  <si>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</si>
  <si>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</si>
  <si>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</si>
  <si>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</si>
  <si>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</si>
  <si>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</si>
  <si>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</si>
  <si>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</si>
  <si>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</si>
  <si>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</si>
  <si>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</si>
  <si>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</si>
  <si>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</si>
  <si>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</si>
  <si>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</si>
  <si>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</si>
  <si>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</si>
  <si>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</si>
  <si>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</si>
  <si>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</si>
  <si>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</si>
  <si>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</si>
  <si>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</si>
  <si>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</si>
  <si>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</si>
  <si>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</si>
  <si>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</si>
  <si>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</si>
  <si>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</si>
  <si>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</si>
  <si>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</si>
  <si>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</si>
  <si>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</si>
  <si>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</si>
  <si>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</si>
  <si>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</si>
  <si>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</si>
  <si>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</si>
  <si>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</si>
  <si>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</si>
  <si>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</si>
  <si>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</si>
  <si>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</si>
  <si>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</si>
  <si>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</si>
  <si>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</si>
  <si>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</si>
  <si>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</si>
  <si>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</si>
  <si>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</si>
  <si>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</si>
  <si>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</si>
  <si>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</si>
  <si>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</si>
  <si>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</si>
  <si>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</si>
  <si>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</si>
  <si>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</si>
  <si>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</si>
  <si>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</si>
  <si>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</si>
  <si>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</si>
  <si>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</si>
  <si>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</si>
  <si>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</si>
  <si>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</si>
  <si>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</si>
  <si>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</si>
  <si>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</si>
  <si>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</si>
  <si>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</si>
  <si>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</si>
  <si>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</si>
  <si>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</si>
  <si>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</si>
  <si>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</si>
  <si>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</si>
  <si>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</si>
  <si>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</si>
  <si>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</si>
  <si>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</si>
  <si>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</si>
  <si>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</si>
  <si>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</si>
  <si>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</si>
  <si>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</si>
  <si>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</si>
  <si>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</si>
  <si>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</si>
  <si>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</si>
  <si>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</si>
  <si>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</si>
  <si>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</si>
  <si>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</si>
  <si>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</si>
  <si>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</si>
  <si>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</si>
  <si>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</si>
  <si>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</si>
  <si>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</si>
  <si>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</si>
  <si>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</si>
  <si>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</si>
  <si>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</si>
  <si>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</si>
  <si>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</si>
  <si>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</si>
  <si>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</si>
  <si>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</si>
  <si>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</si>
  <si>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</si>
  <si>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</si>
  <si>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</si>
  <si>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</si>
  <si>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</si>
  <si>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</si>
  <si>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</si>
  <si>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</si>
  <si>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</si>
  <si>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</si>
  <si>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</si>
  <si>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</si>
  <si>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</si>
  <si>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</si>
  <si>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</si>
  <si>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</si>
  <si>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</si>
  <si>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</si>
  <si>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</si>
  <si>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</si>
  <si>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</si>
  <si>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</si>
  <si>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</si>
  <si>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</si>
  <si>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</si>
  <si>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</si>
  <si>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</si>
  <si>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</si>
  <si>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</si>
  <si>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</si>
  <si>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</si>
  <si>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</si>
  <si>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</si>
  <si>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</si>
  <si>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</si>
  <si>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</si>
  <si>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</si>
  <si>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</si>
  <si>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</si>
  <si>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</si>
  <si>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</si>
  <si>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</si>
  <si>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</si>
  <si>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</si>
  <si>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</si>
  <si>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</si>
  <si>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</si>
  <si>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</si>
  <si>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</si>
  <si>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</si>
  <si>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</si>
  <si>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</si>
  <si>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</si>
  <si>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</si>
  <si>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</si>
  <si>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</si>
  <si>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</si>
  <si>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</si>
  <si>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</si>
  <si>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</si>
  <si>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</si>
  <si>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</si>
  <si>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</si>
  <si>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</si>
  <si>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</si>
  <si>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</si>
  <si>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</si>
  <si>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</si>
  <si>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</si>
  <si>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</si>
  <si>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</si>
  <si>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</si>
  <si>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</si>
  <si>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</si>
  <si>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</si>
  <si>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</si>
  <si>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</si>
  <si>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</si>
  <si>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</si>
  <si>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</si>
  <si>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</si>
  <si>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</si>
  <si>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</si>
  <si>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</si>
  <si>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</si>
  <si>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</si>
  <si>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</si>
  <si>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</si>
  <si>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</si>
  <si>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</si>
  <si>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</si>
  <si>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</si>
  <si>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</si>
  <si>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</si>
  <si>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</si>
  <si>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</si>
  <si>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</si>
  <si>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</si>
  <si>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</si>
  <si>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</si>
  <si>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</si>
  <si>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</si>
  <si>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</si>
  <si>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</si>
  <si>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</si>
  <si>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</si>
  <si>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</si>
  <si>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</si>
  <si>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</si>
  <si>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</si>
  <si>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</si>
  <si>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</si>
  <si>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</si>
  <si>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</si>
  <si>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</si>
  <si>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</si>
  <si>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</si>
  <si>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</si>
  <si>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</si>
  <si>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</si>
  <si>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</si>
  <si>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</si>
  <si>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</si>
  <si>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</si>
  <si>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</si>
  <si>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</si>
  <si>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</si>
  <si>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</si>
  <si>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</si>
  <si>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</si>
  <si>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</si>
  <si>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</si>
  <si>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</si>
  <si>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</si>
  <si>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</si>
  <si>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</si>
  <si>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</si>
  <si>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</si>
  <si>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</si>
  <si>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</si>
  <si>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</si>
  <si>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</si>
  <si>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</si>
  <si>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</si>
  <si>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</si>
  <si>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</si>
  <si>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</si>
  <si>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</si>
  <si>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</si>
  <si>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</si>
  <si>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</si>
  <si>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</si>
  <si>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</si>
  <si>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</si>
  <si>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</si>
  <si>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</si>
  <si>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</si>
  <si>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</si>
  <si>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</si>
  <si>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</si>
  <si>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</si>
  <si>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</si>
  <si>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</si>
  <si>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</si>
  <si>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</si>
  <si>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</si>
  <si>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</si>
  <si>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</si>
  <si>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</si>
  <si>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</si>
  <si>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</si>
  <si>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</si>
  <si>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</si>
  <si>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</si>
  <si>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</si>
  <si>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</si>
  <si>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</si>
  <si>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</si>
  <si>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</si>
  <si>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</si>
  <si>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</si>
  <si>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</si>
  <si>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</si>
  <si>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</si>
  <si>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</si>
  <si>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</si>
  <si>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</si>
  <si>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</si>
  <si>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</si>
  <si>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</si>
  <si>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</si>
  <si>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</si>
  <si>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</si>
  <si>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</si>
  <si>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</si>
  <si>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</si>
  <si>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</si>
  <si>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</si>
  <si>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</si>
  <si>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</si>
  <si>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</si>
  <si>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</si>
  <si>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</si>
  <si>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</si>
  <si>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</si>
  <si>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</si>
  <si>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</si>
  <si>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</si>
  <si>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</si>
  <si>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</si>
  <si>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</si>
  <si>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</si>
  <si>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</si>
  <si>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</si>
  <si>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</si>
  <si>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</si>
  <si>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</si>
  <si>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</si>
  <si>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</si>
  <si>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</si>
  <si>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</si>
  <si>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</si>
  <si>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</si>
  <si>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</si>
  <si>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</si>
  <si>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</si>
  <si>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</si>
  <si>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</si>
  <si>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</si>
  <si>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</si>
  <si>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</si>
  <si>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</si>
  <si>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</si>
  <si>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</si>
  <si>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</si>
  <si>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</si>
  <si>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</si>
  <si>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</si>
  <si>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</si>
  <si>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</si>
  <si>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</si>
  <si>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</si>
  <si>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</si>
  <si>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</si>
  <si>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</si>
  <si>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</si>
  <si>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</si>
  <si>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</si>
  <si>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</si>
  <si>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</si>
  <si>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</si>
  <si>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</si>
  <si>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</si>
  <si>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</si>
  <si>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</si>
  <si>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</si>
  <si>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</si>
  <si>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</si>
  <si>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</si>
  <si>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</si>
  <si>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</si>
  <si>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</si>
  <si>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</si>
  <si>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</si>
  <si>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</si>
  <si>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</si>
  <si>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</si>
  <si>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</si>
  <si>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</si>
  <si>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</si>
  <si>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</si>
  <si>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</si>
  <si>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</si>
  <si>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</si>
  <si>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</si>
  <si>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</si>
  <si>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</si>
  <si>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</si>
  <si>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</si>
  <si>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</si>
  <si>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</si>
  <si>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</si>
  <si>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</si>
  <si>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</si>
  <si>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</si>
  <si>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</si>
  <si>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</si>
  <si>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</si>
  <si>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</si>
  <si>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</si>
  <si>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</si>
  <si>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</si>
  <si>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</si>
  <si>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</si>
  <si>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</si>
  <si>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</si>
  <si>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</si>
  <si>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</si>
  <si>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</si>
  <si>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</si>
  <si>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</si>
  <si>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</si>
  <si>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</si>
  <si>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</si>
  <si>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</si>
  <si>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</si>
  <si>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</si>
  <si>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</si>
  <si>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</si>
  <si>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</si>
  <si>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</si>
  <si>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</si>
  <si>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</si>
  <si>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</si>
  <si>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</si>
  <si>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</si>
  <si>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</si>
  <si>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</si>
  <si>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</si>
  <si>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</si>
  <si>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</si>
  <si>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</si>
  <si>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</si>
  <si>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</si>
  <si>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</si>
  <si>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</si>
  <si>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</si>
  <si>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</si>
  <si>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</si>
  <si>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</si>
  <si>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</si>
  <si>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</si>
  <si>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</si>
  <si>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</si>
  <si>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</si>
  <si>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</si>
  <si>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</si>
  <si>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</si>
  <si>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</si>
  <si>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</si>
  <si>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</si>
  <si>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</si>
  <si>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</si>
  <si>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</si>
  <si>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</si>
  <si>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</si>
  <si>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</si>
  <si>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</si>
  <si>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</si>
  <si>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</si>
  <si>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</si>
  <si>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</si>
  <si>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</si>
  <si>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</si>
  <si>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</si>
  <si>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</si>
  <si>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</si>
  <si>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</si>
  <si>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</si>
  <si>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</si>
  <si>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</si>
  <si>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</si>
  <si>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</si>
  <si>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</si>
  <si>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</si>
  <si>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</si>
  <si>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</si>
  <si>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</si>
  <si>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</si>
  <si>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</si>
  <si>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</si>
  <si>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</si>
  <si>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</si>
  <si>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</si>
  <si>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</si>
  <si>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</si>
  <si>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</si>
  <si>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</si>
  <si>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</si>
  <si>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</si>
  <si>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</si>
  <si>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</si>
  <si>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</si>
  <si>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</si>
  <si>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</si>
  <si>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</si>
  <si>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</si>
  <si>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</si>
  <si>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</si>
  <si>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</si>
  <si>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</si>
  <si>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</si>
  <si>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</si>
  <si>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</si>
  <si>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</si>
  <si>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</si>
  <si>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</si>
  <si>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</si>
  <si>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</si>
  <si>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</si>
  <si>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</si>
  <si>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</si>
  <si>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</si>
  <si>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</si>
  <si>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</si>
  <si>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</si>
  <si>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</si>
  <si>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</si>
  <si>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</si>
  <si>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</si>
  <si>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</si>
  <si>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</si>
  <si>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</si>
  <si>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</si>
  <si>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</si>
  <si>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</si>
  <si>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</si>
  <si>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</si>
  <si>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</si>
  <si>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</si>
  <si>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</si>
  <si>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</si>
  <si>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</si>
  <si>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</si>
  <si>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</si>
  <si>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</si>
  <si>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</si>
  <si>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</si>
  <si>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</si>
  <si>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</si>
  <si>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</si>
  <si>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</si>
  <si>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</si>
  <si>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</si>
  <si>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</si>
  <si>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</si>
  <si>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</si>
  <si>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</si>
  <si>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</si>
  <si>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</si>
  <si>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</si>
  <si>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</si>
  <si>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</si>
  <si>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</si>
  <si>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</si>
  <si>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</si>
  <si>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</si>
  <si>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</si>
  <si>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</si>
  <si>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</si>
  <si>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</si>
  <si>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</si>
  <si>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</si>
  <si>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</si>
  <si>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</si>
  <si>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</si>
  <si>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</si>
  <si>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</si>
  <si>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</si>
  <si>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</si>
  <si>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</si>
  <si>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</si>
  <si>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</si>
  <si>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</si>
  <si>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</si>
  <si>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</si>
  <si>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</si>
  <si>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</si>
  <si>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</si>
  <si>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</si>
  <si>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</si>
  <si>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</si>
  <si>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</si>
  <si>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</si>
  <si>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</si>
  <si>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</si>
  <si>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</si>
  <si>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</si>
  <si>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</si>
  <si>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</si>
  <si>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</si>
  <si>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</si>
  <si>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</si>
  <si>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</si>
  <si>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</si>
  <si>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</si>
  <si>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</si>
  <si>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</si>
  <si>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</si>
  <si>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</si>
  <si>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</si>
  <si>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</si>
  <si>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</si>
  <si>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</si>
  <si>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</si>
  <si>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</si>
  <si>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</si>
  <si>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</si>
  <si>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</si>
  <si>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</si>
  <si>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</si>
  <si>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</si>
  <si>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</si>
  <si>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</si>
  <si>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</si>
  <si>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</si>
  <si>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</si>
  <si>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</si>
  <si>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</si>
  <si>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</si>
  <si>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</si>
  <si>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</si>
  <si>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</si>
  <si>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</si>
  <si>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</si>
  <si>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</si>
  <si>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</si>
  <si>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</si>
  <si>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</si>
  <si>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</si>
  <si>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</si>
  <si>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</si>
  <si>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</si>
  <si>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</si>
  <si>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</si>
  <si>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</si>
  <si>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</si>
  <si>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</si>
  <si>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</si>
  <si>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</si>
  <si>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</si>
  <si>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</si>
  <si>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</si>
  <si>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</si>
  <si>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</si>
  <si>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</si>
  <si>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</si>
  <si>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</si>
  <si>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</si>
  <si>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</si>
  <si>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</si>
  <si>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</si>
  <si>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</si>
  <si>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</si>
  <si>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</si>
  <si>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</si>
  <si>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</si>
  <si>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</si>
  <si>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</si>
  <si>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</si>
  <si>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</si>
  <si>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</si>
  <si>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</si>
  <si>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</si>
  <si>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</si>
  <si>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</si>
  <si>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</si>
  <si>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</si>
  <si>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</si>
  <si>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</si>
  <si>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</si>
  <si>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</si>
  <si>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</si>
  <si>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</si>
  <si>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</si>
  <si>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</si>
  <si>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</si>
  <si>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</si>
  <si>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</si>
  <si>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</si>
  <si>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</si>
  <si>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</si>
  <si>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</si>
  <si>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</si>
  <si>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</si>
  <si>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</si>
  <si>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</si>
  <si>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</si>
  <si>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</si>
  <si>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</si>
  <si>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</si>
  <si>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</si>
  <si>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</si>
  <si>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</si>
  <si>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</si>
  <si>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</si>
  <si>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</si>
  <si>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</si>
  <si>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</si>
  <si>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</si>
  <si>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</si>
  <si>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</si>
  <si>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</si>
  <si>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</si>
  <si>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</si>
  <si>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</si>
  <si>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</si>
  <si>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</si>
  <si>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</si>
  <si>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</si>
  <si>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</si>
  <si>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</si>
  <si>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</si>
  <si>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</si>
  <si>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</si>
  <si>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</si>
  <si>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</si>
  <si>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</si>
  <si>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</si>
  <si>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</si>
  <si>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</si>
  <si>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</si>
  <si>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</si>
  <si>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</si>
  <si>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</si>
  <si>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</si>
  <si>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</si>
  <si>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</si>
  <si>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</si>
  <si>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</si>
  <si>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</si>
  <si>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</si>
  <si>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</si>
  <si>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</si>
  <si>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</si>
  <si>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</si>
  <si>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</si>
  <si>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</si>
  <si>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</si>
  <si>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</si>
  <si>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</si>
  <si>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</si>
  <si>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</si>
  <si>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</si>
  <si>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</si>
  <si>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</si>
  <si>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</si>
  <si>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</si>
  <si>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</si>
  <si>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</si>
  <si>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</si>
  <si>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</si>
  <si>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</si>
  <si>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</si>
  <si>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</si>
  <si>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</si>
  <si>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</si>
  <si>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</si>
  <si>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</si>
  <si>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</si>
  <si>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</si>
  <si>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</si>
  <si>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</si>
  <si>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</si>
  <si>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</si>
  <si>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</si>
  <si>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</si>
  <si>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</si>
  <si>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</si>
  <si>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</si>
  <si>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</si>
  <si>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</si>
  <si>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</si>
  <si>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</si>
  <si>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</si>
  <si>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</si>
  <si>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</si>
  <si>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</si>
  <si>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</si>
  <si>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</si>
  <si>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</si>
  <si>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</si>
  <si>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</si>
  <si>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</si>
  <si>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</si>
  <si>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</si>
  <si>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</si>
  <si>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</si>
  <si>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</si>
  <si>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</si>
  <si>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</si>
  <si>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</si>
  <si>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</si>
  <si>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</si>
  <si>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</si>
  <si>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</si>
  <si>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</si>
  <si>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</si>
  <si>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</si>
  <si>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</si>
  <si>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</si>
  <si>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</si>
  <si>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</si>
  <si>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</si>
  <si>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</si>
  <si>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</si>
  <si>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</si>
  <si>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</si>
  <si>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</si>
  <si>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</si>
  <si>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</si>
  <si>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</si>
  <si>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</si>
  <si>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</si>
  <si>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</si>
  <si>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</si>
  <si>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</si>
  <si>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</si>
  <si>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</si>
  <si>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</si>
  <si>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</si>
  <si>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</si>
  <si>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</si>
  <si>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</si>
  <si>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</si>
  <si>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</si>
  <si>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</si>
  <si>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</si>
  <si>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</si>
  <si>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</si>
  <si>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</si>
  <si>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</si>
  <si>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</si>
  <si>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</si>
  <si>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</si>
  <si>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</si>
  <si>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</si>
  <si>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</si>
  <si>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</si>
  <si>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</si>
  <si>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</si>
  <si>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</si>
  <si>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</si>
  <si>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</si>
  <si>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</si>
  <si>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</si>
  <si>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</si>
  <si>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</si>
  <si>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</si>
  <si>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</si>
  <si>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</si>
  <si>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</si>
  <si>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</si>
  <si>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</si>
  <si>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</si>
  <si>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</si>
  <si>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</si>
  <si>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</si>
  <si>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</si>
  <si>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</si>
  <si>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</si>
  <si>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</si>
  <si>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</si>
  <si>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</si>
  <si>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</si>
  <si>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</si>
  <si>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</si>
  <si>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</si>
  <si>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</si>
  <si>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</si>
  <si>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</si>
  <si>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</si>
  <si>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</si>
  <si>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</si>
  <si>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</si>
  <si>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</si>
  <si>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</si>
  <si>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</si>
  <si>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</si>
  <si>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</si>
  <si>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</si>
  <si>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</si>
  <si>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</si>
  <si>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</si>
  <si>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</si>
  <si>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</si>
  <si>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</si>
  <si>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</si>
  <si>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</si>
  <si>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</si>
  <si>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</si>
  <si>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</si>
  <si>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</si>
  <si>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</si>
  <si>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</si>
  <si>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</si>
  <si>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</si>
  <si>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</si>
  <si>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</si>
  <si>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</si>
  <si>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</si>
  <si>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</si>
  <si>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</si>
  <si>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</si>
  <si>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</si>
  <si>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</si>
  <si>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</si>
  <si>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</si>
  <si>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</si>
  <si>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</si>
  <si>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</si>
  <si>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</si>
  <si>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</si>
  <si>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</si>
  <si>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</si>
  <si>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</si>
  <si>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</si>
  <si>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</si>
  <si>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</si>
  <si>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</si>
  <si>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</si>
  <si>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</si>
  <si>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</si>
  <si>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</si>
  <si>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</si>
  <si>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</si>
  <si>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</si>
  <si>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</si>
  <si>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</si>
  <si>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</si>
  <si>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</si>
  <si>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</si>
  <si>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</si>
  <si>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</si>
  <si>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</si>
  <si>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</si>
  <si>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</si>
  <si>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</si>
  <si>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</si>
  <si>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</si>
  <si>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</si>
  <si>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</si>
  <si>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</si>
  <si>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</si>
  <si>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</si>
  <si>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</si>
  <si>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</si>
  <si>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</si>
  <si>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</si>
  <si>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</si>
  <si>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</si>
  <si>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</si>
  <si>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</si>
  <si>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</si>
  <si>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</si>
  <si>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</si>
  <si>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</si>
  <si>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</si>
  <si>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</si>
  <si>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</si>
  <si>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</si>
  <si>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</si>
  <si>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</si>
  <si>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</si>
  <si>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</si>
  <si>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</si>
  <si>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</si>
  <si>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</si>
  <si>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</si>
  <si>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</si>
  <si>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</si>
  <si>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</si>
  <si>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</si>
  <si>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</si>
  <si>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</si>
  <si>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</si>
  <si>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</si>
  <si>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</si>
  <si>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</si>
  <si>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</si>
  <si>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</si>
  <si>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</si>
  <si>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</si>
  <si>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</si>
  <si>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</si>
  <si>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</si>
  <si>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</si>
  <si>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</si>
  <si>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</si>
  <si>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</si>
  <si>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</si>
  <si>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</si>
  <si>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</si>
  <si>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</si>
  <si>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</si>
  <si>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</si>
  <si>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</si>
  <si>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</si>
  <si>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</si>
  <si>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</si>
  <si>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</si>
  <si>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</si>
  <si>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</si>
  <si>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</si>
  <si>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</si>
  <si>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</si>
  <si>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</si>
  <si>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</si>
  <si>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</si>
  <si>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</si>
  <si>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</si>
  <si>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</si>
  <si>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</si>
  <si>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</si>
  <si>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</si>
  <si>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</si>
  <si>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</si>
  <si>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</si>
  <si>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</si>
  <si>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</si>
  <si>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</si>
  <si>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</si>
  <si>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</si>
  <si>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</si>
  <si>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</si>
  <si>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</si>
  <si>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</si>
  <si>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</si>
  <si>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</si>
  <si>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</si>
  <si>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</si>
  <si>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</si>
  <si>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</si>
  <si>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</si>
  <si>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</si>
  <si>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</si>
  <si>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</si>
  <si>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</si>
  <si>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</si>
  <si>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</si>
  <si>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</si>
  <si>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</si>
  <si>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</si>
  <si>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</si>
  <si>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</si>
  <si>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</si>
  <si>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</si>
  <si>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</si>
  <si>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</si>
  <si>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</si>
  <si>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</si>
  <si>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</si>
  <si>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</si>
  <si>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</si>
  <si>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</si>
  <si>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</si>
  <si>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</si>
  <si>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</si>
  <si>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</si>
  <si>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</si>
  <si>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</si>
  <si>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</si>
  <si>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</si>
  <si>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</si>
  <si>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</si>
  <si>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</si>
  <si>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</si>
  <si>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</si>
  <si>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</si>
  <si>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</si>
  <si>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</si>
  <si>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</si>
  <si>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</si>
  <si>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</si>
  <si>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</si>
  <si>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</si>
  <si>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</si>
  <si>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</si>
  <si>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</si>
  <si>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</si>
  <si>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</si>
  <si>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</si>
  <si>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</si>
  <si>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</si>
  <si>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</si>
  <si>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</si>
  <si>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</si>
  <si>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</si>
  <si>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</si>
  <si>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</si>
  <si>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</si>
  <si>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</si>
  <si>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</si>
  <si>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</si>
  <si>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</si>
  <si>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</si>
  <si>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</si>
  <si>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</si>
  <si>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</si>
  <si>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</si>
  <si>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</si>
  <si>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</si>
  <si>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</si>
  <si>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</si>
  <si>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</si>
  <si>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</si>
  <si>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</si>
  <si>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</si>
  <si>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</si>
  <si>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</si>
  <si>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</si>
  <si>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</si>
  <si>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</si>
  <si>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</si>
  <si>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</si>
  <si>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</si>
  <si>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</si>
  <si>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</si>
  <si>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</si>
  <si>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</si>
  <si>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</si>
  <si>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</si>
  <si>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</si>
  <si>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</si>
  <si>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</si>
  <si>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</si>
  <si>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</si>
  <si>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</si>
  <si>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</si>
  <si>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</si>
  <si>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</si>
  <si>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</si>
  <si>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</si>
  <si>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</si>
  <si>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</si>
  <si>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</si>
  <si>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</si>
  <si>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</si>
  <si>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</si>
  <si>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</si>
  <si>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</si>
  <si>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</si>
  <si>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</si>
  <si>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</si>
  <si>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</si>
  <si>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</si>
  <si>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</si>
  <si>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</si>
  <si>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</si>
  <si>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</si>
  <si>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</si>
  <si>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</si>
  <si>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</si>
  <si>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</si>
  <si>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</si>
  <si>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</si>
  <si>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</si>
  <si>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</si>
  <si>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</si>
  <si>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</si>
  <si>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</si>
  <si>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</si>
  <si>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</si>
  <si>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</si>
  <si>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</si>
  <si>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</si>
  <si>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</si>
  <si>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</si>
  <si>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</si>
  <si>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</si>
  <si>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</si>
  <si>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</si>
  <si>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</si>
  <si>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</si>
  <si>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</si>
  <si>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</si>
  <si>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</si>
  <si>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</si>
  <si>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</si>
  <si>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</si>
  <si>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</si>
  <si>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</si>
  <si>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</si>
  <si>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</si>
  <si>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</si>
  <si>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</si>
  <si>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</si>
  <si>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</si>
  <si>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</si>
  <si>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</si>
  <si>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</si>
  <si>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</si>
  <si>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</si>
  <si>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</si>
  <si>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</si>
  <si>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</si>
  <si>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</si>
  <si>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</si>
  <si>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</si>
  <si>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</si>
  <si>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</si>
  <si>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</si>
  <si>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</si>
  <si>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</si>
  <si>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</si>
  <si>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</si>
  <si>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</si>
  <si>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</si>
  <si>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</si>
  <si>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</si>
  <si>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</si>
  <si>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</si>
  <si>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</si>
  <si>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</si>
  <si>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</si>
  <si>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</si>
  <si>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</si>
  <si>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</si>
  <si>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</si>
  <si>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</si>
  <si>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</si>
  <si>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</si>
  <si>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</si>
  <si>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</si>
  <si>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</si>
  <si>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</si>
  <si>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</si>
  <si>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</si>
  <si>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</si>
  <si>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</si>
  <si>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</si>
  <si>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</si>
  <si>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</si>
  <si>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</si>
  <si>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</si>
  <si>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</si>
  <si>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</si>
  <si>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</si>
  <si>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</si>
  <si>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</si>
  <si>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</si>
  <si>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</si>
  <si>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</si>
  <si>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</si>
  <si>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</si>
  <si>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</si>
  <si>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</si>
  <si>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</si>
  <si>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</si>
  <si>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</si>
  <si>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</si>
  <si>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</si>
  <si>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</si>
  <si>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</si>
  <si>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</si>
  <si>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</si>
  <si>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</si>
  <si>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</si>
  <si>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</si>
  <si>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</si>
  <si>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</si>
  <si>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</si>
  <si>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</si>
  <si>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</si>
  <si>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</si>
  <si>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</si>
  <si>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</si>
  <si>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</si>
  <si>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</si>
  <si>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</si>
  <si>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</si>
  <si>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</si>
  <si>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</si>
  <si>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</si>
  <si>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</si>
  <si>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</si>
  <si>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</si>
  <si>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</si>
  <si>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</si>
  <si>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</si>
  <si>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</si>
  <si>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</si>
  <si>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</si>
  <si>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</si>
  <si>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</si>
  <si>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</si>
  <si>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</si>
  <si>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</si>
  <si>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</si>
  <si>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</si>
  <si>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</si>
  <si>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</si>
  <si>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</si>
  <si>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</si>
  <si>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</si>
  <si>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</si>
  <si>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</si>
  <si>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</si>
  <si>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</si>
  <si>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</si>
  <si>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</si>
  <si>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</si>
  <si>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</si>
  <si>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</si>
  <si>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</si>
  <si>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</si>
  <si>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</si>
  <si>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</si>
  <si>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</si>
  <si>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</si>
  <si>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</si>
  <si>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</si>
  <si>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</si>
  <si>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</si>
  <si>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</si>
  <si>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</si>
  <si>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</si>
  <si>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</si>
  <si>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</si>
  <si>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</si>
  <si>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</si>
  <si>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</si>
  <si>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</si>
  <si>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</si>
  <si>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</si>
  <si>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</si>
  <si>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</si>
  <si>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</si>
  <si>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</si>
  <si>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</si>
  <si>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</si>
  <si>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</si>
  <si>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</si>
  <si>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</si>
  <si>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</si>
  <si>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</si>
  <si>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</si>
  <si>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</si>
  <si>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</si>
  <si>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</si>
  <si>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</si>
  <si>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</si>
  <si>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</si>
  <si>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</si>
  <si>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</si>
  <si>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</si>
  <si>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</si>
  <si>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</si>
  <si>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</si>
  <si>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</si>
  <si>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</si>
  <si>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</si>
  <si>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</si>
  <si>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</si>
  <si>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</si>
  <si>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</si>
  <si>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</si>
  <si>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</si>
  <si>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</si>
  <si>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</si>
  <si>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</si>
  <si>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</si>
  <si>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</si>
  <si>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</si>
  <si>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</si>
  <si>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</si>
  <si>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</si>
  <si>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</si>
  <si>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</si>
  <si>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</si>
  <si>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</si>
  <si>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</si>
  <si>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</si>
  <si>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</si>
  <si>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</si>
  <si>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</si>
  <si>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</si>
  <si>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</si>
  <si>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</si>
  <si>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</si>
  <si>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</si>
  <si>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</si>
  <si>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</si>
  <si>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</si>
  <si>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</si>
  <si>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</si>
  <si>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</si>
  <si>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</si>
  <si>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</si>
  <si>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</si>
  <si>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</si>
  <si>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</si>
  <si>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</si>
  <si>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</si>
  <si>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</si>
  <si>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</si>
  <si>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</si>
  <si>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</si>
  <si>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</si>
  <si>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</si>
  <si>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</si>
  <si>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</si>
  <si>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</si>
  <si>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</si>
  <si>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</si>
  <si>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</si>
  <si>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</si>
  <si>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</si>
  <si>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</si>
  <si>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</si>
  <si>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</si>
  <si>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</si>
  <si>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</si>
  <si>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</si>
  <si>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</si>
  <si>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</si>
  <si>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</si>
  <si>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</si>
  <si>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</si>
  <si>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</si>
  <si>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</si>
  <si>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</si>
  <si>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</si>
  <si>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</si>
  <si>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</si>
  <si>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</si>
  <si>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</si>
  <si>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</si>
  <si>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</si>
  <si>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</si>
  <si>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</si>
  <si>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</si>
  <si>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</si>
  <si>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</si>
  <si>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</si>
  <si>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</si>
  <si>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</si>
  <si>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</si>
  <si>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</si>
  <si>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</si>
  <si>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</si>
  <si>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</si>
  <si>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</si>
  <si>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</si>
  <si>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</si>
  <si>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</si>
  <si>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</si>
  <si>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</si>
  <si>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</si>
  <si>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</si>
  <si>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</si>
  <si>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</si>
  <si>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</si>
  <si>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</si>
  <si>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</si>
  <si>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</si>
  <si>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</si>
  <si>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</si>
  <si>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</si>
  <si>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</si>
  <si>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</si>
  <si>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</si>
  <si>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</si>
  <si>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</si>
  <si>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</si>
  <si>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</si>
  <si>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</si>
  <si>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</si>
  <si>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</si>
  <si>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</si>
  <si>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</si>
  <si>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</si>
  <si>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</si>
  <si>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</si>
  <si>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</si>
  <si>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</si>
  <si>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</si>
  <si>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</si>
  <si>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</si>
  <si>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</si>
  <si>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</si>
  <si>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</si>
  <si>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</si>
  <si>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</si>
  <si>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</si>
  <si>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</si>
  <si>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</si>
  <si>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</si>
  <si>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</si>
  <si>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</si>
  <si>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</si>
  <si>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</si>
  <si>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</si>
  <si>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</si>
  <si>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</si>
  <si>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</si>
  <si>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</si>
  <si>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</si>
  <si>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</si>
  <si>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</si>
  <si>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</si>
  <si>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</si>
  <si>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</si>
  <si>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</si>
  <si>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</si>
  <si>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</si>
  <si>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</si>
  <si>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</si>
  <si>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</si>
  <si>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</si>
  <si>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</si>
  <si>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</si>
  <si>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</si>
  <si>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</si>
  <si>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</si>
  <si>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</si>
  <si>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</si>
  <si>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</si>
  <si>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</si>
  <si>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</si>
  <si>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</si>
  <si>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</si>
  <si>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</si>
  <si>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</si>
  <si>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</si>
  <si>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</si>
  <si>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Career Preparation Network</t>
  </si>
  <si>
    <t>202 S Halsted St</t>
  </si>
  <si>
    <t>Chicago Heights</t>
  </si>
  <si>
    <t>X</t>
  </si>
  <si>
    <t>Janice Stoettner</t>
  </si>
  <si>
    <t>jstoettner@prairiestate.edu</t>
  </si>
  <si>
    <t>(708)709-7905</t>
  </si>
  <si>
    <t>(708)709-7904</t>
  </si>
  <si>
    <t>Dr. Robert Grossi</t>
  </si>
  <si>
    <t>(708)754-3677</t>
  </si>
  <si>
    <t>(708)754-0208</t>
  </si>
  <si>
    <t>Dr. Vanessa Kinder (ISC#4)</t>
  </si>
  <si>
    <t>vkinder@s-cook.org</t>
  </si>
  <si>
    <t>(708)754-6600</t>
  </si>
  <si>
    <t>(708)754-8687</t>
  </si>
  <si>
    <t>Bloom</t>
  </si>
  <si>
    <t>GW &amp; Associates, P.C.</t>
  </si>
  <si>
    <t>John Wysocki, CPA</t>
  </si>
  <si>
    <t>4415 W. Harrison St.</t>
  </si>
  <si>
    <t>Hillside</t>
  </si>
  <si>
    <t>IL</t>
  </si>
  <si>
    <t>(708)755-8182</t>
  </si>
  <si>
    <t>(708)755-8326</t>
  </si>
  <si>
    <t>065-025792</t>
  </si>
  <si>
    <t>john.wysocki@cpagwa.com</t>
  </si>
  <si>
    <t>ED-Support Services-Purchased Services</t>
  </si>
  <si>
    <t>10-2300-300</t>
  </si>
  <si>
    <t>Legacy Professionals LLP</t>
  </si>
  <si>
    <t>Canon Business Solutions, Inc.</t>
  </si>
  <si>
    <t>The Hanover Insurance Group</t>
  </si>
  <si>
    <t>Proven Business Systems</t>
  </si>
  <si>
    <t>N/A</t>
  </si>
  <si>
    <t>1 of 112 participants - Educational Benefit Cooperative</t>
  </si>
  <si>
    <t>1 of 20 participants - Bloom Township Trustees of Schools</t>
  </si>
  <si>
    <t>Statement of Revenues - Fund 10, Account 4799 - CTE - Perkins - Secondary - $4,000</t>
  </si>
  <si>
    <t>Office of Assistant Secretary for Vocational and Adult Education, U.S. Department of Education/Illinois State Board of Education</t>
  </si>
  <si>
    <t>Vocational Ed - Carl Perkins    FY 2019</t>
  </si>
  <si>
    <t>19-4745-00</t>
  </si>
  <si>
    <t xml:space="preserve">                                                                   FY 2018</t>
  </si>
  <si>
    <t>18-4745-00</t>
  </si>
  <si>
    <t>Total Office of Assistant Secretary for Vocational and Adult Education, U.S. Department of Education/Illinois State Board of Education</t>
  </si>
  <si>
    <t>Total Federal Assistance</t>
  </si>
  <si>
    <t>The accompanying Schedule of Expenditures of Federal Awards includes the federal grant activity of Career Preparation Network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</si>
  <si>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Career Preparation Network provided federal awards to subrecipients as follows:</t>
  </si>
  <si>
    <t>Carl Perkins/Crete-Monee School District 201-U</t>
  </si>
  <si>
    <t>Carl Perkins/Bloom Township High School District 206</t>
  </si>
  <si>
    <t>Carl Perkins/Rich Township District 227</t>
  </si>
  <si>
    <t>Carl Perkins/Homewood-Flossmoor High School District 233</t>
  </si>
  <si>
    <t>Total Paid to Subrecipients</t>
  </si>
  <si>
    <t>The following amounts were expended in the form of non-cash assistance by Career Preparation Network and should be included in the Schedule of Expenditures of Federal Awards:</t>
  </si>
  <si>
    <t>N/A - No single-audit was necessary</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</si>
  <si>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cash basis of accounting used by the organization would be a control deficiency that normally would be considered a significant deficiency or material weakness.</t>
  </si>
  <si>
    <t>While management personnel fully understand the entity's financial statements and related footnotes, they do not necessarily stay current with all new accounting pronouncements that could impact the entity's financial statement reporting.</t>
  </si>
  <si>
    <t>None</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</si>
  <si>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</si>
  <si>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responsibilty to remain current with all applicable accounting pronouncements.</t>
  </si>
  <si>
    <t>Management believes that it would not be cost beneficial for the entity to hire another employee or service provider to prepare the Joint Agreement’s financial statements or train current employees to be able to do so.  Management believes it is in the best interests of the Joint Agreement to continue to retain the auditing firm to prepare its financial statements in conjunction with the year end audit.  While the Joint Agreement does not prepare its financial statements, it continues to have a working relationship with the Bloom Township Treasurer’s Office.  This entity maintains the general ledger, processes cash disbursements, and is the custodian over cash for the Joint Agreement.  The organization handles similar functions for many other Joint Agreements and School Districts.  Based upon their extensive experience and expertise, the Treasurer’s Office presents the Joint Agreement’s financial records in a straightforward format that allows for the audit firm to assemble final reports without difficulty.</t>
  </si>
  <si>
    <t>2018-001</t>
  </si>
  <si>
    <t>The finding will be repeated.  Management continues to believe that it would not be cost beneficial for the entity to hire another employee or service provider to prepare the Joint Agreement’s financial statements or train current employees to be able to do so.  Management believes it is in the best interests of the Joint Agreement to continue to retain the auditing firm to prepare its financial statements in conjunction with the year end audit.  While the Joint Agreement does not prepare its financial statements, it continues to have a working relationship with the Bloom Township Treasurer’s Office.  This entity maintains the general ledger, processes cash disbursements, and is the custodian over cash for the Joint Agreement.  The organization handles similar functions for many other Joint Agreements and School Districts.  Based upon their extensive experience and expertise, the Treasurer’s Office presents the Joint Agreement’s financial records in a straightforward format that allows for the audit firm to assemble final reports without difficulty.</t>
  </si>
  <si>
    <t>See Opinion-Notes 35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</si>
</sst>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cellStyleXfs>
  <cellXfs count="24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 fontId="63" fillId="0" borderId="22" xfId="3" applyNumberFormat="1" applyFont="1" applyBorder="1" applyAlignment="1" applyProtection="1">
      <alignment horizontal="left" vertical="center" wrapText="1"/>
      <protection locked="0"/>
    </xf>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_SF&amp;QC Sec-2" xfId="20" xr:uid="{00000000-0005-0000-0000-000008000000}"/>
    <cellStyle name="Normal 3_SF&amp;QC Sec-2" xfId="19" xr:uid="{00000000-0005-0000-0000-000009000000}"/>
    <cellStyle name="Normal 4" xfId="16" xr:uid="{00000000-0005-0000-0000-00000A000000}"/>
    <cellStyle name="Normal 5" xfId="17"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123825</xdr:rowOff>
        </xdr:from>
        <xdr:to>
          <xdr:col>1</xdr:col>
          <xdr:colOff>923925</xdr:colOff>
          <xdr:row>5</xdr:row>
          <xdr:rowOff>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133350</xdr:rowOff>
        </xdr:from>
        <xdr:to>
          <xdr:col>1</xdr:col>
          <xdr:colOff>1914525</xdr:colOff>
          <xdr:row>5</xdr:row>
          <xdr:rowOff>9525</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0</xdr:row>
          <xdr:rowOff>142875</xdr:rowOff>
        </xdr:from>
        <xdr:to>
          <xdr:col>1</xdr:col>
          <xdr:colOff>2895600</xdr:colOff>
          <xdr:row>5</xdr:row>
          <xdr:rowOff>19050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2990850</xdr:colOff>
          <xdr:row>0</xdr:row>
          <xdr:rowOff>142875</xdr:rowOff>
        </xdr:from>
        <xdr:to>
          <xdr:col>1</xdr:col>
          <xdr:colOff>3895725</xdr:colOff>
          <xdr:row>5</xdr:row>
          <xdr:rowOff>9525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0</xdr:row>
          <xdr:rowOff>142875</xdr:rowOff>
        </xdr:from>
        <xdr:to>
          <xdr:col>3</xdr:col>
          <xdr:colOff>333375</xdr:colOff>
          <xdr:row>5</xdr:row>
          <xdr:rowOff>9525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1400-000005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9525</xdr:rowOff>
        </xdr:from>
        <xdr:to>
          <xdr:col>1</xdr:col>
          <xdr:colOff>923925</xdr:colOff>
          <xdr:row>10</xdr:row>
          <xdr:rowOff>47625</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1400-000006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21" t="s">
        <v>405</v>
      </c>
      <c r="J1" s="2022"/>
      <c r="K1" s="2022"/>
      <c r="L1" s="2022"/>
      <c r="M1" s="2022"/>
      <c r="N1" s="2022"/>
      <c r="O1" s="2022"/>
      <c r="P1" s="2022"/>
      <c r="Q1" s="2022"/>
      <c r="R1" s="2022"/>
      <c r="S1" s="2022"/>
    </row>
    <row r="2" spans="1:28" ht="12" customHeight="1" x14ac:dyDescent="0.2">
      <c r="A2" s="47" t="s">
        <v>1988</v>
      </c>
      <c r="D2" s="48"/>
      <c r="I2" s="2023" t="s">
        <v>979</v>
      </c>
      <c r="J2" s="2022"/>
      <c r="K2" s="2022"/>
      <c r="L2" s="2022"/>
      <c r="M2" s="2022"/>
      <c r="N2" s="2022"/>
      <c r="O2" s="2022"/>
      <c r="P2" s="2022"/>
      <c r="Q2" s="2022"/>
      <c r="R2" s="2022"/>
      <c r="S2" s="2022"/>
    </row>
    <row r="3" spans="1:28" ht="12" customHeight="1" x14ac:dyDescent="0.2">
      <c r="A3" s="155" t="s">
        <v>1940</v>
      </c>
      <c r="B3" s="156"/>
      <c r="C3" s="156"/>
      <c r="D3" s="157"/>
      <c r="I3" s="2023" t="s">
        <v>52</v>
      </c>
      <c r="J3" s="2022"/>
      <c r="K3" s="2022"/>
      <c r="L3" s="2022"/>
      <c r="M3" s="2022"/>
      <c r="N3" s="2022"/>
      <c r="O3" s="2022"/>
      <c r="P3" s="2022"/>
      <c r="Q3" s="2022"/>
      <c r="R3" s="2022"/>
      <c r="S3" s="2022"/>
    </row>
    <row r="4" spans="1:28" ht="12" customHeight="1" x14ac:dyDescent="0.2">
      <c r="A4" s="37"/>
      <c r="I4" s="2023" t="s">
        <v>524</v>
      </c>
      <c r="J4" s="2022"/>
      <c r="K4" s="2022"/>
      <c r="L4" s="2022"/>
      <c r="M4" s="2022"/>
      <c r="N4" s="2022"/>
      <c r="O4" s="2022"/>
      <c r="P4" s="2022"/>
      <c r="Q4" s="2022"/>
      <c r="R4" s="2022"/>
      <c r="S4" s="2022"/>
    </row>
    <row r="5" spans="1:28" ht="14.1" customHeight="1" x14ac:dyDescent="0.2">
      <c r="B5" s="104"/>
      <c r="C5" s="26" t="s">
        <v>910</v>
      </c>
      <c r="D5" s="84"/>
      <c r="E5" s="84"/>
      <c r="H5" s="38"/>
      <c r="I5" s="2030" t="s">
        <v>680</v>
      </c>
      <c r="J5" s="1975"/>
      <c r="K5" s="1975"/>
      <c r="L5" s="1975"/>
      <c r="M5" s="1975"/>
      <c r="N5" s="1975"/>
      <c r="O5" s="1975"/>
      <c r="P5" s="1975"/>
      <c r="Q5" s="1975"/>
      <c r="R5" s="1975"/>
      <c r="S5" s="1975"/>
    </row>
    <row r="6" spans="1:28" ht="14.1" customHeight="1" x14ac:dyDescent="0.2">
      <c r="B6" s="104" t="s">
        <v>2062</v>
      </c>
      <c r="C6" s="26" t="s">
        <v>911</v>
      </c>
      <c r="D6" s="84"/>
      <c r="E6" s="84"/>
      <c r="I6" s="2029" t="s">
        <v>883</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674</v>
      </c>
      <c r="J9" s="2027"/>
      <c r="K9" s="2027"/>
      <c r="L9" s="2027"/>
      <c r="M9" s="2027"/>
      <c r="N9" s="2027"/>
      <c r="O9" s="2027"/>
      <c r="P9" s="2027"/>
      <c r="Q9" s="2027"/>
      <c r="R9" s="2027"/>
      <c r="S9" s="2028"/>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t="s">
        <v>2067</v>
      </c>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1">
        <v>7016790045</v>
      </c>
      <c r="B13" s="1992"/>
      <c r="C13" s="1992"/>
      <c r="D13" s="1992"/>
      <c r="E13" s="1992"/>
      <c r="F13" s="1992"/>
      <c r="G13" s="1992"/>
      <c r="H13" s="1993"/>
      <c r="I13" s="31"/>
      <c r="J13" s="30"/>
      <c r="K13" s="28"/>
      <c r="L13" s="30"/>
      <c r="M13" s="30"/>
      <c r="N13" s="30"/>
      <c r="O13" s="30"/>
      <c r="P13" s="30"/>
      <c r="Q13" s="30"/>
      <c r="R13" s="30"/>
      <c r="S13" s="30"/>
      <c r="T13" s="1996" t="s">
        <v>2080</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2063</v>
      </c>
      <c r="B15" s="1994"/>
      <c r="C15" s="1994"/>
      <c r="D15" s="1994"/>
      <c r="E15" s="1994"/>
      <c r="F15" s="1994"/>
      <c r="G15" s="1994"/>
      <c r="H15" s="1995"/>
      <c r="T15" s="1957" t="s">
        <v>2081</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9" t="s">
        <v>2064</v>
      </c>
      <c r="B17" s="2019"/>
      <c r="C17" s="2019"/>
      <c r="D17" s="2019"/>
      <c r="E17" s="2019"/>
      <c r="F17" s="2019"/>
      <c r="G17" s="2019"/>
      <c r="H17" s="2020"/>
      <c r="T17" s="2006" t="s">
        <v>2082</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2065</v>
      </c>
      <c r="B19" s="1990"/>
      <c r="C19" s="1990"/>
      <c r="D19" s="1990"/>
      <c r="E19" s="1990"/>
      <c r="F19" s="1990"/>
      <c r="G19" s="1990"/>
      <c r="H19" s="1988"/>
      <c r="I19" s="30"/>
      <c r="J19" s="99"/>
      <c r="K19" s="40"/>
      <c r="L19" s="38"/>
      <c r="M19" s="112" t="s">
        <v>315</v>
      </c>
      <c r="P19" s="27"/>
      <c r="Q19" s="27"/>
      <c r="R19" s="27"/>
      <c r="S19" s="31"/>
      <c r="T19" s="1989" t="s">
        <v>2083</v>
      </c>
      <c r="U19" s="1987"/>
      <c r="V19" s="1987"/>
      <c r="W19" s="1988"/>
      <c r="X19" s="2004" t="s">
        <v>2084</v>
      </c>
      <c r="Y19" s="2005"/>
      <c r="Z19" s="2002">
        <v>60162</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2066</v>
      </c>
      <c r="B21" s="1987"/>
      <c r="C21" s="1987"/>
      <c r="D21" s="1987"/>
      <c r="E21" s="1987"/>
      <c r="F21" s="1987"/>
      <c r="G21" s="1987"/>
      <c r="H21" s="1988"/>
      <c r="I21" s="2012" t="s">
        <v>678</v>
      </c>
      <c r="J21" s="1975"/>
      <c r="K21" s="1975"/>
      <c r="L21" s="1975"/>
      <c r="M21" s="1975"/>
      <c r="N21" s="1975"/>
      <c r="O21" s="1975"/>
      <c r="P21" s="1975"/>
      <c r="Q21" s="1975"/>
      <c r="R21" s="1975"/>
      <c r="S21" s="1976"/>
      <c r="T21" s="1954" t="s">
        <v>2085</v>
      </c>
      <c r="U21" s="1955"/>
      <c r="V21" s="1955"/>
      <c r="W21" s="1955"/>
      <c r="X21" s="1968" t="s">
        <v>2086</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c r="B23" s="2010"/>
      <c r="C23" s="2010"/>
      <c r="D23" s="2010"/>
      <c r="E23" s="2010"/>
      <c r="F23" s="2010"/>
      <c r="G23" s="2010"/>
      <c r="H23" s="2011"/>
      <c r="T23" s="1949" t="s">
        <v>2087</v>
      </c>
      <c r="U23" s="1950"/>
      <c r="V23" s="1950"/>
      <c r="W23" s="1950"/>
      <c r="X23" s="1965">
        <v>44469</v>
      </c>
      <c r="Y23" s="1966"/>
      <c r="Z23" s="1966"/>
      <c r="AA23" s="1967"/>
    </row>
    <row r="24" spans="1:27" ht="14.1" customHeight="1" x14ac:dyDescent="0.2">
      <c r="A24" s="88" t="s">
        <v>677</v>
      </c>
      <c r="B24" s="49"/>
      <c r="C24" s="49"/>
      <c r="D24" s="49"/>
      <c r="E24" s="49"/>
      <c r="F24" s="49"/>
      <c r="G24" s="49"/>
      <c r="H24" s="61"/>
      <c r="J24" s="2051" t="str">
        <f>IF(B5="x",IF(AUDITCHECK!D29="AFR form Incomplete.","",IF(AUDITCHECK!D29="Deficit reduction plan is required.","School District must complete a deficit reduction plan in the 2019-2020 Budget",)),"")</f>
        <v/>
      </c>
      <c r="K24" s="2051"/>
      <c r="L24" s="2051"/>
      <c r="M24" s="2051"/>
      <c r="N24" s="2051"/>
      <c r="O24" s="2051"/>
      <c r="P24" s="2051"/>
      <c r="Q24" s="2051"/>
      <c r="R24" s="2051"/>
      <c r="S24" s="2052"/>
      <c r="T24" s="105" t="s">
        <v>531</v>
      </c>
      <c r="U24" s="106"/>
      <c r="V24" s="106"/>
      <c r="W24" s="106"/>
      <c r="X24" s="107"/>
      <c r="Y24" s="107"/>
      <c r="Z24" s="107"/>
      <c r="AA24" s="108"/>
    </row>
    <row r="25" spans="1:27" ht="14.1" customHeight="1" x14ac:dyDescent="0.2">
      <c r="A25" s="1986">
        <v>60411</v>
      </c>
      <c r="B25" s="1987"/>
      <c r="C25" s="1987"/>
      <c r="D25" s="1987"/>
      <c r="E25" s="1987"/>
      <c r="F25" s="1987"/>
      <c r="G25" s="1987"/>
      <c r="H25" s="1988"/>
      <c r="I25" s="113"/>
      <c r="J25" s="2053"/>
      <c r="K25" s="2053"/>
      <c r="L25" s="2053"/>
      <c r="M25" s="2053"/>
      <c r="N25" s="2053"/>
      <c r="O25" s="2053"/>
      <c r="P25" s="2053"/>
      <c r="Q25" s="2053"/>
      <c r="R25" s="2053"/>
      <c r="S25" s="2054"/>
      <c r="T25" s="1946" t="s">
        <v>2088</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2067</v>
      </c>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02"/>
      <c r="K30" s="28" t="s">
        <v>576</v>
      </c>
      <c r="L30" s="148" t="s">
        <v>2067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t="s">
        <v>2079</v>
      </c>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9" t="s">
        <v>2068</v>
      </c>
      <c r="B38" s="2019"/>
      <c r="C38" s="2019"/>
      <c r="D38" s="2019"/>
      <c r="E38" s="2019"/>
      <c r="F38" s="1987"/>
      <c r="G38" s="1987"/>
      <c r="H38" s="1988"/>
      <c r="I38" s="2038" t="s">
        <v>2072</v>
      </c>
      <c r="J38" s="1958"/>
      <c r="K38" s="1958"/>
      <c r="L38" s="1958"/>
      <c r="M38" s="1958"/>
      <c r="N38" s="1958"/>
      <c r="O38" s="1958"/>
      <c r="P38" s="1959"/>
      <c r="Q38" s="1959"/>
      <c r="R38" s="1959"/>
      <c r="S38" s="1960"/>
      <c r="T38" s="1957" t="s">
        <v>2075</v>
      </c>
      <c r="U38" s="1958"/>
      <c r="V38" s="1958"/>
      <c r="W38" s="1958"/>
      <c r="X38" s="1959"/>
      <c r="Y38" s="1959"/>
      <c r="Z38" s="1959"/>
      <c r="AA38" s="1960"/>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45" t="s">
        <v>2069</v>
      </c>
      <c r="B40" s="2046"/>
      <c r="C40" s="2047"/>
      <c r="D40" s="2047"/>
      <c r="E40" s="2047"/>
      <c r="F40" s="2048"/>
      <c r="G40" s="2048"/>
      <c r="H40" s="2049"/>
      <c r="I40" s="1961"/>
      <c r="J40" s="1963"/>
      <c r="K40" s="1963"/>
      <c r="L40" s="1963"/>
      <c r="M40" s="1963"/>
      <c r="N40" s="1963"/>
      <c r="O40" s="1963"/>
      <c r="P40" s="1963"/>
      <c r="Q40" s="1963"/>
      <c r="R40" s="1963"/>
      <c r="S40" s="1964"/>
      <c r="T40" s="1961" t="s">
        <v>2076</v>
      </c>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5" t="s">
        <v>2070</v>
      </c>
      <c r="B42" s="2036"/>
      <c r="C42" s="2037"/>
      <c r="D42" s="2050" t="s">
        <v>2071</v>
      </c>
      <c r="E42" s="2036"/>
      <c r="F42" s="2036"/>
      <c r="G42" s="2036"/>
      <c r="H42" s="2037"/>
      <c r="I42" s="1956" t="s">
        <v>2073</v>
      </c>
      <c r="J42" s="1952"/>
      <c r="K42" s="1952"/>
      <c r="L42" s="1952"/>
      <c r="M42" s="1952"/>
      <c r="N42" s="1952"/>
      <c r="O42" s="1953"/>
      <c r="P42" s="1951" t="s">
        <v>2074</v>
      </c>
      <c r="Q42" s="1952"/>
      <c r="R42" s="1952"/>
      <c r="S42" s="1953"/>
      <c r="T42" s="1956" t="s">
        <v>2077</v>
      </c>
      <c r="U42" s="1952"/>
      <c r="V42" s="1952"/>
      <c r="W42" s="1953"/>
      <c r="X42" s="1951" t="s">
        <v>2078</v>
      </c>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1799</v>
      </c>
      <c r="B2" s="1528" t="s">
        <v>1946</v>
      </c>
      <c r="C2" s="714" t="s">
        <v>1947</v>
      </c>
      <c r="D2" s="714" t="s">
        <v>1948</v>
      </c>
      <c r="E2" s="714" t="s">
        <v>1949</v>
      </c>
      <c r="F2" s="714" t="s">
        <v>1950</v>
      </c>
    </row>
    <row r="3" spans="1:6" ht="12" customHeight="1" x14ac:dyDescent="0.2">
      <c r="A3" s="2189"/>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67"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629</v>
      </c>
      <c r="B1" s="2195"/>
      <c r="C1" s="721"/>
    </row>
    <row r="2" spans="1:7" ht="33.75" x14ac:dyDescent="0.2">
      <c r="A2" s="2203" t="s">
        <v>1799</v>
      </c>
      <c r="B2" s="2204"/>
      <c r="C2" s="1884" t="s">
        <v>1951</v>
      </c>
      <c r="D2" s="723" t="s">
        <v>1952</v>
      </c>
      <c r="E2" s="723" t="s">
        <v>1953</v>
      </c>
      <c r="F2" s="1884" t="s">
        <v>1954</v>
      </c>
    </row>
    <row r="3" spans="1:7" ht="15.75" customHeight="1" x14ac:dyDescent="0.2">
      <c r="A3" s="2207" t="s">
        <v>1114</v>
      </c>
      <c r="B3" s="2208"/>
      <c r="C3" s="2196"/>
      <c r="D3" s="2197"/>
      <c r="E3" s="2197"/>
      <c r="F3" s="2198"/>
    </row>
    <row r="4" spans="1:7" ht="12.75" customHeight="1" thickBot="1" x14ac:dyDescent="0.25">
      <c r="A4" s="2205" t="s">
        <v>630</v>
      </c>
      <c r="B4" s="2206"/>
      <c r="C4" s="581"/>
      <c r="D4" s="581"/>
      <c r="E4" s="581"/>
      <c r="F4" s="1755">
        <f>SUM(C4+D4)-E4</f>
        <v>0</v>
      </c>
    </row>
    <row r="5" spans="1:7" ht="15.75" customHeight="1" thickTop="1" x14ac:dyDescent="0.2">
      <c r="A5" s="2190" t="s">
        <v>1110</v>
      </c>
      <c r="B5" s="2191"/>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2" t="s">
        <v>631</v>
      </c>
      <c r="B15" s="2193"/>
      <c r="C15" s="1755">
        <f>SUM(C6:C14)</f>
        <v>0</v>
      </c>
      <c r="D15" s="1755">
        <f>SUM(D6:D14)</f>
        <v>0</v>
      </c>
      <c r="E15" s="1755">
        <f>SUM(E6:E14)</f>
        <v>0</v>
      </c>
      <c r="F15" s="1755">
        <f>SUM(F6:F14)</f>
        <v>0</v>
      </c>
      <c r="G15" s="552"/>
    </row>
    <row r="16" spans="1:7" s="202" customFormat="1" ht="15.75" customHeight="1" thickTop="1" x14ac:dyDescent="0.2">
      <c r="A16" s="2202" t="s">
        <v>1111</v>
      </c>
      <c r="B16" s="2191"/>
      <c r="C16" s="2199"/>
      <c r="D16" s="2200"/>
      <c r="E16" s="2200"/>
      <c r="F16" s="2201"/>
    </row>
    <row r="17" spans="1:11" ht="12.75" customHeight="1" thickBot="1" x14ac:dyDescent="0.25">
      <c r="A17" s="2215" t="s">
        <v>64</v>
      </c>
      <c r="B17" s="2216"/>
      <c r="C17" s="726"/>
      <c r="D17" s="585"/>
      <c r="E17" s="726"/>
      <c r="F17" s="1755">
        <f>SUM(C17+D17)-E17</f>
        <v>0</v>
      </c>
    </row>
    <row r="18" spans="1:11" ht="12.75" customHeight="1" thickTop="1" thickBot="1" x14ac:dyDescent="0.25">
      <c r="A18" s="2215" t="s">
        <v>6</v>
      </c>
      <c r="B18" s="2216"/>
      <c r="C18" s="726"/>
      <c r="D18" s="585"/>
      <c r="E18" s="726"/>
      <c r="F18" s="1755">
        <f>SUM(C18+D18)-E18</f>
        <v>0</v>
      </c>
    </row>
    <row r="19" spans="1:11" ht="12.75" customHeight="1" thickTop="1" thickBot="1" x14ac:dyDescent="0.25">
      <c r="A19" s="2215" t="s">
        <v>388</v>
      </c>
      <c r="B19" s="2216"/>
      <c r="C19" s="726"/>
      <c r="D19" s="585"/>
      <c r="E19" s="726"/>
      <c r="F19" s="1755">
        <f>SUM(C19+D19)-E19</f>
        <v>0</v>
      </c>
    </row>
    <row r="20" spans="1:11" ht="12.75" customHeight="1" thickTop="1" thickBot="1" x14ac:dyDescent="0.25">
      <c r="A20" s="2215" t="s">
        <v>448</v>
      </c>
      <c r="B20" s="2216"/>
      <c r="C20" s="726"/>
      <c r="D20" s="585"/>
      <c r="E20" s="726"/>
      <c r="F20" s="1755">
        <f>SUM(C20+D20)-E20</f>
        <v>0</v>
      </c>
    </row>
    <row r="21" spans="1:11" ht="14.25" thickTop="1" thickBot="1" x14ac:dyDescent="0.25">
      <c r="A21" s="2192" t="s">
        <v>632</v>
      </c>
      <c r="B21" s="2193"/>
      <c r="C21" s="1755">
        <f>SUM(C17:C20)</f>
        <v>0</v>
      </c>
      <c r="D21" s="1755">
        <f>SUM(D17:D20)</f>
        <v>0</v>
      </c>
      <c r="E21" s="1755">
        <f>SUM(E17:E20)</f>
        <v>0</v>
      </c>
      <c r="F21" s="1755">
        <f>SUM(F17:F20)</f>
        <v>0</v>
      </c>
      <c r="G21" s="552"/>
    </row>
    <row r="22" spans="1:11" ht="15.75" customHeight="1" thickTop="1" x14ac:dyDescent="0.2">
      <c r="A22" s="2217" t="s">
        <v>1112</v>
      </c>
      <c r="B22" s="2191"/>
      <c r="C22" s="2199"/>
      <c r="D22" s="2200"/>
      <c r="E22" s="2200"/>
      <c r="F22" s="2201"/>
    </row>
    <row r="23" spans="1:11" ht="13.5" thickBot="1" x14ac:dyDescent="0.25">
      <c r="A23" s="2205" t="s">
        <v>633</v>
      </c>
      <c r="B23" s="2206"/>
      <c r="C23" s="581"/>
      <c r="D23" s="581"/>
      <c r="E23" s="581"/>
      <c r="F23" s="1755">
        <f>SUM(C23+D23)-E23</f>
        <v>0</v>
      </c>
      <c r="G23" s="552"/>
    </row>
    <row r="24" spans="1:11" ht="15.75" customHeight="1" thickTop="1" x14ac:dyDescent="0.2">
      <c r="A24" s="2217" t="s">
        <v>1113</v>
      </c>
      <c r="B24" s="2191"/>
      <c r="C24" s="2199"/>
      <c r="D24" s="2200"/>
      <c r="E24" s="2200"/>
      <c r="F24" s="2201"/>
    </row>
    <row r="25" spans="1:11" ht="13.5" thickBot="1" x14ac:dyDescent="0.25">
      <c r="A25" s="2205" t="s">
        <v>634</v>
      </c>
      <c r="B25" s="2206"/>
      <c r="C25" s="581"/>
      <c r="D25" s="581"/>
      <c r="E25" s="581"/>
      <c r="F25" s="1755">
        <f>SUM(C25+D25)-E25</f>
        <v>0</v>
      </c>
      <c r="G25" s="552"/>
    </row>
    <row r="26" spans="1:11" ht="15.75" customHeight="1" thickTop="1" x14ac:dyDescent="0.2">
      <c r="A26" s="2190" t="s">
        <v>657</v>
      </c>
      <c r="B26" s="2191"/>
      <c r="C26" s="727"/>
      <c r="D26" s="727"/>
      <c r="E26" s="727"/>
      <c r="F26" s="728"/>
    </row>
    <row r="27" spans="1:11" ht="13.5" thickBot="1" x14ac:dyDescent="0.25">
      <c r="A27" s="2192" t="s">
        <v>1070</v>
      </c>
      <c r="B27" s="2193"/>
      <c r="C27" s="585"/>
      <c r="D27" s="585"/>
      <c r="E27" s="585"/>
      <c r="F27" s="1755">
        <f>SUM(C27+D27)-E27</f>
        <v>0</v>
      </c>
      <c r="G27" s="552"/>
    </row>
    <row r="28" spans="1:11" ht="7.5" customHeight="1" thickTop="1" x14ac:dyDescent="0.2">
      <c r="A28" s="593"/>
    </row>
    <row r="29" spans="1:11" ht="23.25" customHeight="1" x14ac:dyDescent="0.2">
      <c r="A29" s="2218" t="s">
        <v>582</v>
      </c>
      <c r="B29" s="2195"/>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9" t="s">
        <v>584</v>
      </c>
      <c r="C52" s="2210"/>
      <c r="D52" s="2210"/>
      <c r="E52" s="749" t="s">
        <v>845</v>
      </c>
      <c r="F52" s="2211"/>
      <c r="G52" s="2212"/>
      <c r="H52" s="736"/>
      <c r="I52" s="736"/>
      <c r="J52" s="746"/>
    </row>
    <row r="53" spans="1:11" ht="11.25" customHeight="1" x14ac:dyDescent="0.2">
      <c r="A53" s="750" t="s">
        <v>913</v>
      </c>
      <c r="B53" s="751" t="s">
        <v>951</v>
      </c>
      <c r="C53" s="746"/>
      <c r="D53" s="737"/>
      <c r="E53" s="749" t="s">
        <v>497</v>
      </c>
      <c r="F53" s="2213"/>
      <c r="G53" s="2214"/>
      <c r="H53" s="736"/>
      <c r="I53" s="736"/>
      <c r="J53" s="746"/>
    </row>
    <row r="54" spans="1:11" ht="11.25" customHeight="1" x14ac:dyDescent="0.2">
      <c r="A54" s="752" t="s">
        <v>914</v>
      </c>
      <c r="B54" s="747" t="s">
        <v>952</v>
      </c>
      <c r="C54" s="746"/>
      <c r="D54" s="737"/>
      <c r="E54" s="749" t="s">
        <v>498</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856</v>
      </c>
      <c r="B1" s="2244"/>
      <c r="C1" s="2244"/>
      <c r="D1" s="2244"/>
      <c r="E1" s="2244"/>
      <c r="F1" s="2244"/>
      <c r="G1" s="2245"/>
      <c r="H1" s="1530"/>
      <c r="I1" s="760"/>
      <c r="J1" s="433"/>
    </row>
    <row r="2" spans="1:11" ht="26.25" x14ac:dyDescent="0.2">
      <c r="A2" s="2222" t="s">
        <v>1677</v>
      </c>
      <c r="B2" s="2223"/>
      <c r="C2" s="2223"/>
      <c r="D2" s="2223"/>
      <c r="E2" s="2224"/>
      <c r="F2" s="761" t="s">
        <v>904</v>
      </c>
      <c r="G2" s="762" t="s">
        <v>1674</v>
      </c>
      <c r="H2" s="762" t="s">
        <v>410</v>
      </c>
      <c r="I2" s="762" t="s">
        <v>1158</v>
      </c>
      <c r="J2" s="762" t="s">
        <v>1809</v>
      </c>
      <c r="K2" s="762" t="s">
        <v>138</v>
      </c>
    </row>
    <row r="3" spans="1:11" x14ac:dyDescent="0.2">
      <c r="A3" s="2225" t="s">
        <v>1959</v>
      </c>
      <c r="B3" s="2226"/>
      <c r="C3" s="2226"/>
      <c r="D3" s="2226"/>
      <c r="E3" s="2227"/>
      <c r="F3" s="763"/>
      <c r="G3" s="764"/>
      <c r="H3" s="764"/>
      <c r="I3" s="764"/>
      <c r="J3" s="765"/>
      <c r="K3" s="765"/>
    </row>
    <row r="4" spans="1:11" x14ac:dyDescent="0.2">
      <c r="A4" s="2228" t="s">
        <v>369</v>
      </c>
      <c r="B4" s="2229"/>
      <c r="C4" s="2229"/>
      <c r="D4" s="2229"/>
      <c r="E4" s="2210"/>
      <c r="F4" s="766"/>
      <c r="G4" s="767"/>
      <c r="H4" s="768"/>
      <c r="I4" s="767"/>
      <c r="J4" s="769"/>
      <c r="K4" s="769"/>
    </row>
    <row r="5" spans="1:11" x14ac:dyDescent="0.2">
      <c r="A5" s="2246" t="s">
        <v>1069</v>
      </c>
      <c r="B5" s="2219"/>
      <c r="C5" s="2219"/>
      <c r="D5" s="2219"/>
      <c r="E5" s="224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6" t="s">
        <v>1810</v>
      </c>
      <c r="B10" s="2219"/>
      <c r="C10" s="2219"/>
      <c r="D10" s="2219"/>
      <c r="E10" s="2248"/>
      <c r="F10" s="783" t="s">
        <v>862</v>
      </c>
      <c r="G10" s="782"/>
      <c r="H10" s="784"/>
      <c r="I10" s="764"/>
      <c r="J10" s="765"/>
      <c r="K10" s="765"/>
    </row>
    <row r="11" spans="1:11" x14ac:dyDescent="0.2">
      <c r="A11" s="2246" t="s">
        <v>160</v>
      </c>
      <c r="B11" s="2219"/>
      <c r="C11" s="2219"/>
      <c r="D11" s="2219"/>
      <c r="E11" s="2247"/>
      <c r="F11" s="770" t="s">
        <v>852</v>
      </c>
      <c r="G11" s="771"/>
      <c r="H11" s="764"/>
      <c r="I11" s="764"/>
      <c r="J11" s="765"/>
      <c r="K11" s="773"/>
    </row>
    <row r="12" spans="1:11" ht="13.5" thickBot="1" x14ac:dyDescent="0.25">
      <c r="A12" s="2236" t="s">
        <v>905</v>
      </c>
      <c r="B12" s="2237"/>
      <c r="C12" s="2237"/>
      <c r="D12" s="2237"/>
      <c r="E12" s="2238"/>
      <c r="F12" s="1757"/>
      <c r="G12" s="1758">
        <f>SUM(G5:G11)</f>
        <v>0</v>
      </c>
      <c r="H12" s="1758">
        <f>SUM(H5:H11)</f>
        <v>0</v>
      </c>
      <c r="I12" s="1758">
        <f>SUM(I5:I11)</f>
        <v>0</v>
      </c>
      <c r="J12" s="1758">
        <f>SUM(J5:J11)</f>
        <v>0</v>
      </c>
      <c r="K12" s="1758">
        <f>SUM(K5:K11)</f>
        <v>0</v>
      </c>
    </row>
    <row r="13" spans="1:11" ht="13.5" thickTop="1" x14ac:dyDescent="0.2">
      <c r="A13" s="2230" t="s">
        <v>370</v>
      </c>
      <c r="B13" s="2231"/>
      <c r="C13" s="2231"/>
      <c r="D13" s="2231"/>
      <c r="E13" s="2232"/>
      <c r="F13" s="785"/>
      <c r="G13" s="786"/>
      <c r="H13" s="787"/>
      <c r="I13" s="788"/>
      <c r="J13" s="788"/>
      <c r="K13" s="788"/>
    </row>
    <row r="14" spans="1:11" x14ac:dyDescent="0.2">
      <c r="A14" s="2252" t="s">
        <v>456</v>
      </c>
      <c r="B14" s="2252"/>
      <c r="C14" s="2252"/>
      <c r="D14" s="2252"/>
      <c r="E14" s="2253"/>
      <c r="F14" s="789" t="s">
        <v>854</v>
      </c>
      <c r="G14" s="782"/>
      <c r="H14" s="764"/>
      <c r="I14" s="771"/>
      <c r="J14" s="773"/>
      <c r="K14" s="765"/>
    </row>
    <row r="15" spans="1:11" x14ac:dyDescent="0.2">
      <c r="A15" s="2219" t="s">
        <v>4</v>
      </c>
      <c r="B15" s="2219"/>
      <c r="C15" s="2219"/>
      <c r="D15" s="2219"/>
      <c r="E15" s="2247"/>
      <c r="F15" s="789" t="s">
        <v>855</v>
      </c>
      <c r="G15" s="771"/>
      <c r="H15" s="764"/>
      <c r="I15" s="764"/>
      <c r="J15" s="765"/>
      <c r="K15" s="765"/>
    </row>
    <row r="16" spans="1:11" x14ac:dyDescent="0.2">
      <c r="A16" s="2219" t="s">
        <v>298</v>
      </c>
      <c r="B16" s="2219"/>
      <c r="C16" s="2219"/>
      <c r="D16" s="2219"/>
      <c r="E16" s="2247"/>
      <c r="F16" s="789" t="s">
        <v>923</v>
      </c>
      <c r="G16" s="772"/>
      <c r="H16" s="767"/>
      <c r="I16" s="767"/>
      <c r="J16" s="769"/>
      <c r="K16" s="769"/>
    </row>
    <row r="17" spans="1:11" x14ac:dyDescent="0.2">
      <c r="A17" s="2241" t="s">
        <v>935</v>
      </c>
      <c r="B17" s="2241"/>
      <c r="C17" s="2241"/>
      <c r="D17" s="2241"/>
      <c r="E17" s="2242"/>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54" t="s">
        <v>1806</v>
      </c>
      <c r="B19" s="2254"/>
      <c r="C19" s="2254"/>
      <c r="D19" s="2254"/>
      <c r="E19" s="2255"/>
      <c r="F19" s="789" t="s">
        <v>933</v>
      </c>
      <c r="G19" s="782"/>
      <c r="H19" s="782"/>
      <c r="I19" s="782"/>
      <c r="J19" s="765"/>
      <c r="K19" s="795"/>
    </row>
    <row r="20" spans="1:11" x14ac:dyDescent="0.2">
      <c r="A20" s="2233" t="s">
        <v>1811</v>
      </c>
      <c r="B20" s="2234"/>
      <c r="C20" s="2234"/>
      <c r="D20" s="2234"/>
      <c r="E20" s="2235"/>
      <c r="F20" s="789" t="s">
        <v>934</v>
      </c>
      <c r="G20" s="782"/>
      <c r="H20" s="782"/>
      <c r="I20" s="782"/>
      <c r="J20" s="765"/>
      <c r="K20" s="795"/>
    </row>
    <row r="21" spans="1:11" ht="13.5" thickBot="1" x14ac:dyDescent="0.25">
      <c r="A21" s="2239" t="s">
        <v>638</v>
      </c>
      <c r="B21" s="2239"/>
      <c r="C21" s="2239"/>
      <c r="D21" s="2239"/>
      <c r="E21" s="2239"/>
      <c r="F21" s="1759"/>
      <c r="G21" s="792"/>
      <c r="H21" s="796"/>
      <c r="I21" s="796"/>
      <c r="J21" s="1760">
        <f>SUM(J18:J20)</f>
        <v>0</v>
      </c>
      <c r="K21" s="793"/>
    </row>
    <row r="22" spans="1:11" ht="13.5" thickTop="1" x14ac:dyDescent="0.2">
      <c r="A22" s="2219" t="s">
        <v>1812</v>
      </c>
      <c r="B22" s="2219"/>
      <c r="C22" s="2219"/>
      <c r="D22" s="2219"/>
      <c r="E22" s="2247"/>
      <c r="F22" s="789" t="s">
        <v>862</v>
      </c>
      <c r="G22" s="782"/>
      <c r="H22" s="764"/>
      <c r="I22" s="764"/>
      <c r="J22" s="797"/>
      <c r="K22" s="765"/>
    </row>
    <row r="23" spans="1:11" ht="13.5" thickBot="1" x14ac:dyDescent="0.25">
      <c r="A23" s="2240" t="s">
        <v>906</v>
      </c>
      <c r="B23" s="2239"/>
      <c r="C23" s="2239"/>
      <c r="D23" s="2239"/>
      <c r="E23" s="2239"/>
      <c r="F23" s="1761"/>
      <c r="G23" s="1758">
        <f>SUM(G14:G16,G21,G22)</f>
        <v>0</v>
      </c>
      <c r="H23" s="1758">
        <f>SUM(H14:H16,H21,H22)</f>
        <v>0</v>
      </c>
      <c r="I23" s="1758">
        <f>SUM(I14:I16,I21,I22)</f>
        <v>0</v>
      </c>
      <c r="J23" s="1758">
        <f>SUM(J14:J16,J21,J22)</f>
        <v>0</v>
      </c>
      <c r="K23" s="1758">
        <f>SUM(K14:K16,K21,K22)</f>
        <v>0</v>
      </c>
    </row>
    <row r="24" spans="1:11" ht="14.25" thickTop="1" thickBot="1" x14ac:dyDescent="0.25">
      <c r="A24" s="2240" t="s">
        <v>1960</v>
      </c>
      <c r="B24" s="2239"/>
      <c r="C24" s="2239"/>
      <c r="D24" s="2239"/>
      <c r="E24" s="223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9"/>
      <c r="I31" s="2250"/>
      <c r="J31" s="2250"/>
      <c r="K31" s="2250"/>
    </row>
    <row r="32" spans="1:11" x14ac:dyDescent="0.2">
      <c r="A32" s="809"/>
      <c r="B32" s="237"/>
      <c r="C32" s="237"/>
      <c r="D32" s="237"/>
      <c r="E32" s="805"/>
      <c r="F32" s="811" t="s">
        <v>540</v>
      </c>
      <c r="G32" s="764"/>
      <c r="H32" s="2251"/>
      <c r="I32" s="2250"/>
      <c r="J32" s="2250"/>
      <c r="K32" s="2250"/>
    </row>
    <row r="33" spans="1:11" ht="1.5" customHeight="1" x14ac:dyDescent="0.2">
      <c r="A33" s="812" t="s">
        <v>1169</v>
      </c>
      <c r="B33" s="364"/>
      <c r="C33" s="364"/>
      <c r="D33" s="364"/>
      <c r="E33" s="364"/>
      <c r="F33" s="364"/>
      <c r="G33" s="813"/>
      <c r="H33" s="2251"/>
      <c r="I33" s="2250"/>
      <c r="J33" s="2250"/>
      <c r="K33" s="2250"/>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20"/>
      <c r="C41" s="2220"/>
      <c r="D41" s="2220"/>
      <c r="E41" s="2220"/>
      <c r="F41" s="222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4" colorId="8" zoomScale="110" zoomScaleNormal="110" workbookViewId="0">
      <selection activeCell="H13" sqref="H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1905</v>
      </c>
      <c r="B1" s="2259"/>
      <c r="C1" s="2260"/>
      <c r="D1" s="826"/>
      <c r="E1" s="827"/>
      <c r="F1" s="827"/>
      <c r="G1" s="828"/>
      <c r="H1" s="829"/>
      <c r="I1" s="830"/>
      <c r="J1" s="2256"/>
      <c r="K1" s="2257"/>
      <c r="L1" s="2257"/>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2396</v>
      </c>
      <c r="D12" s="844"/>
      <c r="E12" s="844"/>
      <c r="F12" s="1760">
        <f>(C12+D12)-E12</f>
        <v>2396</v>
      </c>
      <c r="G12" s="843">
        <v>10</v>
      </c>
      <c r="H12" s="765">
        <v>2396</v>
      </c>
      <c r="I12" s="765"/>
      <c r="J12" s="765"/>
      <c r="K12" s="1769">
        <f>(H12+I12)-J12</f>
        <v>2396</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2396</v>
      </c>
      <c r="D16" s="1760">
        <f>SUM(D3,D5:D6,D8:D10,D12:D15)</f>
        <v>0</v>
      </c>
      <c r="E16" s="1760">
        <f>SUM(E3,E5:E6,E8:E10,E12:E15)</f>
        <v>0</v>
      </c>
      <c r="F16" s="1760">
        <f>SUM(F3,F5:F6,F8:F10,F12:F15)</f>
        <v>2396</v>
      </c>
      <c r="G16" s="843"/>
      <c r="H16" s="1760">
        <f>SUM(H3,H6,H8:H10,H12:H14,)</f>
        <v>2396</v>
      </c>
      <c r="I16" s="1760">
        <f>SUM(I3,I6,I8:I10,I12:I14,)</f>
        <v>0</v>
      </c>
      <c r="J16" s="1760">
        <f>SUM(J3,J6,J8:J10,J12:J14,)</f>
        <v>0</v>
      </c>
      <c r="K16" s="1760">
        <f>(H16+I16)-J16</f>
        <v>2396</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51"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1970</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1192024</v>
      </c>
      <c r="G8" s="865"/>
    </row>
    <row r="9" spans="1:7" x14ac:dyDescent="0.2">
      <c r="A9" s="869" t="s">
        <v>460</v>
      </c>
      <c r="B9" s="870" t="s">
        <v>1873</v>
      </c>
      <c r="C9" s="871"/>
      <c r="D9" s="869" t="s">
        <v>501</v>
      </c>
      <c r="E9" s="868"/>
      <c r="F9" s="1909">
        <f>'Expenditures 15-22'!K151</f>
        <v>0</v>
      </c>
      <c r="G9" s="872"/>
    </row>
    <row r="10" spans="1:7" x14ac:dyDescent="0.2">
      <c r="A10" s="869" t="s">
        <v>499</v>
      </c>
      <c r="B10" s="870" t="s">
        <v>1874</v>
      </c>
      <c r="C10" s="871"/>
      <c r="D10" s="869" t="s">
        <v>501</v>
      </c>
      <c r="E10" s="868"/>
      <c r="F10" s="1909">
        <f>'Expenditures 15-22'!K174</f>
        <v>0</v>
      </c>
      <c r="G10" s="872"/>
    </row>
    <row r="11" spans="1:7" x14ac:dyDescent="0.2">
      <c r="A11" s="869" t="s">
        <v>461</v>
      </c>
      <c r="B11" s="870" t="s">
        <v>1875</v>
      </c>
      <c r="C11" s="871"/>
      <c r="D11" s="869" t="s">
        <v>501</v>
      </c>
      <c r="E11" s="868"/>
      <c r="F11" s="1909">
        <f>'Expenditures 15-22'!K210</f>
        <v>0</v>
      </c>
      <c r="G11" s="872"/>
    </row>
    <row r="12" spans="1:7" x14ac:dyDescent="0.2">
      <c r="A12" s="869" t="s">
        <v>462</v>
      </c>
      <c r="B12" s="870" t="s">
        <v>1876</v>
      </c>
      <c r="C12" s="871"/>
      <c r="D12" s="869" t="s">
        <v>501</v>
      </c>
      <c r="E12" s="868"/>
      <c r="F12" s="1909">
        <f>'Expenditures 15-22'!K295</f>
        <v>0</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1192024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1025249</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1025249</v>
      </c>
      <c r="G76" s="865"/>
    </row>
    <row r="77" spans="1:8" s="893" customFormat="1" ht="12" customHeight="1" thickTop="1" thickBot="1" x14ac:dyDescent="0.25">
      <c r="A77" s="1779"/>
      <c r="B77" s="1776"/>
      <c r="C77" s="1772"/>
      <c r="D77" s="1777" t="s">
        <v>1896</v>
      </c>
      <c r="E77" s="1774"/>
      <c r="F77" s="1780">
        <f>(F14-F76)</f>
        <v>166775</v>
      </c>
      <c r="G77" s="869"/>
    </row>
    <row r="78" spans="1:8" s="893" customFormat="1" ht="12" customHeight="1" thickTop="1" x14ac:dyDescent="0.2">
      <c r="A78" s="1781"/>
      <c r="B78" s="1776"/>
      <c r="C78" s="1772"/>
      <c r="D78" s="1777" t="s">
        <v>2057</v>
      </c>
      <c r="E78" s="1774"/>
      <c r="F78" s="898">
        <v>0</v>
      </c>
      <c r="G78" s="899"/>
      <c r="H78" s="869"/>
    </row>
    <row r="79" spans="1:8" s="893" customFormat="1" ht="12" customHeight="1" thickBot="1" x14ac:dyDescent="0.25">
      <c r="A79" s="1782"/>
      <c r="B79" s="1776"/>
      <c r="C79" s="1772"/>
      <c r="D79" s="1777" t="s">
        <v>1897</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1998</v>
      </c>
      <c r="C105" s="913">
        <v>3100</v>
      </c>
      <c r="D105" s="919" t="str">
        <f>'Revenues 9-14'!A132</f>
        <v>Total Special Education</v>
      </c>
      <c r="E105" s="906"/>
      <c r="F105" s="1789">
        <f>SUM('Revenues 9-14'!C132:D132,'Revenues 9-14'!F132)</f>
        <v>0</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79480</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0</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0</v>
      </c>
      <c r="G125" s="930"/>
    </row>
    <row r="126" spans="1:7" x14ac:dyDescent="0.2">
      <c r="A126" s="927" t="s">
        <v>668</v>
      </c>
      <c r="B126" s="927" t="s">
        <v>2019</v>
      </c>
      <c r="C126" s="932">
        <v>4300</v>
      </c>
      <c r="D126" s="933" t="str">
        <f>'Revenues 9-14'!A204</f>
        <v>Total Title I</v>
      </c>
      <c r="E126" s="906"/>
      <c r="F126" s="1789">
        <f>SUM('Revenues 9-14'!C204,'Revenues 9-14'!D204,'Revenues 9-14'!F204,'Revenues 9-14'!G204)</f>
        <v>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4000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83480</v>
      </c>
    </row>
    <row r="175" spans="1:7" ht="12" customHeight="1" x14ac:dyDescent="0.2">
      <c r="A175" s="1770"/>
      <c r="B175" s="1784"/>
      <c r="C175" s="1785"/>
      <c r="D175" s="1786" t="s">
        <v>2052</v>
      </c>
      <c r="E175" s="1787"/>
      <c r="F175" s="1789">
        <f>'PCTC-OEPP 27-28'!F77-F174</f>
        <v>83295</v>
      </c>
    </row>
    <row r="176" spans="1:7" ht="12" customHeight="1" x14ac:dyDescent="0.2">
      <c r="A176" s="1770"/>
      <c r="B176" s="1784"/>
      <c r="C176" s="1785"/>
      <c r="D176" s="1786" t="s">
        <v>1814</v>
      </c>
      <c r="E176" s="1787"/>
      <c r="F176" s="1789">
        <f>'Cap Outlay Deprec 26'!I18</f>
        <v>0</v>
      </c>
    </row>
    <row r="177" spans="1:7" ht="12" customHeight="1" x14ac:dyDescent="0.2">
      <c r="A177" s="1770"/>
      <c r="B177" s="1784"/>
      <c r="C177" s="1785"/>
      <c r="D177" s="1786" t="s">
        <v>2053</v>
      </c>
      <c r="E177" s="1787"/>
      <c r="F177" s="1789">
        <f>F175+F176</f>
        <v>83295</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2054</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zoomScaleNormal="100" workbookViewId="0">
      <selection activeCell="A22" sqref="A2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1815</v>
      </c>
      <c r="B4" s="2276"/>
      <c r="C4" s="2276"/>
      <c r="D4" s="2276"/>
      <c r="E4" s="2276"/>
      <c r="F4" s="2276"/>
      <c r="G4" s="2277"/>
    </row>
    <row r="5" spans="1:7" x14ac:dyDescent="0.25">
      <c r="A5" s="2278"/>
      <c r="B5" s="2279"/>
      <c r="C5" s="2279"/>
      <c r="D5" s="2279"/>
      <c r="E5" s="2279"/>
      <c r="F5" s="2279"/>
      <c r="G5" s="2280"/>
    </row>
    <row r="6" spans="1:7" ht="18.75" x14ac:dyDescent="0.25">
      <c r="A6" s="1937" t="s">
        <v>2061</v>
      </c>
      <c r="B6" s="1938"/>
      <c r="C6" s="1938"/>
      <c r="D6" s="1938"/>
      <c r="E6" s="1938"/>
      <c r="F6" s="1938"/>
      <c r="G6" s="1939"/>
    </row>
    <row r="7" spans="1:7" ht="18.75" x14ac:dyDescent="0.25">
      <c r="A7" s="1534" t="s">
        <v>1816</v>
      </c>
      <c r="B7" s="1535"/>
      <c r="C7" s="1535"/>
      <c r="D7" s="1535"/>
      <c r="E7" s="1535"/>
      <c r="F7" s="1535"/>
      <c r="G7" s="1536"/>
    </row>
    <row r="8" spans="1:7" ht="30.75" customHeight="1" x14ac:dyDescent="0.25">
      <c r="A8" s="2281" t="s">
        <v>1928</v>
      </c>
      <c r="B8" s="2282"/>
      <c r="C8" s="2282"/>
      <c r="D8" s="2282"/>
      <c r="E8" s="2282"/>
      <c r="F8" s="2282"/>
      <c r="G8" s="2283"/>
    </row>
    <row r="9" spans="1:7" ht="15.75" customHeight="1" x14ac:dyDescent="0.25">
      <c r="A9" s="2284" t="s">
        <v>1903</v>
      </c>
      <c r="B9" s="2285"/>
      <c r="C9" s="2285"/>
      <c r="D9" s="2285"/>
      <c r="E9" s="2285"/>
      <c r="F9" s="2285"/>
      <c r="G9" s="2286"/>
    </row>
    <row r="10" spans="1:7" ht="35.25" customHeight="1" x14ac:dyDescent="0.25">
      <c r="A10" s="2281" t="s">
        <v>2060</v>
      </c>
      <c r="B10" s="2282"/>
      <c r="C10" s="2282"/>
      <c r="D10" s="2282"/>
      <c r="E10" s="2282"/>
      <c r="F10" s="2282"/>
      <c r="G10" s="2283"/>
    </row>
    <row r="11" spans="1:7" ht="15" customHeight="1" x14ac:dyDescent="0.25">
      <c r="A11" s="1537" t="s">
        <v>1817</v>
      </c>
      <c r="B11" s="1538"/>
      <c r="C11" s="1538"/>
      <c r="D11" s="1538"/>
      <c r="E11" s="1538"/>
      <c r="F11" s="1538"/>
      <c r="G11" s="1539"/>
    </row>
    <row r="12" spans="1:7" ht="17.25" customHeight="1" x14ac:dyDescent="0.25">
      <c r="A12" s="2281" t="s">
        <v>1930</v>
      </c>
      <c r="B12" s="2282"/>
      <c r="C12" s="2282"/>
      <c r="D12" s="2282"/>
      <c r="E12" s="2282"/>
      <c r="F12" s="2282"/>
      <c r="G12" s="2283"/>
    </row>
    <row r="13" spans="1:7" ht="15" customHeight="1" x14ac:dyDescent="0.25">
      <c r="A13" s="1537" t="s">
        <v>1822</v>
      </c>
      <c r="B13" s="1538"/>
      <c r="C13" s="1538"/>
      <c r="D13" s="1538"/>
      <c r="E13" s="1538"/>
      <c r="F13" s="1538"/>
      <c r="G13" s="1539"/>
    </row>
    <row r="14" spans="1:7" ht="32.25" customHeight="1" x14ac:dyDescent="0.25">
      <c r="A14" s="2272" t="s">
        <v>1971</v>
      </c>
      <c r="B14" s="2273"/>
      <c r="C14" s="2273"/>
      <c r="D14" s="2273"/>
      <c r="E14" s="2273"/>
      <c r="F14" s="2273"/>
      <c r="G14" s="2274"/>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2089</v>
      </c>
      <c r="B18" s="1941" t="s">
        <v>2090</v>
      </c>
      <c r="C18" s="1942" t="s">
        <v>2091</v>
      </c>
      <c r="D18" s="1844">
        <f>1250+1900+2000</f>
        <v>5150</v>
      </c>
      <c r="E18" s="1540">
        <f t="shared" ref="E18:E142" si="0">IF(D18&lt;=25000,D18,IF(D18&gt;25000,25000,0))</f>
        <v>5150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5150</v>
      </c>
      <c r="G18" s="1793">
        <f>IF(F18=0,0,D18-F18)</f>
        <v>0</v>
      </c>
      <c r="H18" s="1647"/>
    </row>
    <row r="19" spans="1:8" x14ac:dyDescent="0.25">
      <c r="A19" s="1940" t="s">
        <v>2089</v>
      </c>
      <c r="B19" s="1941" t="s">
        <v>2090</v>
      </c>
      <c r="C19" s="1942" t="s">
        <v>2092</v>
      </c>
      <c r="D19" s="1844">
        <f>1422+181+181+181+8</f>
        <v>1973</v>
      </c>
      <c r="E19" s="1540">
        <f t="shared" ref="E19:E141" si="2">IF(D19&lt;=25000,D19,IF(D19&gt;25000,25000,0))</f>
        <v>1973</v>
      </c>
      <c r="F19" s="1936">
        <f t="shared" si="1"/>
        <v>1973</v>
      </c>
      <c r="G19" s="1793">
        <f t="shared" ref="G19:G141" si="3">IF(F19=0,0,D19-F19)</f>
        <v>0</v>
      </c>
    </row>
    <row r="20" spans="1:8" x14ac:dyDescent="0.25">
      <c r="A20" s="1940" t="s">
        <v>2089</v>
      </c>
      <c r="B20" s="1941" t="s">
        <v>2090</v>
      </c>
      <c r="C20" s="1942" t="s">
        <v>2093</v>
      </c>
      <c r="D20" s="1844">
        <f>574+300+200</f>
        <v>1074</v>
      </c>
      <c r="E20" s="1540">
        <f t="shared" si="2"/>
        <v>1074</v>
      </c>
      <c r="F20" s="1936">
        <f t="shared" si="1"/>
        <v>1074</v>
      </c>
      <c r="G20" s="1793">
        <f t="shared" si="3"/>
        <v>0</v>
      </c>
    </row>
    <row r="21" spans="1:8" x14ac:dyDescent="0.25">
      <c r="A21" s="1940" t="s">
        <v>2089</v>
      </c>
      <c r="B21" s="1941" t="s">
        <v>2090</v>
      </c>
      <c r="C21" s="1942" t="s">
        <v>2094</v>
      </c>
      <c r="D21" s="1844">
        <f>145+200+1148+87</f>
        <v>1580</v>
      </c>
      <c r="E21" s="1540">
        <f t="shared" si="2"/>
        <v>1580</v>
      </c>
      <c r="F21" s="1936">
        <f t="shared" si="1"/>
        <v>1580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9777</v>
      </c>
      <c r="E142" s="1541">
        <f t="shared" si="0"/>
        <v>9777</v>
      </c>
      <c r="F142" s="1932">
        <f>SUM(F18:F141)</f>
        <v>9777</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92" t="s">
        <v>1972</v>
      </c>
      <c r="B11" s="2293"/>
      <c r="C11" s="2293"/>
      <c r="D11" s="2294"/>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0</v>
      </c>
      <c r="F19" s="1799"/>
      <c r="G19" s="1801">
        <f>'Expenditures 15-22'!K33-SUM('Expenditures 15-22'!G33,'Expenditures 15-22'!I33)+'Expenditures 15-22'!D229</f>
        <v>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162775</v>
      </c>
      <c r="F23" s="1802"/>
      <c r="G23" s="1804">
        <f>'Expenditures 15-22'!K53-SUM('Expenditures 15-22'!G53,'Expenditures 15-22'!I53)+'Expenditures 15-22'!D257+'Expenditures 15-22'!K330-SUM('Expenditures 15-22'!G330,'Expenditures 15-22'!I330)</f>
        <v>162775</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4000</v>
      </c>
      <c r="F28" s="1806">
        <f>'Expenditures 15-22'!K61-SUM('Expenditures 15-22'!G61,'Expenditures 15-22'!I61)+'Expenditures 15-22'!K124-SUM('Expenditures 15-22'!G124,'Expenditures 15-22'!I124)+'Expenditures 15-22'!D266-E9</f>
        <v>4000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0</v>
      </c>
      <c r="E41" s="1806">
        <f>SUM(E19:E40)</f>
        <v>166775</v>
      </c>
      <c r="F41" s="1806">
        <f>SUM(F19:F39)</f>
        <v>4000</v>
      </c>
      <c r="G41" s="1806">
        <f>SUM(G19:G40)</f>
        <v>162775</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0</v>
      </c>
      <c r="F43" s="1807" t="s">
        <v>473</v>
      </c>
      <c r="G43" s="1808">
        <f>F41</f>
        <v>4000</v>
      </c>
    </row>
    <row r="44" spans="1:7" ht="12" customHeight="1" x14ac:dyDescent="0.2">
      <c r="A44" s="987"/>
      <c r="B44" s="162"/>
      <c r="C44" s="1001"/>
      <c r="D44" s="1807" t="s">
        <v>474</v>
      </c>
      <c r="E44" s="1808">
        <f>E41</f>
        <v>166775</v>
      </c>
      <c r="F44" s="1807" t="s">
        <v>474</v>
      </c>
      <c r="G44" s="1808">
        <f>G41</f>
        <v>162775</v>
      </c>
    </row>
    <row r="45" spans="1:7" ht="12" customHeight="1" x14ac:dyDescent="0.2">
      <c r="A45" s="987"/>
      <c r="B45" s="162"/>
      <c r="C45" s="162"/>
      <c r="D45" s="1809" t="s">
        <v>1006</v>
      </c>
      <c r="E45" s="1810">
        <f>(E43/E44)</f>
        <v>0</v>
      </c>
      <c r="F45" s="1809" t="s">
        <v>1006</v>
      </c>
      <c r="G45" s="1810">
        <f>(G43/G44)</f>
        <v>2.4573798187682384E-2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5" activePane="bottomLeft" state="frozen"/>
      <selection activeCell="A47" sqref="A47"/>
      <selection pane="bottomLeft" activeCell="C21" sqref="C2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8" t="s">
        <v>1379</v>
      </c>
      <c r="B1" s="2298"/>
      <c r="C1" s="2298"/>
      <c r="D1" s="2298"/>
      <c r="E1" s="2298"/>
      <c r="F1" s="2298"/>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299" t="s">
        <v>1546</v>
      </c>
      <c r="B5" s="2300"/>
      <c r="C5" s="2301"/>
      <c r="D5" s="2301"/>
      <c r="E5" s="2301"/>
      <c r="F5" s="2301"/>
    </row>
    <row r="6" spans="1:10" ht="12" customHeight="1" x14ac:dyDescent="0.25">
      <c r="A6" s="1850"/>
      <c r="B6" s="1851"/>
      <c r="C6" s="2302" t="str">
        <f>COVER!A17</f>
        <v>Career Preparation Network</v>
      </c>
      <c r="D6" s="2302"/>
      <c r="E6" s="2302"/>
      <c r="F6" s="1852"/>
    </row>
    <row r="7" spans="1:10" ht="11.25" customHeight="1" thickBot="1" x14ac:dyDescent="0.3">
      <c r="A7" s="1850"/>
      <c r="B7" s="1851"/>
      <c r="C7" s="2303">
        <f>COVER!A13</f>
        <v>7016790045</v>
      </c>
      <c r="D7" s="2303"/>
      <c r="E7" s="2303"/>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2067</v>
      </c>
      <c r="D19" s="1865" t="s">
        <v>2067</v>
      </c>
      <c r="E19" s="1868" t="s">
        <v>2095</v>
      </c>
      <c r="F19" s="1867" t="s">
        <v>2096</v>
      </c>
      <c r="H19" s="1878">
        <f t="shared" si="0"/>
        <v>5</v>
      </c>
      <c r="I19" s="1878">
        <f t="shared" si="1"/>
        <v>5</v>
      </c>
      <c r="J19" s="1878">
        <f t="shared" si="2"/>
        <v>0</v>
      </c>
    </row>
    <row r="20" spans="1:12" ht="12" customHeight="1" x14ac:dyDescent="0.2">
      <c r="A20" s="1863" t="s">
        <v>1528</v>
      </c>
      <c r="B20" s="1864"/>
      <c r="C20" s="1865" t="s">
        <v>2067</v>
      </c>
      <c r="D20" s="1865" t="s">
        <v>2067</v>
      </c>
      <c r="E20" s="1868" t="s">
        <v>2095</v>
      </c>
      <c r="F20" s="1867" t="s">
        <v>2097</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1391</v>
      </c>
      <c r="B40" s="1875"/>
      <c r="C40" s="2312"/>
      <c r="D40" s="2312"/>
      <c r="E40" s="2312"/>
      <c r="F40" s="2313"/>
      <c r="H40" s="1879"/>
      <c r="I40" s="1879"/>
      <c r="J40" s="1879"/>
      <c r="K40" s="1879"/>
    </row>
    <row r="41" spans="1:11" s="1870" customFormat="1" ht="12" customHeight="1" x14ac:dyDescent="0.25">
      <c r="A41" s="2314"/>
      <c r="B41" s="2315"/>
      <c r="C41" s="2315"/>
      <c r="D41" s="2315"/>
      <c r="E41" s="2315"/>
      <c r="F41" s="2316"/>
      <c r="H41" s="1879"/>
      <c r="I41" s="1879"/>
      <c r="J41" s="1879"/>
      <c r="K41" s="1879"/>
    </row>
    <row r="42" spans="1:11" s="1870" customFormat="1" ht="12" customHeight="1" x14ac:dyDescent="0.25">
      <c r="A42" s="2314"/>
      <c r="B42" s="2315"/>
      <c r="C42" s="2315"/>
      <c r="D42" s="2315"/>
      <c r="E42" s="2315"/>
      <c r="F42" s="2316"/>
      <c r="H42" s="1879"/>
      <c r="I42" s="1879"/>
      <c r="J42" s="1879"/>
      <c r="K42" s="1879"/>
    </row>
    <row r="43" spans="1:11" s="1870" customFormat="1" ht="15" x14ac:dyDescent="0.25">
      <c r="A43" s="2306"/>
      <c r="B43" s="2307"/>
      <c r="C43" s="2307"/>
      <c r="D43" s="2307"/>
      <c r="E43" s="2307"/>
      <c r="F43" s="2308"/>
      <c r="H43" s="1879"/>
      <c r="I43" s="1879"/>
      <c r="J43" s="1879"/>
      <c r="K43" s="1879"/>
    </row>
    <row r="44" spans="1:11" s="1870" customFormat="1" ht="12" hidden="1" customHeight="1" x14ac:dyDescent="0.25">
      <c r="A44" s="2306"/>
      <c r="B44" s="2307"/>
      <c r="C44" s="2307"/>
      <c r="D44" s="2307"/>
      <c r="E44" s="2307"/>
      <c r="F44" s="230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topLeftCell="A13"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Career Preparation Network</v>
      </c>
      <c r="J6" s="2323"/>
      <c r="Q6" s="1664"/>
    </row>
    <row r="7" spans="1:17" x14ac:dyDescent="0.2">
      <c r="A7" s="2324" t="s">
        <v>869</v>
      </c>
      <c r="B7" s="2325"/>
      <c r="C7" s="2325"/>
      <c r="D7" s="2325"/>
      <c r="E7" s="2326"/>
      <c r="F7" s="1017"/>
      <c r="G7" s="1009"/>
      <c r="H7" s="1016" t="s">
        <v>372</v>
      </c>
      <c r="I7" s="2327">
        <f>COVER!A13</f>
        <v>7016790045</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162775</v>
      </c>
      <c r="F13" s="1039"/>
      <c r="G13" s="1811">
        <f t="shared" si="0"/>
        <v>162775</v>
      </c>
      <c r="H13" s="1040">
        <v>159980</v>
      </c>
      <c r="I13" s="1039"/>
      <c r="J13" s="1811">
        <f t="shared" si="1"/>
        <v>159980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162775</v>
      </c>
      <c r="F19" s="1813">
        <f t="shared" si="2"/>
        <v>0</v>
      </c>
      <c r="G19" s="1813">
        <f t="shared" si="2"/>
        <v>162775</v>
      </c>
      <c r="H19" s="1813">
        <f t="shared" si="2"/>
        <v>159980</v>
      </c>
      <c r="I19" s="1813">
        <f t="shared" si="2"/>
        <v>0</v>
      </c>
      <c r="J19" s="1813">
        <f t="shared" si="2"/>
        <v>159980</v>
      </c>
    </row>
    <row r="20" spans="1:10" ht="13.5" thickTop="1" x14ac:dyDescent="0.2">
      <c r="A20" s="1035">
        <v>9</v>
      </c>
      <c r="B20" s="2334" t="s">
        <v>1976</v>
      </c>
      <c r="C20" s="2334"/>
      <c r="D20" s="2335"/>
      <c r="E20" s="1046"/>
      <c r="F20" s="1046"/>
      <c r="G20" s="1046"/>
      <c r="H20" s="1046"/>
      <c r="I20" s="1046"/>
      <c r="J20" s="1814">
        <f>IF(AND(G19&gt;0,J19&gt;0),(((J19-G19)/G19)),"Enter Budget Data")</f>
        <v>-1.7170941483643065E-2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1978</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2098</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Career Preparation Network</v>
      </c>
    </row>
    <row r="65" spans="2:2" x14ac:dyDescent="0.2">
      <c r="B65" s="1070">
        <f>COVER!A13</f>
        <v>7016790045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9525</xdr:colOff>
                <xdr:row>0</xdr:row>
                <xdr:rowOff>123825</xdr:rowOff>
              </from>
              <to>
                <xdr:col>1</xdr:col>
                <xdr:colOff>923925</xdr:colOff>
                <xdr:row>5</xdr:row>
                <xdr:rowOff>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1000125</xdr:colOff>
                <xdr:row>0</xdr:row>
                <xdr:rowOff>133350</xdr:rowOff>
              </from>
              <to>
                <xdr:col>1</xdr:col>
                <xdr:colOff>1914525</xdr:colOff>
                <xdr:row>5</xdr:row>
                <xdr:rowOff>9525</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1981200</xdr:colOff>
                <xdr:row>0</xdr:row>
                <xdr:rowOff>142875</xdr:rowOff>
              </from>
              <to>
                <xdr:col>1</xdr:col>
                <xdr:colOff>2895600</xdr:colOff>
                <xdr:row>5</xdr:row>
                <xdr:rowOff>19050</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2990850</xdr:colOff>
                <xdr:row>0</xdr:row>
                <xdr:rowOff>142875</xdr:rowOff>
              </from>
              <to>
                <xdr:col>1</xdr:col>
                <xdr:colOff>3895725</xdr:colOff>
                <xdr:row>5</xdr:row>
                <xdr:rowOff>9525</xdr:rowOff>
              </to>
            </anchor>
          </objectPr>
        </oleObject>
      </mc:Choice>
      <mc:Fallback>
        <oleObject progId="Acrobat Document" dvAspect="DVASPECT_ICON" shapeId="50180" r:id="rId10"/>
      </mc:Fallback>
    </mc:AlternateContent>
    <mc:AlternateContent xmlns:mc="http://schemas.openxmlformats.org/markup-compatibility/2006">
      <mc:Choice Requires="x14">
        <oleObject progId="Acrobat Document" dvAspect="DVASPECT_ICON" shapeId="50181" r:id="rId12">
          <objectPr defaultSize="0" r:id="rId13">
            <anchor moveWithCells="1">
              <from>
                <xdr:col>2</xdr:col>
                <xdr:colOff>28575</xdr:colOff>
                <xdr:row>0</xdr:row>
                <xdr:rowOff>142875</xdr:rowOff>
              </from>
              <to>
                <xdr:col>3</xdr:col>
                <xdr:colOff>333375</xdr:colOff>
                <xdr:row>5</xdr:row>
                <xdr:rowOff>9525</xdr:rowOff>
              </to>
            </anchor>
          </objectPr>
        </oleObject>
      </mc:Choice>
      <mc:Fallback>
        <oleObject progId="Acrobat Document" dvAspect="DVASPECT_ICON" shapeId="50181" r:id="rId12"/>
      </mc:Fallback>
    </mc:AlternateContent>
    <mc:AlternateContent xmlns:mc="http://schemas.openxmlformats.org/markup-compatibility/2006">
      <mc:Choice Requires="x14">
        <oleObject progId="Acrobat Document" dvAspect="DVASPECT_ICON" shapeId="50182" r:id="rId14">
          <objectPr defaultSize="0" r:id="rId15">
            <anchor moveWithCells="1">
              <from>
                <xdr:col>1</xdr:col>
                <xdr:colOff>9525</xdr:colOff>
                <xdr:row>6</xdr:row>
                <xdr:rowOff>9525</xdr:rowOff>
              </from>
              <to>
                <xdr:col>1</xdr:col>
                <xdr:colOff>923925</xdr:colOff>
                <xdr:row>10</xdr:row>
                <xdr:rowOff>47625</xdr:rowOff>
              </to>
            </anchor>
          </objectPr>
        </oleObject>
      </mc:Choice>
      <mc:Fallback>
        <oleObject progId="Acrobat Document" dvAspect="DVASPECT_ICON" shapeId="50182"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1982</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1983</v>
      </c>
      <c r="B4" s="2362"/>
      <c r="C4" s="2362"/>
      <c r="D4" s="2362"/>
      <c r="E4" s="2362"/>
      <c r="F4" s="2363"/>
      <c r="G4" s="1074"/>
      <c r="H4" s="1074"/>
    </row>
    <row r="5" spans="1:8" ht="14.25" customHeight="1" x14ac:dyDescent="0.2">
      <c r="A5" s="2364" t="s">
        <v>1979</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1125605</v>
      </c>
      <c r="C8" s="1815">
        <f>'Acct Summary 7-8'!D8</f>
        <v>0</v>
      </c>
      <c r="D8" s="1815">
        <f>'Acct Summary 7-8'!F8</f>
        <v>0</v>
      </c>
      <c r="E8" s="1815">
        <f>'Acct Summary 7-8'!I8</f>
        <v>0</v>
      </c>
      <c r="F8" s="1815">
        <f>SUM(B8:E8)</f>
        <v>1125605</v>
      </c>
    </row>
    <row r="9" spans="1:8" s="1079" customFormat="1" ht="14.25" customHeight="1" thickBot="1" x14ac:dyDescent="0.25">
      <c r="A9" s="1078" t="s">
        <v>1369</v>
      </c>
      <c r="B9" s="1816">
        <f>'Acct Summary 7-8'!C17</f>
        <v>1192024</v>
      </c>
      <c r="C9" s="1816">
        <f>'Acct Summary 7-8'!D17</f>
        <v>0</v>
      </c>
      <c r="D9" s="1816">
        <f>'Acct Summary 7-8'!F17</f>
        <v>0</v>
      </c>
      <c r="E9" s="1815"/>
      <c r="F9" s="1815">
        <f>SUM(B9:E9)</f>
        <v>1192024</v>
      </c>
    </row>
    <row r="10" spans="1:8" s="1079" customFormat="1" ht="14.25" thickTop="1" thickBot="1" x14ac:dyDescent="0.25">
      <c r="A10" s="1080" t="s">
        <v>1370</v>
      </c>
      <c r="B10" s="1817">
        <f>(B8-B9)</f>
        <v>-66419</v>
      </c>
      <c r="C10" s="1817">
        <f>(C8-C9)</f>
        <v>0</v>
      </c>
      <c r="D10" s="1817">
        <f>(D8-D9)</f>
        <v>0</v>
      </c>
      <c r="E10" s="1816">
        <f>(E8-E9)</f>
        <v>0</v>
      </c>
      <c r="F10" s="1818">
        <f>SUM(F8-F9)</f>
        <v>-66419</v>
      </c>
    </row>
    <row r="11" spans="1:8" s="1079" customFormat="1" ht="14.25" thickTop="1" thickBot="1" x14ac:dyDescent="0.25">
      <c r="A11" s="1081" t="s">
        <v>1980</v>
      </c>
      <c r="B11" s="1819">
        <f>'Acct Summary 7-8'!C81</f>
        <v>216845</v>
      </c>
      <c r="C11" s="1819">
        <f>'Acct Summary 7-8'!D81</f>
        <v>0</v>
      </c>
      <c r="D11" s="1819">
        <f>'Acct Summary 7-8'!F81</f>
        <v>0</v>
      </c>
      <c r="E11" s="1819">
        <f>'Acct Summary 7-8'!I81</f>
        <v>0</v>
      </c>
      <c r="F11" s="1820">
        <f>SUM(B11:E11)</f>
        <v>216845</v>
      </c>
    </row>
    <row r="12" spans="1:8" ht="16.5" customHeight="1" thickTop="1" x14ac:dyDescent="0.2">
      <c r="A12" s="1082"/>
      <c r="B12" s="1083"/>
      <c r="C12" s="2346" t="str">
        <f>IF(AND(F10&lt;0,F11&gt;=0,ABS(F10*3)&gt;ABS(F11)),A16,IF(AND(F10&lt;0,F11&gt;0,ABS(F10*3)&lt;=ABS(F11)),A17,IF(AND(F10&lt;0,F11&lt;0),A16,IF(F11=0,A19,A18))))</f>
        <v>Unbalanced -  however, a deficit reduction plan is not required at this time.</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7016790045</v>
      </c>
    </row>
    <row r="3" spans="1:2" x14ac:dyDescent="0.2">
      <c r="A3" t="s">
        <v>956</v>
      </c>
      <c r="B3" s="138" t="str">
        <f>COVER!A15</f>
        <v>Cook</v>
      </c>
    </row>
    <row r="4" spans="1:2" x14ac:dyDescent="0.2">
      <c r="A4" t="s">
        <v>1007</v>
      </c>
      <c r="B4" s="138" t="str">
        <f>COVER!A17</f>
        <v>Career Preparation Network</v>
      </c>
    </row>
    <row r="5" spans="1:2" x14ac:dyDescent="0.2">
      <c r="A5" t="s">
        <v>704</v>
      </c>
      <c r="B5" s="138" t="str">
        <f>COVER!A38</f>
        <v>Janice Stoettner</v>
      </c>
    </row>
    <row r="6" spans="1:2" x14ac:dyDescent="0.2">
      <c r="A6" t="s">
        <v>709</v>
      </c>
      <c r="B6" s="138" t="str">
        <f>COVER!P35</f>
        <v>Bloom</v>
      </c>
    </row>
    <row r="7" spans="1:2" x14ac:dyDescent="0.2">
      <c r="A7" t="s">
        <v>705</v>
      </c>
      <c r="B7" s="138" t="str">
        <f>COVER!I38</f>
        <v>Dr. Robert Grossi</v>
      </c>
    </row>
    <row r="8" spans="1:2" x14ac:dyDescent="0.2">
      <c r="A8" t="s">
        <v>706</v>
      </c>
      <c r="B8" s="138" t="str">
        <f>COVER!T38</f>
        <v>Dr. Vanessa Kinder (ISC#4)</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065-025792</v>
      </c>
    </row>
    <row r="16" spans="1:2" x14ac:dyDescent="0.2">
      <c r="A16" t="s">
        <v>422</v>
      </c>
      <c r="B16" s="138" t="str">
        <f>COVER!T13</f>
        <v>GW &amp; Associates, P.C.</v>
      </c>
    </row>
    <row r="17" spans="1:2" x14ac:dyDescent="0.2">
      <c r="A17" t="s">
        <v>884</v>
      </c>
      <c r="B17" s="138" t="str">
        <f>COVER!T15</f>
        <v>John Wysocki, CPA</v>
      </c>
    </row>
    <row r="18" spans="1:2" x14ac:dyDescent="0.2">
      <c r="A18" t="s">
        <v>1150</v>
      </c>
      <c r="B18" s="138" t="str">
        <f>COVER!T17</f>
        <v>4415 W. Harrison St.</v>
      </c>
    </row>
    <row r="19" spans="1:2" x14ac:dyDescent="0.2">
      <c r="A19" t="s">
        <v>886</v>
      </c>
      <c r="B19" s="138" t="str">
        <f>COVER!T25</f>
        <v>john.wysocki@cpagwa.com</v>
      </c>
    </row>
    <row r="20" spans="1:2" x14ac:dyDescent="0.2">
      <c r="A20" t="s">
        <v>887</v>
      </c>
      <c r="B20" s="138" t="str">
        <f>COVER!T19</f>
        <v>Hillside</v>
      </c>
    </row>
    <row r="21" spans="1:2" x14ac:dyDescent="0.2">
      <c r="A21" t="s">
        <v>479</v>
      </c>
      <c r="B21" s="138" t="str">
        <f>COVER!X19</f>
        <v>IL</v>
      </c>
    </row>
    <row r="22" spans="1:2" x14ac:dyDescent="0.2">
      <c r="A22" t="s">
        <v>888</v>
      </c>
      <c r="B22" s="138">
        <f>COVER!Z19</f>
        <v>60162</v>
      </c>
    </row>
    <row r="23" spans="1:2" x14ac:dyDescent="0.2">
      <c r="A23" t="s">
        <v>1152</v>
      </c>
      <c r="B23" s="138" t="str">
        <f>COVER!T21</f>
        <v>(708)755-8182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216845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216845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216845</v>
      </c>
      <c r="D92" s="2" t="str">
        <f t="shared" si="0"/>
        <v>Error?</v>
      </c>
    </row>
    <row r="93" spans="1:4" x14ac:dyDescent="0.2">
      <c r="A93" s="5">
        <v>32</v>
      </c>
      <c r="B93" s="138">
        <f>'Assets-Liab 5-6'!C41</f>
        <v>216845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2396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2396</v>
      </c>
      <c r="C279" s="2" t="s">
        <v>573</v>
      </c>
      <c r="D279" s="2" t="str">
        <f t="shared" si="3"/>
        <v>Error?</v>
      </c>
    </row>
    <row r="280" spans="1:4" x14ac:dyDescent="0.2">
      <c r="A280" s="5">
        <v>219</v>
      </c>
      <c r="B280" s="138">
        <f>'Assets-Liab 5-6'!M40</f>
        <v>2396</v>
      </c>
      <c r="D280" s="2" t="str">
        <f t="shared" si="3"/>
        <v>Error?</v>
      </c>
    </row>
    <row r="281" spans="1:4" x14ac:dyDescent="0.2">
      <c r="A281" s="5">
        <v>220</v>
      </c>
      <c r="B281" s="138">
        <f>'Assets-Liab 5-6'!M41</f>
        <v>2396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116881</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116881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116881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29740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29740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29740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15166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4000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4000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19166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41296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718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718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718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270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1003119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1003389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162775</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4000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4000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166775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1025249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1192024</v>
      </c>
      <c r="C1152" s="2" t="s">
        <v>573</v>
      </c>
      <c r="D1152" s="2" t="str">
        <f t="shared" si="17"/>
        <v>Error?</v>
      </c>
    </row>
    <row r="1153" spans="1:4" x14ac:dyDescent="0.2">
      <c r="A1153" s="5">
        <v>1092</v>
      </c>
      <c r="B1153" s="138">
        <f>'Expenditures 15-22'!K115</f>
        <v>-66419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283264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216845</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2396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2396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2396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2396</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2396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2396</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2396</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2396</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1003119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1025249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83543</v>
      </c>
      <c r="C2551" s="2" t="s">
        <v>573</v>
      </c>
      <c r="D2551" s="2" t="str">
        <f t="shared" si="38"/>
        <v>Error?</v>
      </c>
    </row>
    <row r="2552" spans="1:4" x14ac:dyDescent="0.2">
      <c r="A2552" s="10">
        <v>2491</v>
      </c>
      <c r="D2552" s="2" t="str">
        <f t="shared" si="38"/>
        <v>OK</v>
      </c>
    </row>
    <row r="2553" spans="1:4" x14ac:dyDescent="0.2">
      <c r="A2553" s="5">
        <v>2492</v>
      </c>
      <c r="B2553" s="138">
        <f>'Acct Summary 7-8'!C6</f>
        <v>79480</v>
      </c>
      <c r="C2553" s="2" t="s">
        <v>573</v>
      </c>
      <c r="D2553" s="2" t="str">
        <f t="shared" si="38"/>
        <v>Error?</v>
      </c>
    </row>
    <row r="2554" spans="1:4" x14ac:dyDescent="0.2">
      <c r="A2554" s="5">
        <v>2493</v>
      </c>
      <c r="B2554" s="138">
        <f>'Acct Summary 7-8'!C7</f>
        <v>4000</v>
      </c>
      <c r="C2554" s="2" t="s">
        <v>573</v>
      </c>
      <c r="D2554" s="2" t="str">
        <f t="shared" si="38"/>
        <v>Error?</v>
      </c>
    </row>
    <row r="2555" spans="1:4" x14ac:dyDescent="0.2">
      <c r="A2555" s="5">
        <v>2494</v>
      </c>
      <c r="B2555" s="138">
        <f>'Acct Summary 7-8'!C8</f>
        <v>1125605</v>
      </c>
      <c r="C2555" s="2" t="s">
        <v>573</v>
      </c>
      <c r="D2555" s="2" t="str">
        <f t="shared" si="38"/>
        <v>Error?</v>
      </c>
    </row>
    <row r="2556" spans="1:4" x14ac:dyDescent="0.2">
      <c r="A2556" s="5">
        <v>2495</v>
      </c>
      <c r="B2556" s="138">
        <f>'Acct Summary 7-8'!C12</f>
        <v>0</v>
      </c>
      <c r="C2556" s="2" t="s">
        <v>573</v>
      </c>
      <c r="D2556" s="2" t="str">
        <f t="shared" si="38"/>
        <v>Error?</v>
      </c>
    </row>
    <row r="2557" spans="1:4" x14ac:dyDescent="0.2">
      <c r="A2557" s="5">
        <v>2496</v>
      </c>
      <c r="B2557" s="138">
        <f>'Acct Summary 7-8'!C13</f>
        <v>166775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1025249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1192024</v>
      </c>
      <c r="C2561" s="2" t="s">
        <v>573</v>
      </c>
      <c r="D2561" s="2" t="str">
        <f t="shared" si="39"/>
        <v>Error?</v>
      </c>
    </row>
    <row r="2562" spans="1:4" x14ac:dyDescent="0.2">
      <c r="A2562" s="5">
        <v>2501</v>
      </c>
      <c r="B2562" s="138">
        <f>'Acct Summary 7-8'!C20</f>
        <v>-66419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116881</v>
      </c>
      <c r="D2718" s="2" t="str">
        <f t="shared" si="41"/>
        <v>Error?</v>
      </c>
    </row>
    <row r="2719" spans="1:4" x14ac:dyDescent="0.2">
      <c r="A2719" s="5">
        <v>2658</v>
      </c>
      <c r="B2719" s="138">
        <f>'Expenditures 15-22'!D51</f>
        <v>29740</v>
      </c>
      <c r="D2719" s="2" t="str">
        <f t="shared" si="41"/>
        <v>Error?</v>
      </c>
    </row>
    <row r="2720" spans="1:4" x14ac:dyDescent="0.2">
      <c r="A2720" s="5">
        <v>2659</v>
      </c>
      <c r="B2720" s="138">
        <f>'Expenditures 15-22'!E51</f>
        <v>15166</v>
      </c>
      <c r="D2720" s="2" t="str">
        <f t="shared" si="41"/>
        <v>Error?</v>
      </c>
    </row>
    <row r="2721" spans="1:4" x14ac:dyDescent="0.2">
      <c r="A2721" s="5">
        <v>2660</v>
      </c>
      <c r="B2721" s="138">
        <f>'Expenditures 15-22'!F51</f>
        <v>718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270</v>
      </c>
      <c r="D2723" s="2" t="str">
        <f t="shared" si="41"/>
        <v>Error?</v>
      </c>
    </row>
    <row r="2724" spans="1:4" x14ac:dyDescent="0.2">
      <c r="A2724" s="5">
        <v>2663</v>
      </c>
      <c r="B2724" s="138">
        <f>'Expenditures 15-22'!K51</f>
        <v>162775</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22130</v>
      </c>
      <c r="C2789" s="2" t="s">
        <v>573</v>
      </c>
      <c r="D2789" s="2" t="str">
        <f t="shared" si="42"/>
        <v>Error?</v>
      </c>
    </row>
    <row r="2790" spans="1:4" x14ac:dyDescent="0.2">
      <c r="A2790" s="5">
        <v>2729</v>
      </c>
      <c r="B2790" s="138">
        <f>'Expenditures 15-22'!E102</f>
        <v>22130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22130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1003119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1025249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-66419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958582</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1125605</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1192024</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216845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4000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5308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5308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78235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78235</v>
      </c>
      <c r="C5120" s="2" t="s">
        <v>573</v>
      </c>
      <c r="D5120" s="2" t="str">
        <f t="shared" si="79"/>
        <v>Error?</v>
      </c>
    </row>
    <row r="5121" spans="1:4" x14ac:dyDescent="0.2">
      <c r="A5121" s="5">
        <v>5060</v>
      </c>
      <c r="B5121" s="138">
        <f>'Revenues 9-14'!C109</f>
        <v>83543</v>
      </c>
      <c r="C5121" s="2" t="s">
        <v>573</v>
      </c>
      <c r="D5121" s="2" t="str">
        <f t="shared" si="79"/>
        <v>Error?</v>
      </c>
    </row>
    <row r="5122" spans="1:4" x14ac:dyDescent="0.2">
      <c r="A5122" s="5">
        <v>5061</v>
      </c>
      <c r="B5122" s="138">
        <f>'Revenues 9-14'!C111</f>
        <v>329252</v>
      </c>
      <c r="D5122" s="2" t="str">
        <f t="shared" si="79"/>
        <v>Error?</v>
      </c>
    </row>
    <row r="5123" spans="1:4" x14ac:dyDescent="0.2">
      <c r="A5123" s="5">
        <v>5062</v>
      </c>
      <c r="B5123" s="138">
        <f>'Revenues 9-14'!C112</f>
        <v>629330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958582</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79480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79480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79480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79480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4000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4000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4000</v>
      </c>
      <c r="C5326" s="2" t="s">
        <v>573</v>
      </c>
      <c r="D5326" s="2" t="str">
        <f t="shared" si="82"/>
        <v>Error?</v>
      </c>
    </row>
    <row r="5327" spans="1:5" x14ac:dyDescent="0.2">
      <c r="A5327" s="5">
        <v>5266</v>
      </c>
      <c r="B5327" s="138">
        <f>'Revenues 9-14'!C268</f>
        <v>1125605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-66419</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-0.30629712467430653</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9777</v>
      </c>
      <c r="D7797" s="2" t="str">
        <f t="shared" si="127"/>
        <v>Error?</v>
      </c>
      <c r="E7797" s="4" t="s">
        <v>1900</v>
      </c>
    </row>
    <row r="7798" spans="1:5" x14ac:dyDescent="0.2">
      <c r="A7798">
        <v>7737</v>
      </c>
      <c r="B7798" s="138">
        <f>'Contracts Paid in CY 29'!F142</f>
        <v>9777</v>
      </c>
      <c r="D7798" s="2" t="str">
        <f t="shared" si="127"/>
        <v>Error?</v>
      </c>
      <c r="E7798" s="4" t="s">
        <v>1900</v>
      </c>
    </row>
    <row r="7799" spans="1:5" x14ac:dyDescent="0.2">
      <c r="A7799">
        <v>7738</v>
      </c>
      <c r="B7799" s="138">
        <f>'Contracts Paid in CY 29'!G142</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19" zoomScale="110" zoomScaleNormal="110" workbookViewId="0">
      <selection activeCell="K40" sqref="K4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1191</v>
      </c>
      <c r="B2" s="2386"/>
      <c r="C2" s="2386"/>
      <c r="D2" s="2386"/>
      <c r="E2" s="2386"/>
      <c r="F2" s="2386"/>
      <c r="G2" s="2386"/>
      <c r="H2" s="2386"/>
      <c r="I2" s="2386"/>
      <c r="J2" s="2386"/>
      <c r="K2" s="2386"/>
      <c r="L2" s="2386"/>
    </row>
    <row r="3" spans="1:29" ht="13.5" customHeight="1" x14ac:dyDescent="0.2">
      <c r="A3" s="2417" t="s">
        <v>1190</v>
      </c>
      <c r="B3" s="2417"/>
      <c r="C3" s="2417"/>
      <c r="D3" s="2417"/>
      <c r="E3" s="2417"/>
      <c r="F3" s="2417"/>
      <c r="G3" s="2417"/>
      <c r="H3" s="2417"/>
      <c r="I3" s="2417"/>
      <c r="J3" s="2417"/>
      <c r="K3" s="2417"/>
      <c r="L3" s="2417"/>
    </row>
    <row r="4" spans="1:29" ht="13.5" customHeight="1" x14ac:dyDescent="0.2">
      <c r="A4" s="2386" t="s">
        <v>1984</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8" t="str">
        <f>COVER!A17</f>
        <v>Career Preparation Network</v>
      </c>
      <c r="B7" s="2409"/>
      <c r="C7" s="2409"/>
      <c r="D7" s="2410"/>
      <c r="E7" s="2411">
        <f>COVER!A13</f>
        <v>7016790045</v>
      </c>
      <c r="F7" s="2412"/>
      <c r="G7" s="2418" t="str">
        <f>COVER!T23</f>
        <v>065-025792</v>
      </c>
      <c r="H7" s="2419"/>
      <c r="I7" s="2419"/>
      <c r="J7" s="2419"/>
      <c r="K7" s="2419"/>
      <c r="L7" s="24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1"/>
      <c r="B9" s="2422"/>
      <c r="C9" s="2422"/>
      <c r="D9" s="2422"/>
      <c r="E9" s="2422"/>
      <c r="F9" s="2423"/>
      <c r="G9" s="2392" t="str">
        <f>COVER!T13</f>
        <v>GW &amp; Associates, P.C.</v>
      </c>
      <c r="H9" s="2424"/>
      <c r="I9" s="2424"/>
      <c r="J9" s="2424"/>
      <c r="K9" s="2424"/>
      <c r="L9" s="2425"/>
    </row>
    <row r="10" spans="1:29" ht="13.5" customHeight="1" x14ac:dyDescent="0.2">
      <c r="A10" s="2398" t="str">
        <f>COVER!A38</f>
        <v>Janice Stoettner</v>
      </c>
      <c r="B10" s="2399"/>
      <c r="C10" s="2399"/>
      <c r="D10" s="2399"/>
      <c r="E10" s="2399"/>
      <c r="F10" s="2400"/>
      <c r="G10" s="2392" t="str">
        <f>COVER!T17</f>
        <v>4415 W. Harrison St.</v>
      </c>
      <c r="H10" s="2393"/>
      <c r="I10" s="2393"/>
      <c r="J10" s="2393"/>
      <c r="K10" s="2393"/>
      <c r="L10" s="2394"/>
    </row>
    <row r="11" spans="1:29" ht="13.5" customHeight="1" x14ac:dyDescent="0.2">
      <c r="A11" s="1184" t="s">
        <v>1519</v>
      </c>
      <c r="B11" s="1185"/>
      <c r="C11" s="1186"/>
      <c r="D11" s="1191"/>
      <c r="E11" s="1186"/>
      <c r="F11" s="1190"/>
      <c r="G11" s="2392" t="str">
        <f>COVER!T19</f>
        <v>Hillside</v>
      </c>
      <c r="H11" s="2393"/>
      <c r="I11" s="2393"/>
      <c r="J11" s="2393"/>
      <c r="K11" s="2393"/>
      <c r="L11" s="2394"/>
    </row>
    <row r="12" spans="1:29" ht="13.5" customHeight="1" x14ac:dyDescent="0.2">
      <c r="A12" s="2401" t="s">
        <v>1518</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1520</v>
      </c>
      <c r="H13" s="2388"/>
      <c r="I13" s="2404" t="str">
        <f>COVER!T25</f>
        <v>john.wysocki@cpagwa.com</v>
      </c>
      <c r="J13" s="2405"/>
      <c r="K13" s="2405"/>
      <c r="L13" s="2406"/>
    </row>
    <row r="14" spans="1:29" ht="13.5" customHeight="1" x14ac:dyDescent="0.2">
      <c r="A14" s="2392" t="str">
        <f>COVER!A19</f>
        <v>202 S Halsted St</v>
      </c>
      <c r="B14" s="2393"/>
      <c r="C14" s="2393"/>
      <c r="D14" s="2393"/>
      <c r="E14" s="2393"/>
      <c r="F14" s="2394"/>
      <c r="G14" s="1195" t="s">
        <v>1185</v>
      </c>
      <c r="H14" s="1193"/>
      <c r="I14" s="1193"/>
      <c r="J14" s="1193"/>
      <c r="K14" s="1193"/>
      <c r="L14" s="1194"/>
    </row>
    <row r="15" spans="1:29" ht="13.5" customHeight="1" x14ac:dyDescent="0.2">
      <c r="A15" s="2392" t="str">
        <f>COVER!A21</f>
        <v>Chicago Heights</v>
      </c>
      <c r="B15" s="2393"/>
      <c r="C15" s="2393"/>
      <c r="D15" s="2393"/>
      <c r="E15" s="2393"/>
      <c r="F15" s="2394"/>
      <c r="G15" s="2389" t="str">
        <f>COVER!T15</f>
        <v>John Wysocki, CPA</v>
      </c>
      <c r="H15" s="2390"/>
      <c r="I15" s="2390"/>
      <c r="J15" s="2390"/>
      <c r="K15" s="2390"/>
      <c r="L15" s="2391"/>
    </row>
    <row r="16" spans="1:29" ht="12.2" customHeight="1" x14ac:dyDescent="0.2">
      <c r="A16" s="2414">
        <f>COVER!A25</f>
        <v>60411</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1184</v>
      </c>
      <c r="H17" s="1193"/>
      <c r="I17" s="1193"/>
      <c r="J17" s="1193"/>
      <c r="K17" s="1197" t="s">
        <v>1183</v>
      </c>
      <c r="L17" s="1190"/>
      <c r="M17" s="1183"/>
    </row>
    <row r="18" spans="1:13" ht="12.2" customHeight="1" x14ac:dyDescent="0.2">
      <c r="A18" s="2398"/>
      <c r="B18" s="2399"/>
      <c r="C18" s="2399"/>
      <c r="D18" s="2399"/>
      <c r="E18" s="2399"/>
      <c r="F18" s="2400"/>
      <c r="G18" s="2408" t="str">
        <f>COVER!T21</f>
        <v>(708)755-8182</v>
      </c>
      <c r="H18" s="2409"/>
      <c r="I18" s="2409"/>
      <c r="J18" s="2409"/>
      <c r="K18" s="2408" t="str">
        <f>COVER!X21</f>
        <v>(708)755-8326</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2067</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2067</v>
      </c>
      <c r="C26" s="1202" t="s">
        <v>1699</v>
      </c>
    </row>
    <row r="27" spans="1:13" s="1198" customFormat="1" ht="9" customHeight="1" x14ac:dyDescent="0.2">
      <c r="B27" s="1203"/>
      <c r="C27" s="1202"/>
    </row>
    <row r="28" spans="1:13" s="1198" customFormat="1" ht="12.2" customHeight="1" x14ac:dyDescent="0.2">
      <c r="A28" s="1205"/>
      <c r="B28" s="1201" t="s">
        <v>2067</v>
      </c>
      <c r="C28" s="1202" t="s">
        <v>1700</v>
      </c>
    </row>
    <row r="29" spans="1:13" s="1198" customFormat="1" ht="9" customHeight="1" x14ac:dyDescent="0.2">
      <c r="A29" s="1205"/>
      <c r="B29" s="1203"/>
      <c r="C29" s="1202"/>
    </row>
    <row r="30" spans="1:13" s="1198" customFormat="1" ht="12.2" customHeight="1" x14ac:dyDescent="0.2">
      <c r="B30" s="1201" t="s">
        <v>2067</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2067</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2067</v>
      </c>
      <c r="C38" s="1202" t="s">
        <v>1566</v>
      </c>
    </row>
    <row r="39" spans="1:8" ht="9" customHeight="1" x14ac:dyDescent="0.2">
      <c r="B39" s="1203"/>
      <c r="C39" s="1206"/>
    </row>
    <row r="40" spans="1:8" s="1198" customFormat="1" ht="13.5" customHeight="1" x14ac:dyDescent="0.2">
      <c r="B40" s="1201" t="s">
        <v>2067</v>
      </c>
      <c r="C40" s="1202" t="s">
        <v>1567</v>
      </c>
    </row>
    <row r="41" spans="1:8" ht="9" customHeight="1" x14ac:dyDescent="0.2">
      <c r="A41" s="1207"/>
      <c r="B41" s="1203"/>
      <c r="C41" s="1206"/>
    </row>
    <row r="42" spans="1:8" s="1198" customFormat="1" ht="13.5" customHeight="1" x14ac:dyDescent="0.2">
      <c r="B42" s="1201" t="s">
        <v>2067</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t="s">
        <v>2067</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Career Preparation Network</v>
      </c>
      <c r="B1" s="2407"/>
      <c r="C1" s="2407"/>
      <c r="D1" s="2407"/>
    </row>
    <row r="2" spans="1:11" s="1212" customFormat="1" ht="12.75" x14ac:dyDescent="0.2">
      <c r="A2" s="2431">
        <f>'Single Audit Cover'!E7</f>
        <v>7016790045</v>
      </c>
      <c r="B2" s="2432"/>
      <c r="C2" s="2432"/>
      <c r="D2" s="2432"/>
    </row>
    <row r="3" spans="1:11" s="1212" customFormat="1" ht="12.75" x14ac:dyDescent="0.2">
      <c r="A3" s="2430" t="s">
        <v>1513</v>
      </c>
      <c r="B3" s="2407"/>
      <c r="C3" s="2407"/>
      <c r="D3" s="240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Career Preparation Network</v>
      </c>
      <c r="B1" s="2434"/>
      <c r="C1" s="2434"/>
      <c r="D1" s="2434"/>
      <c r="E1" s="2434"/>
    </row>
    <row r="2" spans="1:5" x14ac:dyDescent="0.2">
      <c r="A2" s="2435">
        <f>'Single Audit Cover'!E7</f>
        <v>7016790045</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4000</v>
      </c>
    </row>
    <row r="11" spans="1:5" ht="18" customHeight="1" x14ac:dyDescent="0.2">
      <c r="A11" s="1258" t="s">
        <v>1240</v>
      </c>
      <c r="B11" s="1259"/>
      <c r="C11" s="1259"/>
    </row>
    <row r="12" spans="1:5" x14ac:dyDescent="0.2">
      <c r="A12" s="1258" t="s">
        <v>1239</v>
      </c>
      <c r="B12" s="1259" t="s">
        <v>1238</v>
      </c>
      <c r="C12" s="1259"/>
      <c r="D12" s="1261">
        <f>SUM('Revenues 9-14'!C112:D112,'Revenues 9-14'!F112:G112)</f>
        <v>629330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0</v>
      </c>
    </row>
    <row r="19" spans="1:4" ht="13.5" thickBot="1" x14ac:dyDescent="0.25">
      <c r="A19" s="1262" t="s">
        <v>1235</v>
      </c>
      <c r="D19" s="1263">
        <f>SUM(D10:D17)</f>
        <v>633330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633330</v>
      </c>
    </row>
    <row r="33" spans="1:4" x14ac:dyDescent="0.2">
      <c r="D33" s="1266"/>
    </row>
    <row r="34" spans="1:4" x14ac:dyDescent="0.2">
      <c r="A34" s="317" t="s">
        <v>1232</v>
      </c>
    </row>
    <row r="35" spans="1:4" x14ac:dyDescent="0.2">
      <c r="A35" s="317" t="s">
        <v>1231</v>
      </c>
      <c r="B35" s="1255" t="s">
        <v>1230</v>
      </c>
      <c r="D35" s="1267">
        <f>' SEFA'!F16</f>
        <v>633330</v>
      </c>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633330</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topLeftCell="A4" zoomScaleNormal="100" workbookViewId="0">
      <selection activeCell="J13" sqref="J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Career Preparation Network</v>
      </c>
      <c r="C1" s="2438"/>
      <c r="D1" s="2438"/>
      <c r="E1" s="2438"/>
      <c r="F1" s="2438"/>
      <c r="G1" s="2438"/>
      <c r="H1" s="2438"/>
      <c r="I1" s="2438"/>
      <c r="J1" s="2438"/>
      <c r="K1" s="2438"/>
      <c r="L1" s="2438"/>
      <c r="M1" s="2438"/>
    </row>
    <row r="2" spans="2:14" ht="15" x14ac:dyDescent="0.2">
      <c r="B2" s="2439">
        <f>'Single Audit Cover'!E7</f>
        <v>7016790045</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40.5" customHeight="1" x14ac:dyDescent="0.2">
      <c r="B11" s="1943" t="s">
        <v>2099</v>
      </c>
      <c r="C11" s="1335"/>
      <c r="D11" s="1336"/>
      <c r="E11" s="1337"/>
      <c r="F11" s="1337"/>
      <c r="G11" s="1337"/>
      <c r="H11" s="1337"/>
      <c r="I11" s="1337"/>
      <c r="J11" s="1337"/>
      <c r="K11" s="1337"/>
      <c r="L11" s="1337"/>
      <c r="M11" s="1337"/>
    </row>
    <row r="12" spans="2:14" ht="20.100000000000001" customHeight="1" x14ac:dyDescent="0.2">
      <c r="B12" s="1334" t="s">
        <v>2100</v>
      </c>
      <c r="C12" s="1338">
        <v>84.048000000000002</v>
      </c>
      <c r="D12" s="1339" t="s">
        <v>2101</v>
      </c>
      <c r="E12" s="1340">
        <v>0</v>
      </c>
      <c r="F12" s="1340">
        <v>427725</v>
      </c>
      <c r="G12" s="1340">
        <v>0</v>
      </c>
      <c r="H12" s="1340">
        <v>0</v>
      </c>
      <c r="I12" s="1340">
        <v>427725</v>
      </c>
      <c r="J12" s="1340">
        <v>423725</v>
      </c>
      <c r="K12" s="1340">
        <v>0</v>
      </c>
      <c r="L12" s="1337">
        <f t="shared" ref="L12:L13" si="0">+G12+I12+K12</f>
        <v>427725</v>
      </c>
      <c r="M12" s="1340">
        <v>498571</v>
      </c>
    </row>
    <row r="13" spans="2:14" ht="20.100000000000001" customHeight="1" x14ac:dyDescent="0.2">
      <c r="B13" s="1334" t="s">
        <v>2102</v>
      </c>
      <c r="C13" s="1338">
        <v>84.048000000000002</v>
      </c>
      <c r="D13" s="1339" t="s">
        <v>2103</v>
      </c>
      <c r="E13" s="1340">
        <f>498048-205605</f>
        <v>292443</v>
      </c>
      <c r="F13" s="1340">
        <v>205605</v>
      </c>
      <c r="G13" s="1340">
        <v>292443</v>
      </c>
      <c r="H13" s="1340">
        <v>292443</v>
      </c>
      <c r="I13" s="1340">
        <v>205605</v>
      </c>
      <c r="J13" s="1340">
        <v>205605</v>
      </c>
      <c r="K13" s="1340">
        <v>0</v>
      </c>
      <c r="L13" s="1337">
        <f t="shared" si="0"/>
        <v>498048</v>
      </c>
      <c r="M13" s="1340">
        <v>498048</v>
      </c>
    </row>
    <row r="14" spans="2:14" ht="43.5" customHeight="1" x14ac:dyDescent="0.2">
      <c r="B14" s="1943" t="s">
        <v>2104</v>
      </c>
      <c r="C14" s="1338"/>
      <c r="D14" s="1339"/>
      <c r="E14" s="1340">
        <f>E12+E13</f>
        <v>292443</v>
      </c>
      <c r="F14" s="1340">
        <f t="shared" ref="F14:M14" si="1">F12+F13</f>
        <v>633330</v>
      </c>
      <c r="G14" s="1340">
        <f t="shared" si="1"/>
        <v>292443</v>
      </c>
      <c r="H14" s="1340">
        <f t="shared" si="1"/>
        <v>292443</v>
      </c>
      <c r="I14" s="1340">
        <f t="shared" si="1"/>
        <v>633330</v>
      </c>
      <c r="J14" s="1340">
        <f t="shared" si="1"/>
        <v>629330</v>
      </c>
      <c r="K14" s="1340">
        <f t="shared" si="1"/>
        <v>0</v>
      </c>
      <c r="L14" s="1340">
        <f t="shared" si="1"/>
        <v>925773</v>
      </c>
      <c r="M14" s="1340">
        <f t="shared" si="1"/>
        <v>996619</v>
      </c>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943" t="s">
        <v>2105</v>
      </c>
      <c r="C16" s="1338"/>
      <c r="D16" s="1339"/>
      <c r="E16" s="1340">
        <f>E14</f>
        <v>292443</v>
      </c>
      <c r="F16" s="1340">
        <f t="shared" ref="F16:M16" si="2">F14</f>
        <v>633330</v>
      </c>
      <c r="G16" s="1340">
        <f t="shared" si="2"/>
        <v>292443</v>
      </c>
      <c r="H16" s="1340">
        <f t="shared" si="2"/>
        <v>292443</v>
      </c>
      <c r="I16" s="1340">
        <f t="shared" si="2"/>
        <v>633330</v>
      </c>
      <c r="J16" s="1340">
        <f t="shared" si="2"/>
        <v>629330</v>
      </c>
      <c r="K16" s="1340">
        <f t="shared" si="2"/>
        <v>0</v>
      </c>
      <c r="L16" s="1340">
        <f t="shared" si="2"/>
        <v>925773</v>
      </c>
      <c r="M16" s="1340">
        <f t="shared" si="2"/>
        <v>996619</v>
      </c>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zoomScale="120" zoomScaleNormal="120" workbookViewId="0">
      <selection activeCell="I34" sqref="I3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Career Preparation Network</v>
      </c>
      <c r="B1" s="2451"/>
      <c r="C1" s="2451"/>
      <c r="D1" s="2451"/>
      <c r="E1" s="2451"/>
      <c r="F1" s="2451"/>
    </row>
    <row r="2" spans="1:7" ht="13.5" customHeight="1" x14ac:dyDescent="0.2">
      <c r="A2" s="2439">
        <f>'Single Audit Cover'!E7</f>
        <v>7016790045</v>
      </c>
      <c r="B2" s="2439"/>
      <c r="C2" s="2439"/>
      <c r="D2" s="2439"/>
      <c r="E2" s="2439"/>
      <c r="F2" s="2439"/>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2106</v>
      </c>
      <c r="B7" s="2450"/>
      <c r="C7" s="2450"/>
      <c r="D7" s="2450"/>
      <c r="E7" s="2450"/>
      <c r="F7" s="245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t="s">
        <v>2067</v>
      </c>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0" t="s">
        <v>2107</v>
      </c>
      <c r="B13" s="2450"/>
      <c r="C13" s="2450"/>
      <c r="D13" s="2450"/>
      <c r="E13" s="2450"/>
      <c r="F13" s="2450"/>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t="s">
        <v>2108</v>
      </c>
      <c r="B17" s="1281"/>
      <c r="C17" s="1282">
        <v>84.048000000000002</v>
      </c>
      <c r="D17" s="2443">
        <f>56441+5103</f>
        <v>61544</v>
      </c>
      <c r="E17" s="2443"/>
      <c r="F17" s="2443"/>
    </row>
    <row r="18" spans="1:6" ht="20.65" customHeight="1" x14ac:dyDescent="0.2">
      <c r="A18" s="1280" t="s">
        <v>2109</v>
      </c>
      <c r="B18" s="1281"/>
      <c r="C18" s="1282">
        <v>84.048000000000002</v>
      </c>
      <c r="D18" s="2443">
        <f>181085+181075</f>
        <v>362160</v>
      </c>
      <c r="E18" s="2443"/>
      <c r="F18" s="2443"/>
    </row>
    <row r="19" spans="1:6" ht="20.65" customHeight="1" x14ac:dyDescent="0.2">
      <c r="A19" s="1280" t="s">
        <v>2110</v>
      </c>
      <c r="B19" s="1281"/>
      <c r="C19" s="1282">
        <v>84.048000000000002</v>
      </c>
      <c r="D19" s="2443">
        <f>137529+19427</f>
        <v>156956</v>
      </c>
      <c r="E19" s="2443"/>
      <c r="F19" s="2443"/>
    </row>
    <row r="20" spans="1:6" ht="20.65" customHeight="1" x14ac:dyDescent="0.2">
      <c r="A20" s="1280" t="s">
        <v>2111</v>
      </c>
      <c r="B20" s="1281"/>
      <c r="C20" s="1282">
        <v>84.048000000000002</v>
      </c>
      <c r="D20" s="2443">
        <v>48670</v>
      </c>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t="s">
        <v>2112</v>
      </c>
      <c r="B29" s="1281"/>
      <c r="C29" s="1282"/>
      <c r="D29" s="2443">
        <f>SUM(D17:F20)</f>
        <v>629330</v>
      </c>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2113</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10"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2080</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t="s">
        <v>2123</v>
      </c>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topLeftCell="A37" zoomScale="110" zoomScaleNormal="110" workbookViewId="0">
      <selection activeCell="E16" sqref="E1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Career Preparation Network</v>
      </c>
      <c r="C1" s="2466"/>
      <c r="D1" s="2466"/>
      <c r="E1" s="2466"/>
      <c r="F1" s="2466"/>
      <c r="G1" s="2466"/>
      <c r="H1" s="2466"/>
      <c r="I1" s="2466"/>
      <c r="J1" s="1406"/>
    </row>
    <row r="2" spans="2:10" s="317" customFormat="1" ht="12.75" customHeight="1" x14ac:dyDescent="0.2">
      <c r="B2" s="2467">
        <f>'Single Audit Cover'!E7</f>
        <v>7016790045</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t="s">
        <v>1164</v>
      </c>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2067</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2067</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2067</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2067</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2067</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t="s">
        <v>2095</v>
      </c>
      <c r="E29" s="2472"/>
      <c r="F29" s="2472"/>
      <c r="G29" s="2472"/>
      <c r="H29" s="2472"/>
      <c r="I29" s="2472"/>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2067</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3" t="s">
        <v>1748</v>
      </c>
      <c r="D37" s="2474"/>
      <c r="E37" s="2474"/>
      <c r="F37" s="2475"/>
      <c r="G37" s="2473" t="s">
        <v>1592</v>
      </c>
      <c r="H37" s="2474"/>
      <c r="I37" s="2475"/>
    </row>
    <row r="38" spans="2:9" ht="16.5" customHeight="1" x14ac:dyDescent="0.2">
      <c r="B38" s="1428"/>
      <c r="C38" s="2461" t="s">
        <v>2114</v>
      </c>
      <c r="D38" s="2462"/>
      <c r="E38" s="2462"/>
      <c r="F38" s="2463"/>
      <c r="G38" s="2476"/>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1593</v>
      </c>
      <c r="D43" s="2455"/>
      <c r="E43" s="2455"/>
      <c r="F43" s="2456"/>
      <c r="G43" s="2457">
        <f>SUM(G38:I42)</f>
        <v>0</v>
      </c>
      <c r="H43" s="2457"/>
      <c r="I43" s="2457"/>
    </row>
    <row r="44" spans="2:9" ht="12.75" customHeight="1" x14ac:dyDescent="0.2"/>
    <row r="45" spans="2:9" ht="12.75" customHeight="1" x14ac:dyDescent="0.2">
      <c r="B45" s="1419" t="s">
        <v>2059</v>
      </c>
      <c r="D45" s="2458">
        <v>0</v>
      </c>
      <c r="E45" s="245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0"/>
      <c r="F49" s="2460"/>
      <c r="G49" s="246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O32" sqref="O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Career Preparation Network</v>
      </c>
      <c r="C1" s="2465"/>
      <c r="D1" s="2465"/>
      <c r="E1" s="2465"/>
      <c r="F1" s="2465"/>
      <c r="G1" s="2465"/>
      <c r="H1" s="2465"/>
      <c r="I1" s="2465"/>
      <c r="J1" s="2465"/>
      <c r="K1" s="2465"/>
      <c r="L1" s="1371"/>
      <c r="M1" s="1371"/>
    </row>
    <row r="2" spans="1:13" ht="12" customHeight="1" x14ac:dyDescent="0.2">
      <c r="B2" s="2467">
        <f>'Single Audit Cover'!E7</f>
        <v>7016790045</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1295</v>
      </c>
      <c r="G10" s="1385"/>
      <c r="H10" s="1386" t="s">
        <v>1294</v>
      </c>
      <c r="I10" s="1385" t="s">
        <v>2067</v>
      </c>
      <c r="J10" s="1387" t="s">
        <v>1293</v>
      </c>
      <c r="K10" s="322"/>
      <c r="L10" s="1378"/>
    </row>
    <row r="11" spans="1:13" ht="13.5" customHeight="1" x14ac:dyDescent="0.2">
      <c r="B11" s="322"/>
      <c r="C11" s="322"/>
      <c r="D11" s="322"/>
      <c r="E11" s="322"/>
      <c r="F11" s="322"/>
      <c r="G11" s="1380"/>
      <c r="H11" s="322"/>
      <c r="I11" s="1388" t="s">
        <v>1292</v>
      </c>
      <c r="J11" s="322"/>
      <c r="K11" s="1389">
        <v>2009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57" customHeight="1" x14ac:dyDescent="0.2">
      <c r="B14" s="2480" t="s">
        <v>2115</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2116</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4" t="s">
        <v>2117</v>
      </c>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2118</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t="s">
        <v>2117</v>
      </c>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t="s">
        <v>2119</v>
      </c>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122.25" customHeight="1" x14ac:dyDescent="0.2">
      <c r="B32" s="2479" t="s">
        <v>2120</v>
      </c>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7:K17"/>
    <mergeCell ref="B20:K20"/>
    <mergeCell ref="B23:K23"/>
    <mergeCell ref="B26:K26"/>
    <mergeCell ref="B29:K29"/>
    <mergeCell ref="B14:K14"/>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O16" sqref="O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Career Preparation Network</v>
      </c>
      <c r="C1" s="2488"/>
      <c r="D1" s="2488"/>
      <c r="E1" s="2488"/>
      <c r="F1" s="2488"/>
      <c r="G1" s="2488"/>
      <c r="H1" s="2488"/>
      <c r="I1" s="2488"/>
      <c r="J1" s="2488"/>
      <c r="K1" s="2488"/>
      <c r="L1" s="1449"/>
    </row>
    <row r="2" spans="1:12" ht="12.75" customHeight="1" x14ac:dyDescent="0.2">
      <c r="B2" s="2489">
        <f>'Single Audit Cover'!E7</f>
        <v>7016790045</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2095</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C7" sqref="C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Career Preparation Network</v>
      </c>
      <c r="C1" s="2465"/>
      <c r="D1" s="2465"/>
      <c r="E1" s="1469"/>
    </row>
    <row r="2" spans="2:5" s="1279" customFormat="1" ht="12.75" customHeight="1" x14ac:dyDescent="0.2">
      <c r="B2" s="2467">
        <f>'Single Audit Cover'!E7</f>
        <v>7016790045</v>
      </c>
      <c r="C2" s="2467"/>
      <c r="D2" s="2467"/>
      <c r="E2" s="1470"/>
    </row>
    <row r="3" spans="2:5" ht="12.75" customHeight="1" x14ac:dyDescent="0.2">
      <c r="B3" s="2481" t="s">
        <v>1763</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291" customHeight="1" x14ac:dyDescent="0.2">
      <c r="B7" s="1944" t="s">
        <v>2121</v>
      </c>
      <c r="C7" s="1945" t="s">
        <v>2116</v>
      </c>
      <c r="D7" s="1945" t="s">
        <v>2122</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6" colorId="8" zoomScale="110" zoomScaleNormal="110" workbookViewId="0">
      <selection activeCell="L15" sqref="L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v>
      </c>
      <c r="E10" s="356" t="s">
        <v>1005</v>
      </c>
      <c r="F10" s="355">
        <v>0</v>
      </c>
      <c r="G10" s="356" t="s">
        <v>1005</v>
      </c>
      <c r="H10" s="355">
        <v>0</v>
      </c>
      <c r="I10" s="356" t="s">
        <v>1006</v>
      </c>
      <c r="J10" s="1732">
        <f>ROUND(D10+F10+H10,5)</f>
        <v>0</v>
      </c>
      <c r="K10" s="222"/>
      <c r="L10" s="355">
        <v>0</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1125605</v>
      </c>
      <c r="E16" s="356"/>
      <c r="F16" s="1733">
        <f>SUM('Acct Summary 7-8'!C17,'Acct Summary 7-8'!D17,'Acct Summary 7-8'!F17)</f>
        <v>1192024</v>
      </c>
      <c r="G16" s="356"/>
      <c r="H16" s="1733">
        <f>SUM(D16-F16)</f>
        <v>-66419</v>
      </c>
      <c r="I16" s="222"/>
      <c r="J16" s="1733">
        <f>SUM('Acct Summary 7-8'!C81,'Acct Summary 7-8'!D81,'Acct Summary 7-8'!F81,'Acct Summary 7-8'!I81)</f>
        <v>216845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3"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Career Preparation Network</v>
      </c>
      <c r="E7" s="391"/>
      <c r="G7" s="252"/>
      <c r="H7" s="387"/>
      <c r="I7" s="387"/>
      <c r="J7" s="387"/>
      <c r="K7" s="387"/>
      <c r="L7" s="329"/>
      <c r="M7" s="329"/>
      <c r="N7" s="329"/>
      <c r="O7" s="329"/>
      <c r="P7" s="329"/>
    </row>
    <row r="8" spans="1:18" ht="12.75" x14ac:dyDescent="0.2">
      <c r="A8" s="329"/>
      <c r="B8" s="329"/>
      <c r="C8" s="389" t="s">
        <v>1125</v>
      </c>
      <c r="D8" s="392">
        <f>COVER!A13</f>
        <v>7016790045</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216845</v>
      </c>
      <c r="I12" s="404"/>
      <c r="J12" s="404"/>
      <c r="K12" s="405">
        <f>TRUNC((H12/H13*100000),5)/100000</f>
        <v>0.19264750950000001</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1125605</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1192024</v>
      </c>
      <c r="I17" s="404"/>
      <c r="J17" s="416"/>
      <c r="K17" s="405">
        <f>TRUNC((H17/H18*100000),5)/100000</f>
        <v>1.0590073782</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1125605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1.5701004000000001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216845</v>
      </c>
      <c r="I24" s="422"/>
      <c r="J24" s="422"/>
      <c r="K24" s="423">
        <f>TRUNC(((H24/H25*100000)/100000),2)</f>
        <v>65.48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3311.17778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3" activePane="bottomLeft" state="frozen"/>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c r="D4" s="466"/>
      <c r="E4" s="466"/>
      <c r="F4" s="466"/>
      <c r="G4" s="466"/>
      <c r="H4" s="466"/>
      <c r="I4" s="466"/>
      <c r="J4" s="467"/>
      <c r="K4" s="466"/>
      <c r="L4" s="466"/>
      <c r="M4" s="468"/>
      <c r="N4" s="469"/>
    </row>
    <row r="5" spans="1:14" x14ac:dyDescent="0.2">
      <c r="A5" s="463" t="s">
        <v>992</v>
      </c>
      <c r="B5" s="470">
        <v>120</v>
      </c>
      <c r="C5" s="465">
        <v>216845</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216845</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2396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2396</v>
      </c>
      <c r="N23" s="1688">
        <f>SUM(N21:N22)</f>
        <v>0</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v>0</v>
      </c>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0</v>
      </c>
      <c r="D30" s="474"/>
      <c r="E30" s="467"/>
      <c r="F30" s="467"/>
      <c r="G30" s="467"/>
      <c r="H30" s="467"/>
      <c r="I30" s="467"/>
      <c r="J30" s="467"/>
      <c r="K30" s="478"/>
      <c r="L30" s="468"/>
      <c r="M30" s="468"/>
      <c r="N30" s="468"/>
    </row>
    <row r="31" spans="1:14" ht="13.5" customHeight="1" x14ac:dyDescent="0.2">
      <c r="A31" s="473" t="s">
        <v>651</v>
      </c>
      <c r="B31" s="470">
        <v>480</v>
      </c>
      <c r="C31" s="466">
        <v>0</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f>'Acct Summary 7-8'!C81</f>
        <v>216845</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2396</v>
      </c>
      <c r="N40" s="497"/>
    </row>
    <row r="41" spans="1:14" ht="13.5" customHeight="1" thickBot="1" x14ac:dyDescent="0.25">
      <c r="A41" s="1736" t="s">
        <v>655</v>
      </c>
      <c r="B41" s="1706"/>
      <c r="C41" s="1688">
        <f>(SUM(C34,C37,C38,C39))</f>
        <v>216845</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2396</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83543</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958582</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79480</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4000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1125605</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1125605</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0</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166775</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1025249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1192024</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1192024</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31" t="s">
        <v>1655</v>
      </c>
      <c r="B20" s="2132"/>
      <c r="C20" s="1746">
        <f>C8-C17</f>
        <v>-66419</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5" t="s">
        <v>374</v>
      </c>
      <c r="B44" s="2146"/>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1" t="s">
        <v>440</v>
      </c>
      <c r="B76" s="2122"/>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1177</v>
      </c>
      <c r="B77" s="2124"/>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7" t="s">
        <v>597</v>
      </c>
      <c r="B78" s="2128"/>
      <c r="C78" s="1702">
        <f t="shared" ref="C78:K78" si="9">C20+C77</f>
        <v>-66419</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1944</v>
      </c>
      <c r="B79" s="534"/>
      <c r="C79" s="478">
        <v>283264</v>
      </c>
      <c r="D79" s="535"/>
      <c r="E79" s="535"/>
      <c r="F79" s="535"/>
      <c r="G79" s="535"/>
      <c r="H79" s="535"/>
      <c r="I79" s="535"/>
      <c r="J79" s="535"/>
      <c r="K79" s="535"/>
      <c r="L79" s="347"/>
    </row>
    <row r="80" spans="1:12" x14ac:dyDescent="0.2">
      <c r="A80" s="2133" t="s">
        <v>1792</v>
      </c>
      <c r="B80" s="2134"/>
      <c r="C80" s="467"/>
      <c r="D80" s="467"/>
      <c r="E80" s="467"/>
      <c r="F80" s="467"/>
      <c r="G80" s="467"/>
      <c r="H80" s="467"/>
      <c r="I80" s="467"/>
      <c r="J80" s="467"/>
      <c r="K80" s="467"/>
      <c r="L80" s="347"/>
    </row>
    <row r="81" spans="1:12" ht="13.5" thickBot="1" x14ac:dyDescent="0.25">
      <c r="A81" s="2125" t="s">
        <v>1945</v>
      </c>
      <c r="B81" s="2126"/>
      <c r="C81" s="1688">
        <f>(SUM(C78:C80))</f>
        <v>216845</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-66419</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-0.30629712467430653</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07" activePane="bottomLeft" state="frozen"/>
      <selection pane="bottomLeft" activeCell="C220" sqref="C22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1799</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5308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5308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78235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0</v>
      </c>
      <c r="D107" s="466"/>
      <c r="E107" s="466"/>
      <c r="F107" s="466"/>
      <c r="G107" s="466"/>
      <c r="H107" s="466"/>
      <c r="I107" s="466"/>
      <c r="J107" s="467"/>
      <c r="K107" s="466"/>
    </row>
    <row r="108" spans="1:12" ht="12.75" customHeight="1" thickBot="1" x14ac:dyDescent="0.25">
      <c r="A108" s="1708" t="s">
        <v>487</v>
      </c>
      <c r="B108" s="1712"/>
      <c r="C108" s="1707">
        <f>SUM(C95:C107)</f>
        <v>78235</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83543</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329252</v>
      </c>
      <c r="D111" s="481"/>
      <c r="E111" s="561"/>
      <c r="F111" s="481"/>
      <c r="G111" s="481"/>
      <c r="H111" s="561"/>
      <c r="I111" s="468"/>
      <c r="J111" s="468"/>
      <c r="K111" s="468"/>
    </row>
    <row r="112" spans="1:12" ht="12.75" customHeight="1" x14ac:dyDescent="0.2">
      <c r="A112" s="463" t="s">
        <v>824</v>
      </c>
      <c r="B112" s="470">
        <v>2200</v>
      </c>
      <c r="C112" s="551">
        <v>629330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958582</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f>408732-C111</f>
        <v>79480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79480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79480</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79480</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1800</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c r="E219" s="468"/>
      <c r="F219" s="468"/>
      <c r="G219" s="466"/>
      <c r="H219" s="468"/>
      <c r="I219" s="468"/>
      <c r="J219" s="468"/>
      <c r="K219" s="468"/>
    </row>
    <row r="220" spans="1:11" ht="12.75" customHeight="1" x14ac:dyDescent="0.2">
      <c r="A220" s="463" t="s">
        <v>67</v>
      </c>
      <c r="B220" s="470">
        <v>4799</v>
      </c>
      <c r="C220" s="551">
        <v>4000</v>
      </c>
      <c r="D220" s="466"/>
      <c r="E220" s="468"/>
      <c r="F220" s="468"/>
      <c r="G220" s="466"/>
      <c r="H220" s="468"/>
      <c r="I220" s="468"/>
      <c r="J220" s="468"/>
      <c r="K220" s="468"/>
    </row>
    <row r="221" spans="1:11" ht="12.75" customHeight="1" thickBot="1" x14ac:dyDescent="0.25">
      <c r="A221" s="1723" t="s">
        <v>1085</v>
      </c>
      <c r="B221" s="1724"/>
      <c r="C221" s="1707">
        <f>SUM(C219:C220)</f>
        <v>4000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4000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4000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1125605</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45" activePane="bottomLeft" state="frozen"/>
      <selection pane="bottomLeft" activeCell="L81" sqref="L8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0</v>
      </c>
      <c r="F33" s="1670">
        <f t="shared" si="1"/>
        <v>0</v>
      </c>
      <c r="G33" s="1670">
        <f t="shared" si="1"/>
        <v>0</v>
      </c>
      <c r="H33" s="1670">
        <f t="shared" si="1"/>
        <v>0</v>
      </c>
      <c r="I33" s="1670">
        <f t="shared" si="1"/>
        <v>0</v>
      </c>
      <c r="J33" s="1670">
        <f t="shared" si="1"/>
        <v>0</v>
      </c>
      <c r="K33" s="1670">
        <f t="shared" si="1"/>
        <v>0</v>
      </c>
      <c r="L33" s="1670">
        <f t="shared" si="1"/>
        <v>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0</v>
      </c>
      <c r="D44" s="481">
        <v>0</v>
      </c>
      <c r="E44" s="481"/>
      <c r="F44" s="481"/>
      <c r="G44" s="481"/>
      <c r="H44" s="481"/>
      <c r="I44" s="467"/>
      <c r="J44" s="467"/>
      <c r="K44" s="1672">
        <f>SUM(C44:J44)</f>
        <v>0</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116881</v>
      </c>
      <c r="D51" s="466">
        <f>13621+16119</f>
        <v>29740</v>
      </c>
      <c r="E51" s="466">
        <v>15166</v>
      </c>
      <c r="F51" s="466">
        <v>718</v>
      </c>
      <c r="G51" s="466">
        <v>0</v>
      </c>
      <c r="H51" s="466">
        <v>270</v>
      </c>
      <c r="I51" s="467"/>
      <c r="J51" s="467"/>
      <c r="K51" s="1672">
        <f>SUM(C51:J51)</f>
        <v>162775</v>
      </c>
      <c r="L51" s="466">
        <v>159633</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116881</v>
      </c>
      <c r="D53" s="1670">
        <f t="shared" ref="D53:L53" si="5">SUM(D49:D52)</f>
        <v>29740</v>
      </c>
      <c r="E53" s="1670">
        <f t="shared" si="5"/>
        <v>15166</v>
      </c>
      <c r="F53" s="1670">
        <f t="shared" si="5"/>
        <v>718</v>
      </c>
      <c r="G53" s="1670">
        <f t="shared" si="5"/>
        <v>0</v>
      </c>
      <c r="H53" s="1670">
        <f t="shared" si="5"/>
        <v>270</v>
      </c>
      <c r="I53" s="1670">
        <f t="shared" si="5"/>
        <v>0</v>
      </c>
      <c r="J53" s="1670">
        <f t="shared" si="5"/>
        <v>0</v>
      </c>
      <c r="K53" s="1670">
        <f t="shared" si="5"/>
        <v>162775</v>
      </c>
      <c r="L53" s="1670">
        <f t="shared" si="5"/>
        <v>159633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v>4000</v>
      </c>
      <c r="F61" s="466"/>
      <c r="G61" s="466"/>
      <c r="H61" s="466"/>
      <c r="I61" s="467"/>
      <c r="J61" s="467"/>
      <c r="K61" s="1672">
        <f t="shared" si="7"/>
        <v>4000</v>
      </c>
      <c r="L61" s="466">
        <v>4000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4000</v>
      </c>
      <c r="F65" s="1670">
        <f t="shared" si="8"/>
        <v>0</v>
      </c>
      <c r="G65" s="1670">
        <f t="shared" si="8"/>
        <v>0</v>
      </c>
      <c r="H65" s="1670">
        <f t="shared" si="8"/>
        <v>0</v>
      </c>
      <c r="I65" s="1670">
        <f t="shared" si="8"/>
        <v>0</v>
      </c>
      <c r="J65" s="1670">
        <f t="shared" si="8"/>
        <v>0</v>
      </c>
      <c r="K65" s="1670">
        <f t="shared" si="8"/>
        <v>4000</v>
      </c>
      <c r="L65" s="1670">
        <f t="shared" si="8"/>
        <v>4000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116881</v>
      </c>
      <c r="D74" s="1677">
        <f t="shared" ref="D74:K74" si="10">SUM(D42,D47,D53,D57,D65,D72,D73)</f>
        <v>29740</v>
      </c>
      <c r="E74" s="1677">
        <f t="shared" si="10"/>
        <v>19166</v>
      </c>
      <c r="F74" s="1677">
        <f t="shared" si="10"/>
        <v>718</v>
      </c>
      <c r="G74" s="1677">
        <f t="shared" si="10"/>
        <v>0</v>
      </c>
      <c r="H74" s="1677">
        <f t="shared" si="10"/>
        <v>270</v>
      </c>
      <c r="I74" s="1677">
        <f t="shared" si="10"/>
        <v>0</v>
      </c>
      <c r="J74" s="1677">
        <f t="shared" si="10"/>
        <v>0</v>
      </c>
      <c r="K74" s="1677">
        <f t="shared" si="10"/>
        <v>166775</v>
      </c>
      <c r="L74" s="1677">
        <f>SUM(L42,L47,L53,L57,L65,L72,L73)</f>
        <v>163633</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22130</v>
      </c>
      <c r="F81" s="616"/>
      <c r="G81" s="616"/>
      <c r="H81" s="466">
        <v>1003119</v>
      </c>
      <c r="I81" s="477"/>
      <c r="J81" s="477"/>
      <c r="K81" s="1671">
        <f t="shared" si="11"/>
        <v>1025249</v>
      </c>
      <c r="L81" s="466">
        <v>1100359</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22130</v>
      </c>
      <c r="F84" s="616"/>
      <c r="G84" s="616"/>
      <c r="H84" s="1670">
        <f>SUM(H78:H83)</f>
        <v>1003119</v>
      </c>
      <c r="I84" s="477"/>
      <c r="J84" s="477"/>
      <c r="K84" s="1670">
        <f>SUM(K78:K83)</f>
        <v>1025249</v>
      </c>
      <c r="L84" s="1670">
        <f>SUM(L78:L83)</f>
        <v>1100359</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22130</v>
      </c>
      <c r="F102" s="616"/>
      <c r="G102" s="616"/>
      <c r="H102" s="1677">
        <f>SUM(H84,H92,H100,H101)</f>
        <v>1003119</v>
      </c>
      <c r="I102" s="477"/>
      <c r="J102" s="477"/>
      <c r="K102" s="1677">
        <f>SUM(K84,K92,K100,K101)</f>
        <v>1025249</v>
      </c>
      <c r="L102" s="1677">
        <f>SUM(L84,L92,L100,L101)</f>
        <v>1100359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116881</v>
      </c>
      <c r="D114" s="1670">
        <f t="shared" ref="D114:K114" si="13">SUM(D33,D74,D75,D102,D112,D113)</f>
        <v>29740</v>
      </c>
      <c r="E114" s="1670">
        <f t="shared" si="13"/>
        <v>41296</v>
      </c>
      <c r="F114" s="1670">
        <f t="shared" si="13"/>
        <v>718</v>
      </c>
      <c r="G114" s="1670">
        <f t="shared" si="13"/>
        <v>0</v>
      </c>
      <c r="H114" s="1670">
        <f>SUM(H33,H74,H75,H102,H112,H113)</f>
        <v>1003389</v>
      </c>
      <c r="I114" s="1670">
        <f t="shared" si="13"/>
        <v>0</v>
      </c>
      <c r="J114" s="1670">
        <f t="shared" si="13"/>
        <v>0</v>
      </c>
      <c r="K114" s="1670">
        <f t="shared" si="13"/>
        <v>1192024</v>
      </c>
      <c r="L114" s="1670">
        <f>SUM(L33,L74,L75,L102,L112,L113)</f>
        <v>1263992</v>
      </c>
    </row>
    <row r="115" spans="1:14" ht="13.5" thickTop="1" x14ac:dyDescent="0.2">
      <c r="A115" s="2186" t="s">
        <v>996</v>
      </c>
      <c r="B115" s="2187"/>
      <c r="C115" s="618"/>
      <c r="D115" s="618"/>
      <c r="E115" s="618"/>
      <c r="F115" s="618"/>
      <c r="G115" s="618"/>
      <c r="H115" s="618"/>
      <c r="I115" s="618"/>
      <c r="J115" s="618"/>
      <c r="K115" s="1684">
        <f>'Revenues 9-14'!C268-'Expenditures 15-22'!K114</f>
        <v>-66419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8"/>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9" t="s">
        <v>1178</v>
      </c>
      <c r="B152" s="2180"/>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6" t="s">
        <v>996</v>
      </c>
      <c r="B175" s="2187"/>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6" t="s">
        <v>996</v>
      </c>
      <c r="B211" s="2187"/>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6" t="s">
        <v>996</v>
      </c>
      <c r="B296" s="2187"/>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2" t="s">
        <v>996</v>
      </c>
      <c r="B343" s="2173"/>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6" t="s">
        <v>996</v>
      </c>
      <c r="B368" s="2187"/>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infopath/2007/PartnerControls"/>
    <ds:schemaRef ds:uri="http://schemas.openxmlformats.org/package/2006/metadata/core-properties"/>
    <ds:schemaRef ds:uri="6ce3111e-7420-4802-b50a-75d4e9a0b980"/>
    <ds:schemaRef ds:uri="http://purl.org/dc/terms/"/>
    <ds:schemaRef ds:uri="http://schemas.microsoft.com/office/2006/documentManagement/types"/>
    <ds:schemaRef ds:uri="http://schemas.microsoft.com/sharepoint/v3"/>
    <ds:schemaRef ds:uri="http://purl.org/dc/elements/1.1/"/>
    <ds:schemaRef ds:uri="http://schemas.microsoft.com/office/2006/metadata/properties"/>
    <ds:schemaRef ds:uri="4d435f69-8686-490b-bd6d-b153bf22ab5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2019-10-23T21:04:35Z</cp:lastPrinted>
  <dcterms:created xsi:type="dcterms:W3CDTF">2003-10-29T19:06:34Z</dcterms:created>
  <dcterms:modified xsi:type="dcterms:W3CDTF">2019-12-10T17:07:54Z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1b09cf2f-d1ce-48de-96cf-21ea23d83911</vt:lpwstr>
  </property>
</Properties>
</file>