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DF02C021-FDBE-42B6-BBA1-2526E234343C}" xr6:coauthVersionLast="36" xr6:coauthVersionMax="36" xr10:uidLastSave="{00000000-0000-0000-0000-000000000000}"/>
  <bookViews>
    <workbookView xWindow="-15" yWindow="13650" windowWidth="28830" windowHeight="6450" tabRatio="83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Contracts Paid in CY 29" sheetId="185" r:id="rId14"/>
    <sheet name="PCTC-OEPP 27-28" sheetId="34"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84" r:id="rId29"/>
    <sheet name="SF&amp;QC Sec-1" sheetId="174" r:id="rId30"/>
    <sheet name="SF&amp;QC Sec-2" sheetId="175" r:id="rId31"/>
    <sheet name="SF&amp;QC Sec-3" sheetId="176" r:id="rId32"/>
    <sheet name="SSPAF" sheetId="177" r:id="rId33"/>
  </sheets>
  <definedNames>
    <definedName name="_xlnm.Print_Area" localSheetId="27">' SEFA'!$B$1:$M$133</definedName>
    <definedName name="_xlnm.Print_Area" localSheetId="28">'SEFA NOTES'!$A$1:$F$61</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3">'Contracts Paid in CY 29'!$16:$16</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3" i="183" l="1"/>
  <c r="E17" i="185" l="1"/>
  <c r="F17" i="185"/>
  <c r="G17" i="185" s="1"/>
  <c r="E18" i="185"/>
  <c r="F18" i="185" s="1"/>
  <c r="E19" i="185"/>
  <c r="F19" i="185" s="1"/>
  <c r="G19" i="185" s="1"/>
  <c r="E20" i="185"/>
  <c r="F20" i="185"/>
  <c r="G20" i="185" s="1"/>
  <c r="E21" i="185"/>
  <c r="F21" i="185" s="1"/>
  <c r="G21" i="185" s="1"/>
  <c r="E22" i="185"/>
  <c r="F22" i="185" s="1"/>
  <c r="G22" i="185" s="1"/>
  <c r="E23" i="185"/>
  <c r="F23" i="185" s="1"/>
  <c r="G23" i="185" s="1"/>
  <c r="E24" i="185"/>
  <c r="F24" i="185" s="1"/>
  <c r="G24" i="185" s="1"/>
  <c r="E25" i="185"/>
  <c r="F25" i="185"/>
  <c r="G25" i="185" s="1"/>
  <c r="E26" i="185"/>
  <c r="F26" i="185" s="1"/>
  <c r="G26" i="185" s="1"/>
  <c r="E27" i="185"/>
  <c r="F27" i="185" s="1"/>
  <c r="G27" i="185" s="1"/>
  <c r="E28" i="185"/>
  <c r="F28" i="185" s="1"/>
  <c r="G28" i="185" s="1"/>
  <c r="E29" i="185"/>
  <c r="F29" i="185" s="1"/>
  <c r="G29" i="185" s="1"/>
  <c r="E30" i="185"/>
  <c r="F30" i="185" s="1"/>
  <c r="G30" i="185" s="1"/>
  <c r="E31" i="185"/>
  <c r="F31" i="185" s="1"/>
  <c r="G31" i="185" s="1"/>
  <c r="E32" i="185"/>
  <c r="F32" i="185" s="1"/>
  <c r="G32" i="185" s="1"/>
  <c r="E33" i="185"/>
  <c r="F33" i="185"/>
  <c r="G33" i="185" s="1"/>
  <c r="E34" i="185"/>
  <c r="F34" i="185" s="1"/>
  <c r="G34" i="185" s="1"/>
  <c r="E35" i="185"/>
  <c r="F35" i="185" s="1"/>
  <c r="G35" i="185" s="1"/>
  <c r="E36" i="185"/>
  <c r="F36" i="185" s="1"/>
  <c r="G36" i="185" s="1"/>
  <c r="E37" i="185"/>
  <c r="F37" i="185" s="1"/>
  <c r="G37" i="185" s="1"/>
  <c r="E38" i="185"/>
  <c r="F38" i="185"/>
  <c r="G38" i="185" s="1"/>
  <c r="E39" i="185"/>
  <c r="F39" i="185"/>
  <c r="G39" i="185" s="1"/>
  <c r="E40" i="185"/>
  <c r="F40" i="185"/>
  <c r="G40" i="185" s="1"/>
  <c r="E41" i="185"/>
  <c r="F41" i="185"/>
  <c r="G41" i="185" s="1"/>
  <c r="E42" i="185"/>
  <c r="F42" i="185"/>
  <c r="G42" i="185"/>
  <c r="E43" i="185"/>
  <c r="F43" i="185"/>
  <c r="G43" i="185" s="1"/>
  <c r="E44" i="185"/>
  <c r="F44" i="185"/>
  <c r="G44" i="185" s="1"/>
  <c r="E45" i="185"/>
  <c r="F45" i="185"/>
  <c r="G45" i="185" s="1"/>
  <c r="E46" i="185"/>
  <c r="F46" i="185"/>
  <c r="G46" i="185" s="1"/>
  <c r="E47" i="185"/>
  <c r="F47" i="185"/>
  <c r="G47" i="185" s="1"/>
  <c r="E48" i="185"/>
  <c r="F48" i="185"/>
  <c r="G48" i="185" s="1"/>
  <c r="E49" i="185"/>
  <c r="F49" i="185"/>
  <c r="G49" i="185" s="1"/>
  <c r="E50" i="185"/>
  <c r="F50" i="185"/>
  <c r="G50" i="185"/>
  <c r="E51" i="185"/>
  <c r="F51" i="185"/>
  <c r="G51" i="185" s="1"/>
  <c r="E52" i="185"/>
  <c r="F52" i="185"/>
  <c r="G52" i="185" s="1"/>
  <c r="E53" i="185"/>
  <c r="F53" i="185"/>
  <c r="G53" i="185" s="1"/>
  <c r="E54" i="185"/>
  <c r="F54" i="185"/>
  <c r="G54" i="185" s="1"/>
  <c r="E55" i="185"/>
  <c r="F55" i="185"/>
  <c r="G55" i="185" s="1"/>
  <c r="E56" i="185"/>
  <c r="F56" i="185"/>
  <c r="G56" i="185" s="1"/>
  <c r="E57" i="185"/>
  <c r="F57" i="185"/>
  <c r="G57" i="185" s="1"/>
  <c r="E58" i="185"/>
  <c r="F58" i="185"/>
  <c r="G58" i="185"/>
  <c r="E59" i="185"/>
  <c r="F59" i="185"/>
  <c r="G59" i="185" s="1"/>
  <c r="E60" i="185"/>
  <c r="F60" i="185"/>
  <c r="G60" i="185" s="1"/>
  <c r="E61" i="185"/>
  <c r="F61" i="185"/>
  <c r="G61" i="185" s="1"/>
  <c r="E62" i="185"/>
  <c r="F62" i="185"/>
  <c r="G62" i="185" s="1"/>
  <c r="E63" i="185"/>
  <c r="F63" i="185"/>
  <c r="G63" i="185" s="1"/>
  <c r="E64" i="185"/>
  <c r="F64" i="185"/>
  <c r="G64" i="185" s="1"/>
  <c r="E65" i="185"/>
  <c r="F65" i="185"/>
  <c r="G65" i="185" s="1"/>
  <c r="E66" i="185"/>
  <c r="F66" i="185"/>
  <c r="G66" i="185"/>
  <c r="E67" i="185"/>
  <c r="F67" i="185"/>
  <c r="G67" i="185" s="1"/>
  <c r="E68" i="185"/>
  <c r="F68" i="185"/>
  <c r="G68" i="185" s="1"/>
  <c r="E69" i="185"/>
  <c r="F69" i="185"/>
  <c r="G69" i="185" s="1"/>
  <c r="E70" i="185"/>
  <c r="F70" i="185"/>
  <c r="G70" i="185" s="1"/>
  <c r="E71" i="185"/>
  <c r="F71" i="185"/>
  <c r="G71" i="185" s="1"/>
  <c r="E72" i="185"/>
  <c r="F72" i="185"/>
  <c r="G72" i="185" s="1"/>
  <c r="E73" i="185"/>
  <c r="F73" i="185"/>
  <c r="G73" i="185" s="1"/>
  <c r="E74" i="185"/>
  <c r="F74" i="185"/>
  <c r="G74" i="185"/>
  <c r="E75" i="185"/>
  <c r="F75" i="185"/>
  <c r="G75" i="185" s="1"/>
  <c r="E76" i="185"/>
  <c r="F76" i="185"/>
  <c r="G76" i="185" s="1"/>
  <c r="E77" i="185"/>
  <c r="F77" i="185"/>
  <c r="G77" i="185" s="1"/>
  <c r="E78" i="185"/>
  <c r="F78" i="185"/>
  <c r="G78" i="185" s="1"/>
  <c r="E79" i="185"/>
  <c r="F79" i="185"/>
  <c r="G79" i="185" s="1"/>
  <c r="E80" i="185"/>
  <c r="F80" i="185"/>
  <c r="G80" i="185" s="1"/>
  <c r="E81" i="185"/>
  <c r="F81" i="185"/>
  <c r="G81" i="185" s="1"/>
  <c r="E82" i="185"/>
  <c r="F82" i="185"/>
  <c r="G82" i="185"/>
  <c r="E83" i="185"/>
  <c r="F83" i="185"/>
  <c r="G83" i="185" s="1"/>
  <c r="E84" i="185"/>
  <c r="F84" i="185"/>
  <c r="G84" i="185" s="1"/>
  <c r="E85" i="185"/>
  <c r="F85" i="185"/>
  <c r="G85" i="185" s="1"/>
  <c r="E86" i="185"/>
  <c r="F86" i="185"/>
  <c r="G86" i="185" s="1"/>
  <c r="E87" i="185"/>
  <c r="F87" i="185"/>
  <c r="G87" i="185" s="1"/>
  <c r="E88" i="185"/>
  <c r="F88" i="185"/>
  <c r="G88" i="185" s="1"/>
  <c r="E89" i="185"/>
  <c r="F89" i="185"/>
  <c r="G89" i="185" s="1"/>
  <c r="E90" i="185"/>
  <c r="F90" i="185"/>
  <c r="G90" i="185"/>
  <c r="E91" i="185"/>
  <c r="F91" i="185"/>
  <c r="G91" i="185" s="1"/>
  <c r="E92" i="185"/>
  <c r="F92" i="185"/>
  <c r="G92" i="185" s="1"/>
  <c r="E93" i="185"/>
  <c r="F93" i="185"/>
  <c r="G93" i="185" s="1"/>
  <c r="E94" i="185"/>
  <c r="F94" i="185"/>
  <c r="G94" i="185" s="1"/>
  <c r="E95" i="185"/>
  <c r="F95" i="185"/>
  <c r="G95" i="185" s="1"/>
  <c r="E96" i="185"/>
  <c r="F96" i="185"/>
  <c r="G96" i="185" s="1"/>
  <c r="E97" i="185"/>
  <c r="F97" i="185"/>
  <c r="G97" i="185" s="1"/>
  <c r="E98" i="185"/>
  <c r="F98" i="185"/>
  <c r="G98" i="185"/>
  <c r="E99" i="185"/>
  <c r="F99" i="185"/>
  <c r="G99" i="185" s="1"/>
  <c r="E100" i="185"/>
  <c r="F100" i="185"/>
  <c r="G100" i="185" s="1"/>
  <c r="E101" i="185"/>
  <c r="F101" i="185"/>
  <c r="G101" i="185" s="1"/>
  <c r="E102" i="185"/>
  <c r="F102" i="185"/>
  <c r="G102" i="185" s="1"/>
  <c r="E103" i="185"/>
  <c r="F103" i="185"/>
  <c r="G103" i="185" s="1"/>
  <c r="E104" i="185"/>
  <c r="F104" i="185"/>
  <c r="G104" i="185" s="1"/>
  <c r="E105" i="185"/>
  <c r="F105" i="185"/>
  <c r="G105" i="185" s="1"/>
  <c r="E106" i="185"/>
  <c r="F106" i="185"/>
  <c r="G106" i="185"/>
  <c r="E107" i="185"/>
  <c r="F107" i="185"/>
  <c r="G107" i="185" s="1"/>
  <c r="E108" i="185"/>
  <c r="F108" i="185"/>
  <c r="G108" i="185" s="1"/>
  <c r="E109" i="185"/>
  <c r="F109" i="185"/>
  <c r="G109" i="185" s="1"/>
  <c r="E110" i="185"/>
  <c r="F110" i="185"/>
  <c r="G110" i="185" s="1"/>
  <c r="E111" i="185"/>
  <c r="F111" i="185"/>
  <c r="G111" i="185" s="1"/>
  <c r="E112" i="185"/>
  <c r="F112" i="185"/>
  <c r="G112" i="185" s="1"/>
  <c r="E113" i="185"/>
  <c r="F113" i="185"/>
  <c r="G113" i="185" s="1"/>
  <c r="E114" i="185"/>
  <c r="F114" i="185"/>
  <c r="G114" i="185"/>
  <c r="E115" i="185"/>
  <c r="F115" i="185"/>
  <c r="G115" i="185" s="1"/>
  <c r="E116" i="185"/>
  <c r="F116" i="185"/>
  <c r="G116" i="185" s="1"/>
  <c r="E117" i="185"/>
  <c r="F117" i="185"/>
  <c r="G117" i="185" s="1"/>
  <c r="E118" i="185"/>
  <c r="F118" i="185"/>
  <c r="G118" i="185" s="1"/>
  <c r="E119" i="185"/>
  <c r="F119" i="185"/>
  <c r="G119" i="185" s="1"/>
  <c r="E120" i="185"/>
  <c r="F120" i="185"/>
  <c r="G120" i="185" s="1"/>
  <c r="E121" i="185"/>
  <c r="F121" i="185"/>
  <c r="G121" i="185" s="1"/>
  <c r="E122" i="185"/>
  <c r="F122" i="185"/>
  <c r="G122" i="185"/>
  <c r="E123" i="185"/>
  <c r="F123" i="185"/>
  <c r="G123" i="185" s="1"/>
  <c r="E124" i="185"/>
  <c r="F124" i="185"/>
  <c r="G124" i="185" s="1"/>
  <c r="E125" i="185"/>
  <c r="F125" i="185"/>
  <c r="G125" i="185" s="1"/>
  <c r="E126" i="185"/>
  <c r="F126" i="185"/>
  <c r="G126" i="185" s="1"/>
  <c r="E127" i="185"/>
  <c r="F127" i="185"/>
  <c r="G127" i="185" s="1"/>
  <c r="E128" i="185"/>
  <c r="F128" i="185"/>
  <c r="G128" i="185" s="1"/>
  <c r="E129" i="185"/>
  <c r="F129" i="185"/>
  <c r="G129" i="185" s="1"/>
  <c r="E130" i="185"/>
  <c r="F130" i="185"/>
  <c r="G130" i="185"/>
  <c r="E131" i="185"/>
  <c r="F131" i="185"/>
  <c r="G131" i="185" s="1"/>
  <c r="E132" i="185"/>
  <c r="F132" i="185"/>
  <c r="G132" i="185" s="1"/>
  <c r="E133" i="185"/>
  <c r="F133" i="185"/>
  <c r="G133" i="185" s="1"/>
  <c r="E134" i="185"/>
  <c r="F134" i="185"/>
  <c r="G134" i="185" s="1"/>
  <c r="E135" i="185"/>
  <c r="F135" i="185"/>
  <c r="G135" i="185" s="1"/>
  <c r="E136" i="185"/>
  <c r="F136" i="185"/>
  <c r="G136" i="185" s="1"/>
  <c r="E137" i="185"/>
  <c r="F137" i="185"/>
  <c r="G137" i="185" s="1"/>
  <c r="E138" i="185"/>
  <c r="F138" i="185"/>
  <c r="G138" i="185"/>
  <c r="E139" i="185"/>
  <c r="F139" i="185"/>
  <c r="G139" i="185" s="1"/>
  <c r="E140" i="185"/>
  <c r="F140" i="185"/>
  <c r="G140" i="185" s="1"/>
  <c r="E141" i="185"/>
  <c r="F141" i="185"/>
  <c r="G141" i="185" s="1"/>
  <c r="D142" i="185"/>
  <c r="E142" i="185" s="1"/>
  <c r="D45" i="174"/>
  <c r="G38" i="174"/>
  <c r="A4" i="184"/>
  <c r="D26" i="184"/>
  <c r="D38" i="184"/>
  <c r="E43" i="184"/>
  <c r="D35" i="171"/>
  <c r="B4" i="183"/>
  <c r="G19" i="183"/>
  <c r="G23" i="183"/>
  <c r="L23" i="183" s="1"/>
  <c r="I33" i="183"/>
  <c r="L33" i="183"/>
  <c r="H41" i="183"/>
  <c r="J41" i="183"/>
  <c r="G46" i="183"/>
  <c r="G51" i="183"/>
  <c r="L51" i="183" s="1"/>
  <c r="I51" i="183"/>
  <c r="I62" i="183"/>
  <c r="L62" i="183" s="1"/>
  <c r="H73" i="183"/>
  <c r="H77" i="183" s="1"/>
  <c r="H113" i="183" s="1"/>
  <c r="J73" i="183"/>
  <c r="L113" i="183"/>
  <c r="J77" i="183" l="1"/>
  <c r="J113" i="183" s="1"/>
  <c r="F142" i="185"/>
  <c r="G18" i="185"/>
  <c r="G142" i="185" s="1"/>
  <c r="C9" i="4"/>
  <c r="C33" i="5"/>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4" l="1"/>
  <c r="B1" i="183"/>
  <c r="B2" i="183"/>
  <c r="A2" i="184"/>
  <c r="B2" i="177"/>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E29" i="108"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L367" i="29" l="1"/>
  <c r="L342" i="29"/>
  <c r="F50" i="34"/>
  <c r="F42" i="34"/>
  <c r="B3488" i="106"/>
  <c r="D3488" i="106" s="1"/>
  <c r="K184" i="29"/>
  <c r="F13" i="4" s="1"/>
  <c r="B2596" i="106" s="1"/>
  <c r="D2596" i="106" s="1"/>
  <c r="G210" i="29"/>
  <c r="B1274" i="106"/>
  <c r="D1274" i="106" s="1"/>
  <c r="G15" i="145"/>
  <c r="L13" i="11"/>
  <c r="D69" i="36"/>
  <c r="G30" i="108"/>
  <c r="G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2057" i="106" l="1"/>
  <c r="D2057" i="106" s="1"/>
  <c r="M17" i="3"/>
  <c r="L16" i="11"/>
  <c r="B2061" i="106" s="1"/>
  <c r="D2061" i="106" s="1"/>
  <c r="B2060" i="106"/>
  <c r="D2060" i="106" s="1"/>
  <c r="M19" i="3"/>
  <c r="B276" i="106" s="1"/>
  <c r="D276" i="106" s="1"/>
  <c r="B1365" i="106"/>
  <c r="D1365" i="106" s="1"/>
  <c r="F65" i="34"/>
  <c r="B2031" i="106"/>
  <c r="D2031" i="106"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4" i="106" l="1"/>
  <c r="D274" i="106" s="1"/>
  <c r="M23" i="3"/>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79" i="106" l="1"/>
  <c r="D279" i="106" s="1"/>
  <c r="M40" i="3"/>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F10" i="4"/>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81" i="106" l="1"/>
  <c r="D281" i="106" s="1"/>
  <c r="D54" i="3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<sst xmlns="http://schemas.openxmlformats.org/spreadsheetml/2006/main" count="5378" uniqueCount="2210">
  <si>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</si>
  <si>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</si>
  <si>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</si>
  <si>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</si>
  <si>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</si>
  <si>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</si>
  <si>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</si>
  <si>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</si>
  <si>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</si>
  <si>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</si>
  <si>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</si>
  <si>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</si>
  <si>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</si>
  <si>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</si>
  <si>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</si>
  <si>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</si>
  <si>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</si>
  <si>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</si>
  <si>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</si>
  <si>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</si>
  <si>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</si>
  <si>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</si>
  <si>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</si>
  <si>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</si>
  <si>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</si>
  <si>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</si>
  <si>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</si>
  <si>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</si>
  <si>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</si>
  <si>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</si>
  <si>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</si>
  <si>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</si>
  <si>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</si>
  <si>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</si>
  <si>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</si>
  <si>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</si>
  <si>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</si>
  <si>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</si>
  <si>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</si>
  <si>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</si>
  <si>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</si>
  <si>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</si>
  <si>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</si>
  <si>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</si>
  <si>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</si>
  <si>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</si>
  <si>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</si>
  <si>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</si>
  <si>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</si>
  <si>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</si>
  <si>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</si>
  <si>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</si>
  <si>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</si>
  <si>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</si>
  <si>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</si>
  <si>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</si>
  <si>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</si>
  <si>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</si>
  <si>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</si>
  <si>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</si>
  <si>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</si>
  <si>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</si>
  <si>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</si>
  <si>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</si>
  <si>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</si>
  <si>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</si>
  <si>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</si>
  <si>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</si>
  <si>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</si>
  <si>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</si>
  <si>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</si>
  <si>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</si>
  <si>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</si>
  <si>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</si>
  <si>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</si>
  <si>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</si>
  <si>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</si>
  <si>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</si>
  <si>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</si>
  <si>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</si>
  <si>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</si>
  <si>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</si>
  <si>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</si>
  <si>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</si>
  <si>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</si>
  <si>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</si>
  <si>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</si>
  <si>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</si>
  <si>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</si>
  <si>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</si>
  <si>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</si>
  <si>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</si>
  <si>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</si>
  <si>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</si>
  <si>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</si>
  <si>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</si>
  <si>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</si>
  <si>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</si>
  <si>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</si>
  <si>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</si>
  <si>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</si>
  <si>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</si>
  <si>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</si>
  <si>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</si>
  <si>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</si>
  <si>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</si>
  <si>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</si>
  <si>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</si>
  <si>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</si>
  <si>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</si>
  <si>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</si>
  <si>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</si>
  <si>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</si>
  <si>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</si>
  <si>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</si>
  <si>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</si>
  <si>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</si>
  <si>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</si>
  <si>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</si>
  <si>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</si>
  <si>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</si>
  <si>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</si>
  <si>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</si>
  <si>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</si>
  <si>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</si>
  <si>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</si>
  <si>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</si>
  <si>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</si>
  <si>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</si>
  <si>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</si>
  <si>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</si>
  <si>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</si>
  <si>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</si>
  <si>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</si>
  <si>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</si>
  <si>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</si>
  <si>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</si>
  <si>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</si>
  <si>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</si>
  <si>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</si>
  <si>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</si>
  <si>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</si>
  <si>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</si>
  <si>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</si>
  <si>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</si>
  <si>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</si>
  <si>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</si>
  <si>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</si>
  <si>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</si>
  <si>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</si>
  <si>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</si>
  <si>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</si>
  <si>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</si>
  <si>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</si>
  <si>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</si>
  <si>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</si>
  <si>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</si>
  <si>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</si>
  <si>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</si>
  <si>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</si>
  <si>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</si>
  <si>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</si>
  <si>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</si>
  <si>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</si>
  <si>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</si>
  <si>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</si>
  <si>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</si>
  <si>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</si>
  <si>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</si>
  <si>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</si>
  <si>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</si>
  <si>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</si>
  <si>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</si>
  <si>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</si>
  <si>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</si>
  <si>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</si>
  <si>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</si>
  <si>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</si>
  <si>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</si>
  <si>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</si>
  <si>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</si>
  <si>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</si>
  <si>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</si>
  <si>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</si>
  <si>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</si>
  <si>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</si>
  <si>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</si>
  <si>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</si>
  <si>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</si>
  <si>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</si>
  <si>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</si>
  <si>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</si>
  <si>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</si>
  <si>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</si>
  <si>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</si>
  <si>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</si>
  <si>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</si>
  <si>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</si>
  <si>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</si>
  <si>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</si>
  <si>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</si>
  <si>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</si>
  <si>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</si>
  <si>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</si>
  <si>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</si>
  <si>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</si>
  <si>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</si>
  <si>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</si>
  <si>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</si>
  <si>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</si>
  <si>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</si>
  <si>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</si>
  <si>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</si>
  <si>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</si>
  <si>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</si>
  <si>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</si>
  <si>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</si>
  <si>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</si>
  <si>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</si>
  <si>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</si>
  <si>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</si>
  <si>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</si>
  <si>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</si>
  <si>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</si>
  <si>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</si>
  <si>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</si>
  <si>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</si>
  <si>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</si>
  <si>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</si>
  <si>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</si>
  <si>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</si>
  <si>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</si>
  <si>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</si>
  <si>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</si>
  <si>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</si>
  <si>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</si>
  <si>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</si>
  <si>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</si>
  <si>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</si>
  <si>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</si>
  <si>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</si>
  <si>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</si>
  <si>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</si>
  <si>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</si>
  <si>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</si>
  <si>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</si>
  <si>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</si>
  <si>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</si>
  <si>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</si>
  <si>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</si>
  <si>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</si>
  <si>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</si>
  <si>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</si>
  <si>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</si>
  <si>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</si>
  <si>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</si>
  <si>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</si>
  <si>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</si>
  <si>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</si>
  <si>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</si>
  <si>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</si>
  <si>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</si>
  <si>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</si>
  <si>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</si>
  <si>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</si>
  <si>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</si>
  <si>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</si>
  <si>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</si>
  <si>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</si>
  <si>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</si>
  <si>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</si>
  <si>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</si>
  <si>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</si>
  <si>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</si>
  <si>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</si>
  <si>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</si>
  <si>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</si>
  <si>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</si>
  <si>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</si>
  <si>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</si>
  <si>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</si>
  <si>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</si>
  <si>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</si>
  <si>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</si>
  <si>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</si>
  <si>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</si>
  <si>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</si>
  <si>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</si>
  <si>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</si>
  <si>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</si>
  <si>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</si>
  <si>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</si>
  <si>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</si>
  <si>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</si>
  <si>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</si>
  <si>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</si>
  <si>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</si>
  <si>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</si>
  <si>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</si>
  <si>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</si>
  <si>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</si>
  <si>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</si>
  <si>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</si>
  <si>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</si>
  <si>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</si>
  <si>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</si>
  <si>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</si>
  <si>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</si>
  <si>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</si>
  <si>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</si>
  <si>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</si>
  <si>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</si>
  <si>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</si>
  <si>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</si>
  <si>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</si>
  <si>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</si>
  <si>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</si>
  <si>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</si>
  <si>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</si>
  <si>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</si>
  <si>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</si>
  <si>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</si>
  <si>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</si>
  <si>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</si>
  <si>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</si>
  <si>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</si>
  <si>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</si>
  <si>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</si>
  <si>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</si>
  <si>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</si>
  <si>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</si>
  <si>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</si>
  <si>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</si>
  <si>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</si>
  <si>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</si>
  <si>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</si>
  <si>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</si>
  <si>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</si>
  <si>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</si>
  <si>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</si>
  <si>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</si>
  <si>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</si>
  <si>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</si>
  <si>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</si>
  <si>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</si>
  <si>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</si>
  <si>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</si>
  <si>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</si>
  <si>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</si>
  <si>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</si>
  <si>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</si>
  <si>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</si>
  <si>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</si>
  <si>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</si>
  <si>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</si>
  <si>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</si>
  <si>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</si>
  <si>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</si>
  <si>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</si>
  <si>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</si>
  <si>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</si>
  <si>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</si>
  <si>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</si>
  <si>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</si>
  <si>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</si>
  <si>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</si>
  <si>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</si>
  <si>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</si>
  <si>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</si>
  <si>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</si>
  <si>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</si>
  <si>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</si>
  <si>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</si>
  <si>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</si>
  <si>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</si>
  <si>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</si>
  <si>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</si>
  <si>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</si>
  <si>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</si>
  <si>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</si>
  <si>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</si>
  <si>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</si>
  <si>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</si>
  <si>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</si>
  <si>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</si>
  <si>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</si>
  <si>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</si>
  <si>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</si>
  <si>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</si>
  <si>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</si>
  <si>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</si>
  <si>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</si>
  <si>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</si>
  <si>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</si>
  <si>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</si>
  <si>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</si>
  <si>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</si>
  <si>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</si>
  <si>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</si>
  <si>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</si>
  <si>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</si>
  <si>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</si>
  <si>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</si>
  <si>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</si>
  <si>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</si>
  <si>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</si>
  <si>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</si>
  <si>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</si>
  <si>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</si>
  <si>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</si>
  <si>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</si>
  <si>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</si>
  <si>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</si>
  <si>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</si>
  <si>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</si>
  <si>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</si>
  <si>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</si>
  <si>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</si>
  <si>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</si>
  <si>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</si>
  <si>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</si>
  <si>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</si>
  <si>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</si>
  <si>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</si>
  <si>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</si>
  <si>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</si>
  <si>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</si>
  <si>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</si>
  <si>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</si>
  <si>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</si>
  <si>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</si>
  <si>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</si>
  <si>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</si>
  <si>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</si>
  <si>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</si>
  <si>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</si>
  <si>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</si>
  <si>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</si>
  <si>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</si>
  <si>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</si>
  <si>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</si>
  <si>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</si>
  <si>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</si>
  <si>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</si>
  <si>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</si>
  <si>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</si>
  <si>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</si>
  <si>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</si>
  <si>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</si>
  <si>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</si>
  <si>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</si>
  <si>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</si>
  <si>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</si>
  <si>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</si>
  <si>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</si>
  <si>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</si>
  <si>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</si>
  <si>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</si>
  <si>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</si>
  <si>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</si>
  <si>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</si>
  <si>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</si>
  <si>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</si>
  <si>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</si>
  <si>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</si>
  <si>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</si>
  <si>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</si>
  <si>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</si>
  <si>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</si>
  <si>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</si>
  <si>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</si>
  <si>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</si>
  <si>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</si>
  <si>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</si>
  <si>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</si>
  <si>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</si>
  <si>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</si>
  <si>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</si>
  <si>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</si>
  <si>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</si>
  <si>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</si>
  <si>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</si>
  <si>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</si>
  <si>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</si>
  <si>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</si>
  <si>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</si>
  <si>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</si>
  <si>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</si>
  <si>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</si>
  <si>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</si>
  <si>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</si>
  <si>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</si>
  <si>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</si>
  <si>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</si>
  <si>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</si>
  <si>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</si>
  <si>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</si>
  <si>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</si>
  <si>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</si>
  <si>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</si>
  <si>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</si>
  <si>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</si>
  <si>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</si>
  <si>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</si>
  <si>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</si>
  <si>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</si>
  <si>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</si>
  <si>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</si>
  <si>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</si>
  <si>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</si>
  <si>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</si>
  <si>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</si>
  <si>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</si>
  <si>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</si>
  <si>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</si>
  <si>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</si>
  <si>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</si>
  <si>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</si>
  <si>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</si>
  <si>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</si>
  <si>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</si>
  <si>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</si>
  <si>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</si>
  <si>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</si>
  <si>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</si>
  <si>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</si>
  <si>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</si>
  <si>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</si>
  <si>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</si>
  <si>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</si>
  <si>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</si>
  <si>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</si>
  <si>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</si>
  <si>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</si>
  <si>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</si>
  <si>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</si>
  <si>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</si>
  <si>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</si>
  <si>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</si>
  <si>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</si>
  <si>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</si>
  <si>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</si>
  <si>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</si>
  <si>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</si>
  <si>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</si>
  <si>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</si>
  <si>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</si>
  <si>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</si>
  <si>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</si>
  <si>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</si>
  <si>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</si>
  <si>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</si>
  <si>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</si>
  <si>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</si>
  <si>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</si>
  <si>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</si>
  <si>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</si>
  <si>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</si>
  <si>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</si>
  <si>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</si>
  <si>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</si>
  <si>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</si>
  <si>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</si>
  <si>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</si>
  <si>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</si>
  <si>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</si>
  <si>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</si>
  <si>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</si>
  <si>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</si>
  <si>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</si>
  <si>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</si>
  <si>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</si>
  <si>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</si>
  <si>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</si>
  <si>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</si>
  <si>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</si>
  <si>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</si>
  <si>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</si>
  <si>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</si>
  <si>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</si>
  <si>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</si>
  <si>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</si>
  <si>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</si>
  <si>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</si>
  <si>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</si>
  <si>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</si>
  <si>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</si>
  <si>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</si>
  <si>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</si>
  <si>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</si>
  <si>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</si>
  <si>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</si>
  <si>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</si>
  <si>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</si>
  <si>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</si>
  <si>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</si>
  <si>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</si>
  <si>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</si>
  <si>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</si>
  <si>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</si>
  <si>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</si>
  <si>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</si>
  <si>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</si>
  <si>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</si>
  <si>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</si>
  <si>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</si>
  <si>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</si>
  <si>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</si>
  <si>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</si>
  <si>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</si>
  <si>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</si>
  <si>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</si>
  <si>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</si>
  <si>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</si>
  <si>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</si>
  <si>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</si>
  <si>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</si>
  <si>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</si>
  <si>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</si>
  <si>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</si>
  <si>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</si>
  <si>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</si>
  <si>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</si>
  <si>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</si>
  <si>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</si>
  <si>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</si>
  <si>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</si>
  <si>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</si>
  <si>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</si>
  <si>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</si>
  <si>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</si>
  <si>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</si>
  <si>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</si>
  <si>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</si>
  <si>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</si>
  <si>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</si>
  <si>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</si>
  <si>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</si>
  <si>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</si>
  <si>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</si>
  <si>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</si>
  <si>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</si>
  <si>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</si>
  <si>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</si>
  <si>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</si>
  <si>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</si>
  <si>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</si>
  <si>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</si>
  <si>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</si>
  <si>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</si>
  <si>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</si>
  <si>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</si>
  <si>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</si>
  <si>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</si>
  <si>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</si>
  <si>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</si>
  <si>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</si>
  <si>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</si>
  <si>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</si>
  <si>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</si>
  <si>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</si>
  <si>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</si>
  <si>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</si>
  <si>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</si>
  <si>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</si>
  <si>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</si>
  <si>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</si>
  <si>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</si>
  <si>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</si>
  <si>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</si>
  <si>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</si>
  <si>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</si>
  <si>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</si>
  <si>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</si>
  <si>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</si>
  <si>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</si>
  <si>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</si>
  <si>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</si>
  <si>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</si>
  <si>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</si>
  <si>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</si>
  <si>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</si>
  <si>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</si>
  <si>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</si>
  <si>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</si>
  <si>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</si>
  <si>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</si>
  <si>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</si>
  <si>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</si>
  <si>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</si>
  <si>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</si>
  <si>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</si>
  <si>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</si>
  <si>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</si>
  <si>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</si>
  <si>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</si>
  <si>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</si>
  <si>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</si>
  <si>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</si>
  <si>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</si>
  <si>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</si>
  <si>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</si>
  <si>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</si>
  <si>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</si>
  <si>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</si>
  <si>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</si>
  <si>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</si>
  <si>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</si>
  <si>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</si>
  <si>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</si>
  <si>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</si>
  <si>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</si>
  <si>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</si>
  <si>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</si>
  <si>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</si>
  <si>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</si>
  <si>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</si>
  <si>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</si>
  <si>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</si>
  <si>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</si>
  <si>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</si>
  <si>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</si>
  <si>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</si>
  <si>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</si>
  <si>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</si>
  <si>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</si>
  <si>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</si>
  <si>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</si>
  <si>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</si>
  <si>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</si>
  <si>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</si>
  <si>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</si>
  <si>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</si>
  <si>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</si>
  <si>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</si>
  <si>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</si>
  <si>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</si>
  <si>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</si>
  <si>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</si>
  <si>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</si>
  <si>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</si>
  <si>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</si>
  <si>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</si>
  <si>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</si>
  <si>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</si>
  <si>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</si>
  <si>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</si>
  <si>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</si>
  <si>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</si>
  <si>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</si>
  <si>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</si>
  <si>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</si>
  <si>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</si>
  <si>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</si>
  <si>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</si>
  <si>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</si>
  <si>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</si>
  <si>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</si>
  <si>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</si>
  <si>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</si>
  <si>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</si>
  <si>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</si>
  <si>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</si>
  <si>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</si>
  <si>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</si>
  <si>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</si>
  <si>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</si>
  <si>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</si>
  <si>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</si>
  <si>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</si>
  <si>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</si>
  <si>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</si>
  <si>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</si>
  <si>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</si>
  <si>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</si>
  <si>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</si>
  <si>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</si>
  <si>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</si>
  <si>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</si>
  <si>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</si>
  <si>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</si>
  <si>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</si>
  <si>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</si>
  <si>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</si>
  <si>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</si>
  <si>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</si>
  <si>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</si>
  <si>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</si>
  <si>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</si>
  <si>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</si>
  <si>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</si>
  <si>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</si>
  <si>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</si>
  <si>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</si>
  <si>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</si>
  <si>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</si>
  <si>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</si>
  <si>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</si>
  <si>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</si>
  <si>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</si>
  <si>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</si>
  <si>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</si>
  <si>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</si>
  <si>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</si>
  <si>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</si>
  <si>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</si>
  <si>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</si>
  <si>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</si>
  <si>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</si>
  <si>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</si>
  <si>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</si>
  <si>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</si>
  <si>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</si>
  <si>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</si>
  <si>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</si>
  <si>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</si>
  <si>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</si>
  <si>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</si>
  <si>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</si>
  <si>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</si>
  <si>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</si>
  <si>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</si>
  <si>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</si>
  <si>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</si>
  <si>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</si>
  <si>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</si>
  <si>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</si>
  <si>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</si>
  <si>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</si>
  <si>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</si>
  <si>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</si>
  <si>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</si>
  <si>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</si>
  <si>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</si>
  <si>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</si>
  <si>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</si>
  <si>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</si>
  <si>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</si>
  <si>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</si>
  <si>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</si>
  <si>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</si>
  <si>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</si>
  <si>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</si>
  <si>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</si>
  <si>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</si>
  <si>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</si>
  <si>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</si>
  <si>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</si>
  <si>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</si>
  <si>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</si>
  <si>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</si>
  <si>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</si>
  <si>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</si>
  <si>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</si>
  <si>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</si>
  <si>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</si>
  <si>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</si>
  <si>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</si>
  <si>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</si>
  <si>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</si>
  <si>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</si>
  <si>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</si>
  <si>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</si>
  <si>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</si>
  <si>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</si>
  <si>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</si>
  <si>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</si>
  <si>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</si>
  <si>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</si>
  <si>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</si>
  <si>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</si>
  <si>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</si>
  <si>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</si>
  <si>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</si>
  <si>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</si>
  <si>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</si>
  <si>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</si>
  <si>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</si>
  <si>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</si>
  <si>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</si>
  <si>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</si>
  <si>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</si>
  <si>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</si>
  <si>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</si>
  <si>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</si>
  <si>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</si>
  <si>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</si>
  <si>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</si>
  <si>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</si>
  <si>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</si>
  <si>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</si>
  <si>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</si>
  <si>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</si>
  <si>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</si>
  <si>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</si>
  <si>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</si>
  <si>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</si>
  <si>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</si>
  <si>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</si>
  <si>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</si>
  <si>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</si>
  <si>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</si>
  <si>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</si>
  <si>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</si>
  <si>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</si>
  <si>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</si>
  <si>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</si>
  <si>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</si>
  <si>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</si>
  <si>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</si>
  <si>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</si>
  <si>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</si>
  <si>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</si>
  <si>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</si>
  <si>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</si>
  <si>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</si>
  <si>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</si>
  <si>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</si>
  <si>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</si>
  <si>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</si>
  <si>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</si>
  <si>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</si>
  <si>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</si>
  <si>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</si>
  <si>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</si>
  <si>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</si>
  <si>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</si>
  <si>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</si>
  <si>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</si>
  <si>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</si>
  <si>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</si>
  <si>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</si>
  <si>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</si>
  <si>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</si>
  <si>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</si>
  <si>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</si>
  <si>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</si>
  <si>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</si>
  <si>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</si>
  <si>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</si>
  <si>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</si>
  <si>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</si>
  <si>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</si>
  <si>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</si>
  <si>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</si>
  <si>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</si>
  <si>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</si>
  <si>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</si>
  <si>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</si>
  <si>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</si>
  <si>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</si>
  <si>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</si>
  <si>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</si>
  <si>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</si>
  <si>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</si>
  <si>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</si>
  <si>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</si>
  <si>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</si>
  <si>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</si>
  <si>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</si>
  <si>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</si>
  <si>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</si>
  <si>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</si>
  <si>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</si>
  <si>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</si>
  <si>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</si>
  <si>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</si>
  <si>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</si>
  <si>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</si>
  <si>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</si>
  <si>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</si>
  <si>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</si>
  <si>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</si>
  <si>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</si>
  <si>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</si>
  <si>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</si>
  <si>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</si>
  <si>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</si>
  <si>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</si>
  <si>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</si>
  <si>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</si>
  <si>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</si>
  <si>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</si>
  <si>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</si>
  <si>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</si>
  <si>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</si>
  <si>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</si>
  <si>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</si>
  <si>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</si>
  <si>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</si>
  <si>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</si>
  <si>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</si>
  <si>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</si>
  <si>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</si>
  <si>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</si>
  <si>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</si>
  <si>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</si>
  <si>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</si>
  <si>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</si>
  <si>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</si>
  <si>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</si>
  <si>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</si>
  <si>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</si>
  <si>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</si>
  <si>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</si>
  <si>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</si>
  <si>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</si>
  <si>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</si>
  <si>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</si>
  <si>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</si>
  <si>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</si>
  <si>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</si>
  <si>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</si>
  <si>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</si>
  <si>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</si>
  <si>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</si>
  <si>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</si>
  <si>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</si>
  <si>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</si>
  <si>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</si>
  <si>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</si>
  <si>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</si>
  <si>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</si>
  <si>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</si>
  <si>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</si>
  <si>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</si>
  <si>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</si>
  <si>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</si>
  <si>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</si>
  <si>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</si>
  <si>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</si>
  <si>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</si>
  <si>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</si>
  <si>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</si>
  <si>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</si>
  <si>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</si>
  <si>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</si>
  <si>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</si>
  <si>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</si>
  <si>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</si>
  <si>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</si>
  <si>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</si>
  <si>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</si>
  <si>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</si>
  <si>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</si>
  <si>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</si>
  <si>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</si>
  <si>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</si>
  <si>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</si>
  <si>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</si>
  <si>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</si>
  <si>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</si>
  <si>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</si>
  <si>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</si>
  <si>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</si>
  <si>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</si>
  <si>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</si>
  <si>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</si>
  <si>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</si>
  <si>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</si>
  <si>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</si>
  <si>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</si>
  <si>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</si>
  <si>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</si>
  <si>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</si>
  <si>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</si>
  <si>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</si>
  <si>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</si>
  <si>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</si>
  <si>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</si>
  <si>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</si>
  <si>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</si>
  <si>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</si>
  <si>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</si>
  <si>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</si>
  <si>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</si>
  <si>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</si>
  <si>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</si>
  <si>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</si>
  <si>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</si>
  <si>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</si>
  <si>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</si>
  <si>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</si>
  <si>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</si>
  <si>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</si>
  <si>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</si>
  <si>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</si>
  <si>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</si>
  <si>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</si>
  <si>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</si>
  <si>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</si>
  <si>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</si>
  <si>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</si>
  <si>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</si>
  <si>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</si>
  <si>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</si>
  <si>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</si>
  <si>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</si>
  <si>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</si>
  <si>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</si>
  <si>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</si>
  <si>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</si>
  <si>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</si>
  <si>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</si>
  <si>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</si>
  <si>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</si>
  <si>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</si>
  <si>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</si>
  <si>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</si>
  <si>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</si>
  <si>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</si>
  <si>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</si>
  <si>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</si>
  <si>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</si>
  <si>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</si>
  <si>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</si>
  <si>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</si>
  <si>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</si>
  <si>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</si>
  <si>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</si>
  <si>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</si>
  <si>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</si>
  <si>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</si>
  <si>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</si>
  <si>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</si>
  <si>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</si>
  <si>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</si>
  <si>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</si>
  <si>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</si>
  <si>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</si>
  <si>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</si>
  <si>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</si>
  <si>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</si>
  <si>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</si>
  <si>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</si>
  <si>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</si>
  <si>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</si>
  <si>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</si>
  <si>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</si>
  <si>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</si>
  <si>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</si>
  <si>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</si>
  <si>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</si>
  <si>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</si>
  <si>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</si>
  <si>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</si>
  <si>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</si>
  <si>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</si>
  <si>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</si>
  <si>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</si>
  <si>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</si>
  <si>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</si>
  <si>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</si>
  <si>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</si>
  <si>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</si>
  <si>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</si>
  <si>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</si>
  <si>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</si>
  <si>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</si>
  <si>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</si>
  <si>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</si>
  <si>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</si>
  <si>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</si>
  <si>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</si>
  <si>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</si>
  <si>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</si>
  <si>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</si>
  <si>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</si>
  <si>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</si>
  <si>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</si>
  <si>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</si>
  <si>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</si>
  <si>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</si>
  <si>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</si>
  <si>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</si>
  <si>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</si>
  <si>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</si>
  <si>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</si>
  <si>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</si>
  <si>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</si>
  <si>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</si>
  <si>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</si>
  <si>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</si>
  <si>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</si>
  <si>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</si>
  <si>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</si>
  <si>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</si>
  <si>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</si>
  <si>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</si>
  <si>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</si>
  <si>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</si>
  <si>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</si>
  <si>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</si>
  <si>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</si>
  <si>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</si>
  <si>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</si>
  <si>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</si>
  <si>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</si>
  <si>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</si>
  <si>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</si>
  <si>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</si>
  <si>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</si>
  <si>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</si>
  <si>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</si>
  <si>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</si>
  <si>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</si>
  <si>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</si>
  <si>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</si>
  <si>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</si>
  <si>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</si>
  <si>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</si>
  <si>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</si>
  <si>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</si>
  <si>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</si>
  <si>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</si>
  <si>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</si>
  <si>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</si>
  <si>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</si>
  <si>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</si>
  <si>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</si>
  <si>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</si>
  <si>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</si>
  <si>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</si>
  <si>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</si>
  <si>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</si>
  <si>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</si>
  <si>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</si>
  <si>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</si>
  <si>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</si>
  <si>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</si>
  <si>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</si>
  <si>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</si>
  <si>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</si>
  <si>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</si>
  <si>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</si>
  <si>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</si>
  <si>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</si>
  <si>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</si>
  <si>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</si>
  <si>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</si>
  <si>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</si>
  <si>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</si>
  <si>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</si>
  <si>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</si>
  <si>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</si>
  <si>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</si>
  <si>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</si>
  <si>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</si>
  <si>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</si>
  <si>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</si>
  <si>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</si>
  <si>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</si>
  <si>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</si>
  <si>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</si>
  <si>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</si>
  <si>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</si>
  <si>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</si>
  <si>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</si>
  <si>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</si>
  <si>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</si>
  <si>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</si>
  <si>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</si>
  <si>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</si>
  <si>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</si>
  <si>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</si>
  <si>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</si>
  <si>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</si>
  <si>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</si>
  <si>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</si>
  <si>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</si>
  <si>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</si>
  <si>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</si>
  <si>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</si>
  <si>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</si>
  <si>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</si>
  <si>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</si>
  <si>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</si>
  <si>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</si>
  <si>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</si>
  <si>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</si>
  <si>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</si>
  <si>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</si>
  <si>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</si>
  <si>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</si>
  <si>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</si>
  <si>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</si>
  <si>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</si>
  <si>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</si>
  <si>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</si>
  <si>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</si>
  <si>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</si>
  <si>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</si>
  <si>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</si>
  <si>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</si>
  <si>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</si>
  <si>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</si>
  <si>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</si>
  <si>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</si>
  <si>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</si>
  <si>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</si>
  <si>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</si>
  <si>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</si>
  <si>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</si>
  <si>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</si>
  <si>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</si>
  <si>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</si>
  <si>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</si>
  <si>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</si>
  <si>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</si>
  <si>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</si>
  <si>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</si>
  <si>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</si>
  <si>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</si>
  <si>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</si>
  <si>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</si>
  <si>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</si>
  <si>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</si>
  <si>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</si>
  <si>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</si>
  <si>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</si>
  <si>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</si>
  <si>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</si>
  <si>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</si>
  <si>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</si>
  <si>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</si>
  <si>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</si>
  <si>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</si>
  <si>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</si>
  <si>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</si>
  <si>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</si>
  <si>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</si>
  <si>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</si>
  <si>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</si>
  <si>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</si>
  <si>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</si>
  <si>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</si>
  <si>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</si>
  <si>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</si>
  <si>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</si>
  <si>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</si>
  <si>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</si>
  <si>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</si>
  <si>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</si>
  <si>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</si>
  <si>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</si>
  <si>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</si>
  <si>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</si>
  <si>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</si>
  <si>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</si>
  <si>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</si>
  <si>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</si>
  <si>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</si>
  <si>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</si>
  <si>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</si>
  <si>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</si>
  <si>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</si>
  <si>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</si>
  <si>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</si>
  <si>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</si>
  <si>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</si>
  <si>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</si>
  <si>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</si>
  <si>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</si>
  <si>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</si>
  <si>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</si>
  <si>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</si>
  <si>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</si>
  <si>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</si>
  <si>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</si>
  <si>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</si>
  <si>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</si>
  <si>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</si>
  <si>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</si>
  <si>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</si>
  <si>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</si>
  <si>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</si>
  <si>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</si>
  <si>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</si>
  <si>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</si>
  <si>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</si>
  <si>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</si>
  <si>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</si>
  <si>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</si>
  <si>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</si>
  <si>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</si>
  <si>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</si>
  <si>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</si>
  <si>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</si>
  <si>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</si>
  <si>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</si>
  <si>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</si>
  <si>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</si>
  <si>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</si>
  <si>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</si>
  <si>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</si>
  <si>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</si>
  <si>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</si>
  <si>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</si>
  <si>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</si>
  <si>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</si>
  <si>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</si>
  <si>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</si>
  <si>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</si>
  <si>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</si>
  <si>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</si>
  <si>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</si>
  <si>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</si>
  <si>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</si>
  <si>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</si>
  <si>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</si>
  <si>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</si>
  <si>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</si>
  <si>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</si>
  <si>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</si>
  <si>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</si>
  <si>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</si>
  <si>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</si>
  <si>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</si>
  <si>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</si>
  <si>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</si>
  <si>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</si>
  <si>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</si>
  <si>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</si>
  <si>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</si>
  <si>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</si>
  <si>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</si>
  <si>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</si>
  <si>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</si>
  <si>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</si>
  <si>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</si>
  <si>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</si>
  <si>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</si>
  <si>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</si>
  <si>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</si>
  <si>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</si>
  <si>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</si>
  <si>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</si>
  <si>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</si>
  <si>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</si>
  <si>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</si>
  <si>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</si>
  <si>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</si>
  <si>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</si>
  <si>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</si>
  <si>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</si>
  <si>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</si>
  <si>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</si>
  <si>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</si>
  <si>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</si>
  <si>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</si>
  <si>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</si>
  <si>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</si>
  <si>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</si>
  <si>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</si>
  <si>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</si>
  <si>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</si>
  <si>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</si>
  <si>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</si>
  <si>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</si>
  <si>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</si>
  <si>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</si>
  <si>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</si>
  <si>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</si>
  <si>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</si>
  <si>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</si>
  <si>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</si>
  <si>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</si>
  <si>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</si>
  <si>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</si>
  <si>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</si>
  <si>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</si>
  <si>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</si>
  <si>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</si>
  <si>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</si>
  <si>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</si>
  <si>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</si>
  <si>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</si>
  <si>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</si>
  <si>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</si>
  <si>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</si>
  <si>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</si>
  <si>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</si>
  <si>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</si>
  <si>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</si>
  <si>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</si>
  <si>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</si>
  <si>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</si>
  <si>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</si>
  <si>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</si>
  <si>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</si>
  <si>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</si>
  <si>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</si>
  <si>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</si>
  <si>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</si>
  <si>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</si>
  <si>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</si>
  <si>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</si>
  <si>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</si>
  <si>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</si>
  <si>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</si>
  <si>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</si>
  <si>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</si>
  <si>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</si>
  <si>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</si>
  <si>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</si>
  <si>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</si>
  <si>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</si>
  <si>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</si>
  <si>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</si>
  <si>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</si>
  <si>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</si>
  <si>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</si>
  <si>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</si>
  <si>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</si>
  <si>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</si>
  <si>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</si>
  <si>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</si>
  <si>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</si>
  <si>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</si>
  <si>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</si>
  <si>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</si>
  <si>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</si>
  <si>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</si>
  <si>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</si>
  <si>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</si>
  <si>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</si>
  <si>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</si>
  <si>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</si>
  <si>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</si>
  <si>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</si>
  <si>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</si>
  <si>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</si>
  <si>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</si>
  <si>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</si>
  <si>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</si>
  <si>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</si>
  <si>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</si>
  <si>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</si>
  <si>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</si>
  <si>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</si>
  <si>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</si>
  <si>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</si>
  <si>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</si>
  <si>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</si>
  <si>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</si>
  <si>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</si>
  <si>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</si>
  <si>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</si>
  <si>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</si>
  <si>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</si>
  <si>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</si>
  <si>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</si>
  <si>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</si>
  <si>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</si>
  <si>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</si>
  <si>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</si>
  <si>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</si>
  <si>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</si>
  <si>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</si>
  <si>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</si>
  <si>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</si>
  <si>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</si>
  <si>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</si>
  <si>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</si>
  <si>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</si>
  <si>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</si>
  <si>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</si>
  <si>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</si>
  <si>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</si>
  <si>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</si>
  <si>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</si>
  <si>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</si>
  <si>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</si>
  <si>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</si>
  <si>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</si>
  <si>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</si>
  <si>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</si>
  <si>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</si>
  <si>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</si>
  <si>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</si>
  <si>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</si>
  <si>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</si>
  <si>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</si>
  <si>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</si>
  <si>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</si>
  <si>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</si>
  <si>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</si>
  <si>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</si>
  <si>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</si>
  <si>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</si>
  <si>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</si>
  <si>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</si>
  <si>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</si>
  <si>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</si>
  <si>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</si>
  <si>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</si>
  <si>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</si>
  <si>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</si>
  <si>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</si>
  <si>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</si>
  <si>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</si>
  <si>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</si>
  <si>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</si>
  <si>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</si>
  <si>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</si>
  <si>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</si>
  <si>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</si>
  <si>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</si>
  <si>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</si>
  <si>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</si>
  <si>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</si>
  <si>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</si>
  <si>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</si>
  <si>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</si>
  <si>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</si>
  <si>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</si>
  <si>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</si>
  <si>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</si>
  <si>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</si>
  <si>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</si>
  <si>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</si>
  <si>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</si>
  <si>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</si>
  <si>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</si>
  <si>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</si>
  <si>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</si>
  <si>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</si>
  <si>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</si>
  <si>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</si>
  <si>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</si>
  <si>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</si>
  <si>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</si>
  <si>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</si>
  <si>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</si>
  <si>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</si>
  <si>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</si>
  <si>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</si>
  <si>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</si>
  <si>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</si>
  <si>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</si>
  <si>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</si>
  <si>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</si>
  <si>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</si>
  <si>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</si>
  <si>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</si>
  <si>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</si>
  <si>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</si>
  <si>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</si>
  <si>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</si>
  <si>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</si>
  <si>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</si>
  <si>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</si>
  <si>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</si>
  <si>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</si>
  <si>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</si>
  <si>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</si>
  <si>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</si>
  <si>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</si>
  <si>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</si>
  <si>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</si>
  <si>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</si>
  <si>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</si>
  <si>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</si>
  <si>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</si>
  <si>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</si>
  <si>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</si>
  <si>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</si>
  <si>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</si>
  <si>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</si>
  <si>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</si>
  <si>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</si>
  <si>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</si>
  <si>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</si>
  <si>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</si>
  <si>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</si>
  <si>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</si>
  <si>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</si>
  <si>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</si>
  <si>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</si>
  <si>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</si>
  <si>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</si>
  <si>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</si>
  <si>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</si>
  <si>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</si>
  <si>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</si>
  <si>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</si>
  <si>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</si>
  <si>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</si>
  <si>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</si>
  <si>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</si>
  <si>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</si>
  <si>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</si>
  <si>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</si>
  <si>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</si>
  <si>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</si>
  <si>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</si>
  <si>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</si>
  <si>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</si>
  <si>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</si>
  <si>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</si>
  <si>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</si>
  <si>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</si>
  <si>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</si>
  <si>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</si>
  <si>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</si>
  <si>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</si>
  <si>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</si>
  <si>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</si>
  <si>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</si>
  <si>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</si>
  <si>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</si>
  <si>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</si>
  <si>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</si>
  <si>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</si>
  <si>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</si>
  <si>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</si>
  <si>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</si>
  <si>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</si>
  <si>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</si>
  <si>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</si>
  <si>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</si>
  <si>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</si>
  <si>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</si>
  <si>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</si>
  <si>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</si>
  <si>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</si>
  <si>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</si>
  <si>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</si>
  <si>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</si>
  <si>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</si>
  <si>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</si>
  <si>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</si>
  <si>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</si>
  <si>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</si>
  <si>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</si>
  <si>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</si>
  <si>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</si>
  <si>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</si>
  <si>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</si>
  <si>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</si>
  <si>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</si>
  <si>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</si>
  <si>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</si>
  <si>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</si>
  <si>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</si>
  <si>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</si>
  <si>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</si>
  <si>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</si>
  <si>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</si>
  <si>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</si>
  <si>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</si>
  <si>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</si>
  <si>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</si>
  <si>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</si>
  <si>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</si>
  <si>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</si>
  <si>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</si>
  <si>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</si>
  <si>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</si>
  <si>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</si>
  <si>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</si>
  <si>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</si>
  <si>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</si>
  <si>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</si>
  <si>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</si>
  <si>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</si>
  <si>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</si>
  <si>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</si>
  <si>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</si>
  <si>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</si>
  <si>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</si>
  <si>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</si>
  <si>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</si>
  <si>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</si>
  <si>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</si>
  <si>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</si>
  <si>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</si>
  <si>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</si>
  <si>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</si>
  <si>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</si>
  <si>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</si>
  <si>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</si>
  <si>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</si>
  <si>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</si>
  <si>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</si>
  <si>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</si>
  <si>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</si>
  <si>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</si>
  <si>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</si>
  <si>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</si>
  <si>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</si>
  <si>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</si>
  <si>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</si>
  <si>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</si>
  <si>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</si>
  <si>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</si>
  <si>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</si>
  <si>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</si>
  <si>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</si>
  <si>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</si>
  <si>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</si>
  <si>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</si>
  <si>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</si>
  <si>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</si>
  <si>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</si>
  <si>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</si>
  <si>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</si>
  <si>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</si>
  <si>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</si>
  <si>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</si>
  <si>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</si>
  <si>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</si>
  <si>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</si>
  <si>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</si>
  <si>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</si>
  <si>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</si>
  <si>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</si>
  <si>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</si>
  <si>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</si>
  <si>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</si>
  <si>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</si>
  <si>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</si>
  <si>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</si>
  <si>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</si>
  <si>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</si>
  <si>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</si>
  <si>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</si>
  <si>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</si>
  <si>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</si>
  <si>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</si>
  <si>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</si>
  <si>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</si>
  <si>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</si>
  <si>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</si>
  <si>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</si>
  <si>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</si>
  <si>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</si>
  <si>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</si>
  <si>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</si>
  <si>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</si>
  <si>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</si>
  <si>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</si>
  <si>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</si>
  <si>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</si>
  <si>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</si>
  <si>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</si>
  <si>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</si>
  <si>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</si>
  <si>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</si>
  <si>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</si>
  <si>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</si>
  <si>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</si>
  <si>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</si>
  <si>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</si>
  <si>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</si>
  <si>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</si>
  <si>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</si>
  <si>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</si>
  <si>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</si>
  <si>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</si>
  <si>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</si>
  <si>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</si>
  <si>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</si>
  <si>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</si>
  <si>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</si>
  <si>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</si>
  <si>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</si>
  <si>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</si>
  <si>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</si>
  <si>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</si>
  <si>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</si>
  <si>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</si>
  <si>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</si>
  <si>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</si>
  <si>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</si>
  <si>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</si>
  <si>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</si>
  <si>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</si>
  <si>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</si>
  <si>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</si>
  <si>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</si>
  <si>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</si>
  <si>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</si>
  <si>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</si>
  <si>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</si>
  <si>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</si>
  <si>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</si>
  <si>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</si>
  <si>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</si>
  <si>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</si>
  <si>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</si>
  <si>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</si>
  <si>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</si>
  <si>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</si>
  <si>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</si>
  <si>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</si>
  <si>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</si>
  <si>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</si>
  <si>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</si>
  <si>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</si>
  <si>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</si>
  <si>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</si>
  <si>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</si>
  <si>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</si>
  <si>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</si>
  <si>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</si>
  <si>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</si>
  <si>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</si>
  <si>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</si>
  <si>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</si>
  <si>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</si>
  <si>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</si>
  <si>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</si>
  <si>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</si>
  <si>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</si>
  <si>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</si>
  <si>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</si>
  <si>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</si>
  <si>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</si>
  <si>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</si>
  <si>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</si>
  <si>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</si>
  <si>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</si>
  <si>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</si>
  <si>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</si>
  <si>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</si>
  <si>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</si>
  <si>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</si>
  <si>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</si>
  <si>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</si>
  <si>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</si>
  <si>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</si>
  <si>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</si>
  <si>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</si>
  <si>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</si>
  <si>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</si>
  <si>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</si>
  <si>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</si>
  <si>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</si>
  <si>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</si>
  <si>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</si>
  <si>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</si>
  <si>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</si>
  <si>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</si>
  <si>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</si>
  <si>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</si>
  <si>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</si>
  <si>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</si>
  <si>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</si>
  <si>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</si>
  <si>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</si>
  <si>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</si>
  <si>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</si>
  <si>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</si>
  <si>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</si>
  <si>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</si>
  <si>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</si>
  <si>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</si>
  <si>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</si>
  <si>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</si>
  <si>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</si>
  <si>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</si>
  <si>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</si>
  <si>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</si>
  <si>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</si>
  <si>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</si>
  <si>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</si>
  <si>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</si>
  <si>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</si>
  <si>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</si>
  <si>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</si>
  <si>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</si>
  <si>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</si>
  <si>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</si>
  <si>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</si>
  <si>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</si>
  <si>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</si>
  <si>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</si>
  <si>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</si>
  <si>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</si>
  <si>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</si>
  <si>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</si>
  <si>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</si>
  <si>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</si>
  <si>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</si>
  <si>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</si>
  <si>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</si>
  <si>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</si>
  <si>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</si>
  <si>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</si>
  <si>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</si>
  <si>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</si>
  <si>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</si>
  <si>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</si>
  <si>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</si>
  <si>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</si>
  <si>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</si>
  <si>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</si>
  <si>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</si>
  <si>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</si>
  <si>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</si>
  <si>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</si>
  <si>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</si>
  <si>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</si>
  <si>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</si>
  <si>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</si>
  <si>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</si>
  <si>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</si>
  <si>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</si>
  <si>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</si>
  <si>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</si>
  <si>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</si>
  <si>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</si>
  <si>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</si>
  <si>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</si>
  <si>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</si>
  <si>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</si>
  <si>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</si>
  <si>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</si>
  <si>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</si>
  <si>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</si>
  <si>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</si>
  <si>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</si>
  <si>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</si>
  <si>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</si>
  <si>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</si>
  <si>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</si>
  <si>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</si>
  <si>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</si>
  <si>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</si>
  <si>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</si>
  <si>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</si>
  <si>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</si>
  <si>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</si>
  <si>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</si>
  <si>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</si>
  <si>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</si>
  <si>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</si>
  <si>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</si>
  <si>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</si>
  <si>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</si>
  <si>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</si>
  <si>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</si>
  <si>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</si>
  <si>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</si>
  <si>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</si>
  <si>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</si>
  <si>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</si>
  <si>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</si>
  <si>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</si>
  <si>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</si>
  <si>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</si>
  <si>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</si>
  <si>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</si>
  <si>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</si>
  <si>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</si>
  <si>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</si>
  <si>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</si>
  <si>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</si>
  <si>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</si>
  <si>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</si>
  <si>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</si>
  <si>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</si>
  <si>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</si>
  <si>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Eisenhower Cooperative</t>
  </si>
  <si>
    <t>5318 West 135th Street</t>
  </si>
  <si>
    <t>Crestwood</t>
  </si>
  <si>
    <t>Angela Zajac</t>
  </si>
  <si>
    <t>azajac@eisencoop.org</t>
  </si>
  <si>
    <t>708-389-7580</t>
  </si>
  <si>
    <t>Terry LaBella</t>
  </si>
  <si>
    <t>talabella@sbcglobal.net</t>
  </si>
  <si>
    <t>708-952-9340</t>
  </si>
  <si>
    <t>Dr. Vanessa Kinder</t>
  </si>
  <si>
    <t>vkinder@s-cook.org</t>
  </si>
  <si>
    <t>708-754-6600</t>
  </si>
  <si>
    <t>RSM US LLP</t>
  </si>
  <si>
    <t>Mandy Pittman</t>
  </si>
  <si>
    <t>One South Wacker Drive</t>
  </si>
  <si>
    <t>Chicago</t>
  </si>
  <si>
    <t>IL</t>
  </si>
  <si>
    <t>60616-1615</t>
  </si>
  <si>
    <t>312-634-3400</t>
  </si>
  <si>
    <t>312-634-3410</t>
  </si>
  <si>
    <t>066-003346</t>
  </si>
  <si>
    <t>mandy.pittman@rsmus.com</t>
  </si>
  <si>
    <t>See AFR Opinion on opinion tab</t>
  </si>
  <si>
    <t>Series 2007</t>
  </si>
  <si>
    <t>Series 2018</t>
  </si>
  <si>
    <t>Debt certificates, building</t>
  </si>
  <si>
    <t>Debt certificates, refunding</t>
  </si>
  <si>
    <t>Worth Township Trustees of Schools</t>
  </si>
  <si>
    <t>Other difference on "Short-Term Long Term" debt tab is the payment to refund the 2007 series which is reported as an other financing use vs. regular principal payment</t>
  </si>
  <si>
    <t>None</t>
  </si>
  <si>
    <t>N/A - No findings</t>
  </si>
  <si>
    <t>N/A  - No findings</t>
  </si>
  <si>
    <t>Unmodified</t>
  </si>
  <si>
    <t>84.027A/84.173A</t>
  </si>
  <si>
    <t>Special Education (IDEA) Cluster</t>
  </si>
  <si>
    <t xml:space="preserve">                        Total Federal Awards</t>
  </si>
  <si>
    <t>N/A</t>
  </si>
  <si>
    <t xml:space="preserve">      U.S. Department of Health and Human Services</t>
  </si>
  <si>
    <t xml:space="preserve">Total Medicaid Flow Through and </t>
  </si>
  <si>
    <t xml:space="preserve">                   -  </t>
  </si>
  <si>
    <t>19-4900-00</t>
  </si>
  <si>
    <t>18-4900-00</t>
  </si>
  <si>
    <t>17-4900-00</t>
  </si>
  <si>
    <t xml:space="preserve">     Medicaid Flow Through **</t>
  </si>
  <si>
    <t xml:space="preserve">  Passed through DuPage Intermediate Educational Cooperative: </t>
  </si>
  <si>
    <t>Illinois Department of Healthcare and Family Services:</t>
  </si>
  <si>
    <t xml:space="preserve"> US Department of Agricultural</t>
  </si>
  <si>
    <t xml:space="preserve">Total Child Nutrition Cluster and </t>
  </si>
  <si>
    <t>19-4220-00</t>
  </si>
  <si>
    <t>18-4220-00</t>
  </si>
  <si>
    <t>17-4220-00</t>
  </si>
  <si>
    <t>19-4215-00</t>
  </si>
  <si>
    <t>18-4215-00</t>
  </si>
  <si>
    <t>17-4215-00</t>
  </si>
  <si>
    <t>19-4210-00</t>
  </si>
  <si>
    <t>18-4210-00</t>
  </si>
  <si>
    <t>17-4210-00</t>
  </si>
  <si>
    <t>Child Nutrition Cluster</t>
  </si>
  <si>
    <t xml:space="preserve">   Passed through Illinois State Board of Education</t>
  </si>
  <si>
    <t>U.S. Department of Agriculture</t>
  </si>
  <si>
    <t xml:space="preserve">            U.S. Department of Education (M)</t>
  </si>
  <si>
    <t xml:space="preserve">Total Special Education Cluster and </t>
  </si>
  <si>
    <t xml:space="preserve">        Total IDEA Flow Through</t>
  </si>
  <si>
    <t xml:space="preserve">                  -  </t>
  </si>
  <si>
    <t>19-2200-00</t>
  </si>
  <si>
    <t>School District 218</t>
  </si>
  <si>
    <t xml:space="preserve">   School District 143.5</t>
  </si>
  <si>
    <t>School District 143</t>
  </si>
  <si>
    <t>School District 132</t>
  </si>
  <si>
    <t>School District 130</t>
  </si>
  <si>
    <t xml:space="preserve">   School District 127.5</t>
  </si>
  <si>
    <t>School District 127</t>
  </si>
  <si>
    <t>School District 126</t>
  </si>
  <si>
    <t>School District 125</t>
  </si>
  <si>
    <t>19-4620-00</t>
  </si>
  <si>
    <t xml:space="preserve">               Eisenhower Cooperative</t>
  </si>
  <si>
    <t>18-2200-00</t>
  </si>
  <si>
    <t xml:space="preserve">                    School District 218</t>
  </si>
  <si>
    <t xml:space="preserve">                    School District 143.5</t>
  </si>
  <si>
    <t xml:space="preserve">                    School District 143</t>
  </si>
  <si>
    <t xml:space="preserve">                    School District 132</t>
  </si>
  <si>
    <t xml:space="preserve">                    School District 130</t>
  </si>
  <si>
    <t xml:space="preserve">                    School District 127.5</t>
  </si>
  <si>
    <t xml:space="preserve">                    School District 127</t>
  </si>
  <si>
    <t xml:space="preserve">                    School District 126</t>
  </si>
  <si>
    <t xml:space="preserve">                    School District 125</t>
  </si>
  <si>
    <t>18-4620-00</t>
  </si>
  <si>
    <t xml:space="preserve">             Eisenhower Cooperative</t>
  </si>
  <si>
    <t>17-2200-00</t>
  </si>
  <si>
    <t>School District 143.5</t>
  </si>
  <si>
    <t>17-4620-00</t>
  </si>
  <si>
    <t xml:space="preserve">       IDEA Flow Through</t>
  </si>
  <si>
    <t xml:space="preserve">  Special Education - Grants to States</t>
  </si>
  <si>
    <t xml:space="preserve">                  Total Preschool Flow Through</t>
  </si>
  <si>
    <t>19-4600-00</t>
  </si>
  <si>
    <t>18-4600-00</t>
  </si>
  <si>
    <t>17-4600-00</t>
  </si>
  <si>
    <t xml:space="preserve">      Flow Through</t>
  </si>
  <si>
    <t xml:space="preserve">  Special Education - Preschool</t>
  </si>
  <si>
    <t>Special Education Cluster (IDEA)</t>
  </si>
  <si>
    <t xml:space="preserve">  of Education:</t>
  </si>
  <si>
    <t xml:space="preserve">  Passed through Illinois State Board</t>
  </si>
  <si>
    <r>
      <t xml:space="preserve">The accompanying Schedule of Expenditures of Federal Awards includes the federal grant activity of the Cooperative and is presented on the modified cash </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 xml:space="preserve">asic </t>
    </r>
    <r>
      <rPr>
        <sz val="9"/>
        <rFont val="Calibri"/>
        <family val="2"/>
        <scheme val="minor"/>
      </rPr>
      <t>financial statements.</t>
    </r>
  </si>
  <si>
    <t>Of the federal expenditures presented in the schedule, the Cooperative provided federal awards to subrecipients as follows:</t>
  </si>
  <si>
    <r>
      <t xml:space="preserve">The following amounts were expended in the form of non-cash assistance by the Cooperative and </t>
    </r>
    <r>
      <rPr>
        <b/>
        <sz val="9"/>
        <rFont val="Calibri"/>
        <family val="2"/>
        <scheme val="minor"/>
      </rPr>
      <t>should be</t>
    </r>
    <r>
      <rPr>
        <sz val="9"/>
        <rFont val="Calibri"/>
        <family val="2"/>
        <scheme val="minor"/>
      </rPr>
      <t xml:space="preserve"> included in the Schedule of Expenditures of Federal Awards:</t>
    </r>
  </si>
  <si>
    <t>Total Grants to States IDEA Flow Through</t>
  </si>
  <si>
    <t>School District 127.5</t>
  </si>
  <si>
    <t>Special Education - Grants to States IDEA Flow Through</t>
  </si>
  <si>
    <t>Total Preschool Flow Through</t>
  </si>
  <si>
    <t>Special Education- Preschool Flow Through</t>
  </si>
  <si>
    <t>PUBLIC CONSULTING GROUP</t>
  </si>
  <si>
    <t>10-2660-300</t>
  </si>
  <si>
    <t>ED-Central: Data Processing Services-Purchased Services</t>
  </si>
  <si>
    <t>SCHOOL DISTRICT #143-MIDLOTHIAN</t>
  </si>
  <si>
    <t>10-2560-300</t>
  </si>
  <si>
    <t>ED-Business: Food Services-Purchased Services</t>
  </si>
  <si>
    <t>SCHOOL DISTRICT #130</t>
  </si>
  <si>
    <t>ALPHA SCHOOL BUS</t>
  </si>
  <si>
    <t>10-2550-300</t>
  </si>
  <si>
    <t>ED-Business: Pupil Transportation-Purchased Services</t>
  </si>
  <si>
    <t>10-2540-400</t>
  </si>
  <si>
    <t>ED-Business: Ops and Maint of Plant Services-Supplies and Materials</t>
  </si>
  <si>
    <t>10-2540-300</t>
  </si>
  <si>
    <t>ED-Business: Ops and Maint of Plant Services-Purchased Services</t>
  </si>
  <si>
    <t>10-2300-300</t>
  </si>
  <si>
    <t>ED-Support Services: General Admin-Purchased Services</t>
  </si>
  <si>
    <t>ROBBINS,SCHWARTZ,NICHOLAS,LIFTON&amp;TAYLOR</t>
  </si>
  <si>
    <t>ISDLAF PLUS-COLLECTIVE LBLTY INS COOP</t>
  </si>
  <si>
    <t>ALL INFORMATION SERVICES, INC (AIS)</t>
  </si>
  <si>
    <t>TOP ECHELON CONTRACTING,LLC</t>
  </si>
  <si>
    <t>10-2100-300</t>
  </si>
  <si>
    <t>ED-Support Services: Pupil-Purchased Services</t>
  </si>
  <si>
    <t>SUNBELT STAFFING</t>
  </si>
  <si>
    <t>SERTOMA SPEECH &amp; HEARING CENTER</t>
  </si>
  <si>
    <t>MEDISCAN STAFFING SERVICES</t>
  </si>
  <si>
    <t>INVO HEALTHCARE ASSOCIATES</t>
  </si>
  <si>
    <t>DON JOHNSTON</t>
  </si>
  <si>
    <t>10-1000-400</t>
  </si>
  <si>
    <t>ED-Instruction-Supplies and Materials</t>
  </si>
  <si>
    <t>THERAPY SOURCE STAFFING SOLUTIONS</t>
  </si>
  <si>
    <t>10-1000-300</t>
  </si>
  <si>
    <t>ED-Instruction-Purchased Services</t>
  </si>
  <si>
    <t>AFR Opinion</t>
  </si>
  <si>
    <t>AFR Pages with signatures</t>
  </si>
  <si>
    <t>Single Audit Report</t>
  </si>
  <si>
    <t>Financial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</si>
</sst>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9.5"/>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43" fontId="1" fillId="0" borderId="0" applyFont="0" applyFill="0" applyBorder="0" applyAlignment="0" applyProtection="0"/>
    <xf numFmtId="0" fontId="1" fillId="0" borderId="0"/>
    <xf numFmtId="0" fontId="1" fillId="0" borderId="0"/>
  </cellStyleXfs>
  <cellXfs count="2517">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5" xfId="12" applyNumberFormat="1" applyFont="1" applyBorder="1" applyAlignment="1" applyProtection="1">
      <alignment horizontal="right" vertical="center"/>
    </xf>
    <xf numFmtId="0" fontId="7" fillId="0" borderId="125" xfId="12" applyFont="1" applyBorder="1" applyAlignment="1" applyProtection="1">
      <alignment vertical="center"/>
    </xf>
    <xf numFmtId="0" fontId="10" fillId="0" borderId="128" xfId="12" applyFont="1" applyBorder="1" applyAlignment="1" applyProtection="1">
      <alignment vertical="center"/>
    </xf>
    <xf numFmtId="0" fontId="10" fillId="0" borderId="126" xfId="12" applyFont="1" applyBorder="1" applyAlignment="1" applyProtection="1">
      <alignment vertical="center"/>
    </xf>
    <xf numFmtId="1" fontId="6" fillId="0" borderId="0" xfId="0" applyNumberFormat="1" applyFont="1" applyAlignment="1">
      <alignment horizontal="center" vertical="center"/>
    </xf>
    <xf numFmtId="0" fontId="7" fillId="0" borderId="135"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101" xfId="0" applyFont="1" applyFill="1" applyBorder="1" applyAlignment="1">
      <alignment horizontal="center" vertical="center"/>
    </xf>
    <xf numFmtId="0" fontId="72" fillId="9" borderId="102" xfId="0" applyFont="1" applyFill="1" applyBorder="1" applyAlignment="1">
      <alignment horizontal="center" vertical="center"/>
    </xf>
    <xf numFmtId="0" fontId="50" fillId="17" borderId="121" xfId="0" applyFont="1" applyFill="1" applyBorder="1" applyAlignment="1" applyProtection="1">
      <alignment horizontal="left" vertical="center"/>
    </xf>
    <xf numFmtId="164" fontId="50" fillId="17" borderId="121" xfId="0" applyNumberFormat="1" applyFont="1" applyFill="1" applyBorder="1" applyAlignment="1" applyProtection="1">
      <alignment horizontal="center" vertical="center"/>
    </xf>
    <xf numFmtId="164" fontId="60" fillId="17" borderId="121" xfId="0" applyNumberFormat="1" applyFont="1" applyFill="1" applyBorder="1" applyAlignment="1" applyProtection="1">
      <alignment vertical="center"/>
    </xf>
    <xf numFmtId="0" fontId="73" fillId="10" borderId="122" xfId="0" applyFont="1" applyFill="1" applyBorder="1" applyAlignment="1">
      <alignment horizontal="left" vertical="center"/>
    </xf>
    <xf numFmtId="38" fontId="45" fillId="10" borderId="103" xfId="0" applyNumberFormat="1" applyFont="1" applyFill="1" applyBorder="1" applyAlignment="1">
      <alignment horizontal="right"/>
    </xf>
    <xf numFmtId="38" fontId="45" fillId="10" borderId="110" xfId="0" applyNumberFormat="1" applyFont="1" applyFill="1" applyBorder="1" applyAlignment="1">
      <alignment horizontal="right"/>
    </xf>
    <xf numFmtId="0" fontId="74" fillId="11" borderId="103" xfId="0" applyFont="1" applyFill="1" applyBorder="1" applyAlignment="1">
      <alignment vertical="center"/>
    </xf>
    <xf numFmtId="164" fontId="50" fillId="13" borderId="117"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53" fillId="13" borderId="103" xfId="0" applyFont="1" applyFill="1" applyBorder="1" applyAlignment="1" applyProtection="1">
      <alignment vertical="center"/>
    </xf>
    <xf numFmtId="38" fontId="45" fillId="11" borderId="120" xfId="0" applyNumberFormat="1" applyFont="1" applyFill="1" applyBorder="1" applyAlignment="1" applyProtection="1">
      <alignment horizontal="right"/>
      <protection locked="0"/>
    </xf>
    <xf numFmtId="38" fontId="45" fillId="11" borderId="103" xfId="0" applyNumberFormat="1" applyFont="1" applyFill="1" applyBorder="1" applyAlignment="1" applyProtection="1">
      <alignment horizontal="right"/>
      <protection locked="0"/>
    </xf>
    <xf numFmtId="38" fontId="45" fillId="11" borderId="110" xfId="0" applyNumberFormat="1" applyFont="1" applyFill="1" applyBorder="1" applyAlignment="1" applyProtection="1">
      <alignment horizontal="right"/>
      <protection locked="0"/>
    </xf>
    <xf numFmtId="0" fontId="50" fillId="17" borderId="110" xfId="0" applyFont="1" applyFill="1" applyBorder="1" applyAlignment="1" applyProtection="1">
      <alignment horizontal="center" vertical="center"/>
    </xf>
    <xf numFmtId="164" fontId="50" fillId="17" borderId="110" xfId="0" applyNumberFormat="1" applyFont="1" applyFill="1" applyBorder="1" applyAlignment="1" applyProtection="1">
      <alignment horizontal="center" vertical="center"/>
    </xf>
    <xf numFmtId="164" fontId="60" fillId="17" borderId="110" xfId="0" applyNumberFormat="1" applyFont="1" applyFill="1" applyBorder="1" applyAlignment="1" applyProtection="1">
      <alignment vertical="center"/>
    </xf>
    <xf numFmtId="0" fontId="73" fillId="10" borderId="103"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7" xfId="0" applyFont="1" applyFill="1" applyBorder="1" applyAlignment="1" applyProtection="1">
      <alignment horizontal="left" vertical="center"/>
    </xf>
    <xf numFmtId="164" fontId="50" fillId="13" borderId="110" xfId="0" applyNumberFormat="1" applyFont="1" applyFill="1" applyBorder="1" applyAlignment="1" applyProtection="1">
      <alignment horizontal="center" vertical="center"/>
    </xf>
    <xf numFmtId="164" fontId="58" fillId="13"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0" fillId="13" borderId="118" xfId="0" applyFont="1" applyFill="1" applyBorder="1" applyAlignment="1" applyProtection="1">
      <alignment horizontal="center" vertical="center"/>
    </xf>
    <xf numFmtId="164" fontId="50" fillId="13" borderId="119" xfId="0" applyNumberFormat="1" applyFont="1" applyFill="1" applyBorder="1" applyAlignment="1" applyProtection="1">
      <alignment horizontal="center" vertical="center"/>
    </xf>
    <xf numFmtId="164" fontId="60" fillId="13" borderId="119" xfId="0" applyNumberFormat="1" applyFont="1" applyFill="1" applyBorder="1" applyAlignment="1" applyProtection="1">
      <alignment vertical="center"/>
    </xf>
    <xf numFmtId="38" fontId="45" fillId="11" borderId="110" xfId="0" applyNumberFormat="1" applyFont="1" applyFill="1" applyBorder="1" applyAlignment="1">
      <alignment horizontal="right"/>
    </xf>
    <xf numFmtId="0" fontId="73" fillId="10" borderId="104" xfId="0" applyFont="1" applyFill="1" applyBorder="1" applyAlignment="1">
      <alignment horizontal="left" vertical="center"/>
    </xf>
    <xf numFmtId="38" fontId="45" fillId="10" borderId="104"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7" xfId="0" applyNumberFormat="1" applyFont="1" applyBorder="1" applyAlignment="1" applyProtection="1">
      <alignment horizontal="center" vertical="center"/>
    </xf>
    <xf numFmtId="38" fontId="51" fillId="0" borderId="127" xfId="0" applyNumberFormat="1" applyFont="1" applyBorder="1" applyAlignment="1" applyProtection="1">
      <alignment horizontal="right"/>
      <protection locked="0"/>
    </xf>
    <xf numFmtId="38" fontId="51" fillId="3" borderId="127"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3" xfId="0" applyNumberFormat="1" applyFont="1" applyFill="1" applyBorder="1" applyAlignment="1" applyProtection="1">
      <alignment horizontal="right"/>
      <protection locked="0"/>
    </xf>
    <xf numFmtId="38" fontId="51" fillId="0" borderId="111"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7"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7"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5"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7" xfId="0" applyFont="1" applyFill="1" applyBorder="1" applyAlignment="1">
      <alignment horizontal="center" vertical="center"/>
    </xf>
    <xf numFmtId="38" fontId="51" fillId="0" borderId="127"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5"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6" xfId="0" applyNumberFormat="1" applyFont="1" applyFill="1" applyBorder="1" applyAlignment="1">
      <alignment horizontal="center" vertical="center"/>
    </xf>
    <xf numFmtId="49" fontId="58" fillId="0" borderId="127"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7"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5"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3" xfId="3" applyNumberFormat="1" applyFont="1" applyBorder="1" applyAlignment="1">
      <alignment horizontal="center" vertical="center"/>
    </xf>
    <xf numFmtId="0" fontId="53" fillId="0" borderId="133"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3"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2" xfId="0" applyFont="1" applyBorder="1"/>
    <xf numFmtId="0" fontId="51" fillId="0" borderId="13" xfId="0" applyFont="1" applyBorder="1"/>
    <xf numFmtId="0" fontId="51" fillId="0" borderId="125" xfId="0" applyFont="1" applyBorder="1" applyAlignment="1">
      <alignment horizontal="left" vertical="top"/>
    </xf>
    <xf numFmtId="164" fontId="109" fillId="0" borderId="128" xfId="0" applyNumberFormat="1" applyFont="1" applyBorder="1" applyAlignment="1">
      <alignment horizontal="right" vertical="top"/>
    </xf>
    <xf numFmtId="0" fontId="51" fillId="0" borderId="128" xfId="0" applyNumberFormat="1" applyFont="1" applyBorder="1" applyAlignment="1">
      <alignment horizontal="left" vertical="center" wrapText="1" indent="1"/>
    </xf>
    <xf numFmtId="0" fontId="81" fillId="0" borderId="127" xfId="0" applyFont="1" applyBorder="1" applyAlignment="1">
      <alignment horizontal="left" vertical="center" wrapText="1"/>
    </xf>
    <xf numFmtId="0" fontId="51" fillId="0" borderId="128" xfId="0" applyFont="1" applyBorder="1" applyAlignment="1">
      <alignment horizontal="left" vertical="top"/>
    </xf>
    <xf numFmtId="0" fontId="51" fillId="0" borderId="0" xfId="0" applyFont="1" applyBorder="1" applyAlignment="1">
      <alignment vertical="top"/>
    </xf>
    <xf numFmtId="0" fontId="111" fillId="0" borderId="128" xfId="0" applyNumberFormat="1" applyFont="1" applyBorder="1" applyAlignment="1">
      <alignment horizontal="left" vertical="center"/>
    </xf>
    <xf numFmtId="0" fontId="109" fillId="0" borderId="128" xfId="0" applyFont="1" applyBorder="1" applyAlignment="1">
      <alignment vertical="top"/>
    </xf>
    <xf numFmtId="0" fontId="109" fillId="0" borderId="128" xfId="0" applyFont="1" applyBorder="1" applyAlignment="1">
      <alignment horizontal="left" vertical="top"/>
    </xf>
    <xf numFmtId="0" fontId="51" fillId="0" borderId="125" xfId="0" applyFont="1" applyBorder="1" applyAlignment="1"/>
    <xf numFmtId="164" fontId="109" fillId="0" borderId="128" xfId="0" applyNumberFormat="1" applyFont="1" applyBorder="1" applyAlignment="1"/>
    <xf numFmtId="0" fontId="51" fillId="0" borderId="128" xfId="0" applyFont="1" applyBorder="1" applyAlignment="1"/>
    <xf numFmtId="0" fontId="58" fillId="0" borderId="126"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4"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5" xfId="0" applyFont="1" applyFill="1" applyBorder="1" applyAlignment="1"/>
    <xf numFmtId="0" fontId="50" fillId="0" borderId="128" xfId="0" applyFont="1" applyFill="1" applyBorder="1" applyAlignment="1">
      <alignment horizontal="left" vertical="top"/>
    </xf>
    <xf numFmtId="0" fontId="50" fillId="0" borderId="126"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6"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3" xfId="3" quotePrefix="1" applyNumberFormat="1" applyFont="1" applyBorder="1" applyAlignment="1" applyProtection="1">
      <alignment horizontal="left"/>
    </xf>
    <xf numFmtId="0" fontId="58" fillId="0" borderId="144" xfId="3" applyNumberFormat="1" applyFont="1" applyBorder="1" applyAlignment="1" applyProtection="1">
      <alignment horizontal="center"/>
    </xf>
    <xf numFmtId="0" fontId="58" fillId="0" borderId="144" xfId="3" applyNumberFormat="1" applyFont="1" applyBorder="1" applyProtection="1"/>
    <xf numFmtId="0" fontId="51" fillId="0" borderId="143" xfId="3" applyNumberFormat="1" applyFont="1" applyBorder="1" applyAlignment="1" applyProtection="1"/>
    <xf numFmtId="0" fontId="58" fillId="0" borderId="145" xfId="3" applyNumberFormat="1" applyFont="1" applyBorder="1" applyAlignment="1" applyProtection="1">
      <alignment horizontal="centerContinuous"/>
    </xf>
    <xf numFmtId="0" fontId="51" fillId="0" borderId="143" xfId="3" applyNumberFormat="1" applyFont="1" applyBorder="1" applyAlignment="1" applyProtection="1">
      <alignment horizontal="left"/>
    </xf>
    <xf numFmtId="0" fontId="58" fillId="0" borderId="145" xfId="3" applyNumberFormat="1" applyFont="1" applyBorder="1" applyProtection="1"/>
    <xf numFmtId="0" fontId="58" fillId="0" borderId="144"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3"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7"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4"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8"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6" xfId="3" applyFont="1" applyBorder="1" applyProtection="1"/>
    <xf numFmtId="0" fontId="51" fillId="0" borderId="147" xfId="3" applyFont="1" applyBorder="1" applyProtection="1">
      <protection locked="0"/>
    </xf>
    <xf numFmtId="0" fontId="51" fillId="0" borderId="146"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5" xfId="3" applyNumberFormat="1" applyFont="1" applyBorder="1" applyAlignment="1" applyProtection="1">
      <alignment horizontal="center"/>
    </xf>
    <xf numFmtId="0" fontId="60" fillId="0" borderId="144" xfId="3" applyFont="1" applyBorder="1" applyAlignment="1" applyProtection="1">
      <alignment horizontal="centerContinuous"/>
    </xf>
    <xf numFmtId="0" fontId="60" fillId="0" borderId="145"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5"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0" borderId="72" xfId="3" applyFont="1" applyFill="1" applyBorder="1" applyAlignment="1" applyProtection="1">
      <alignment horizontal="center"/>
    </xf>
    <xf numFmtId="0" fontId="60" fillId="21"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0"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1"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0" borderId="0" xfId="3" applyFont="1" applyFill="1" applyProtection="1"/>
    <xf numFmtId="169" fontId="53" fillId="20" borderId="0" xfId="3" applyNumberFormat="1" applyFont="1" applyFill="1" applyProtection="1"/>
    <xf numFmtId="1" fontId="53" fillId="20" borderId="0" xfId="3" applyNumberFormat="1" applyFont="1" applyFill="1" applyProtection="1"/>
    <xf numFmtId="0" fontId="53" fillId="20"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4" xfId="3" applyFont="1" applyBorder="1" applyProtection="1"/>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4" xfId="3" quotePrefix="1" applyFont="1" applyBorder="1" applyAlignment="1" applyProtection="1">
      <alignment horizontal="left"/>
    </xf>
    <xf numFmtId="0" fontId="51" fillId="0" borderId="144" xfId="3" applyFont="1" applyBorder="1" applyProtection="1"/>
    <xf numFmtId="0" fontId="51" fillId="0" borderId="144"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4" xfId="3" applyFont="1" applyBorder="1" applyProtection="1"/>
    <xf numFmtId="0" fontId="53" fillId="0" borderId="0" xfId="3" applyFont="1" applyBorder="1" applyAlignment="1" applyProtection="1">
      <alignment horizontal="left"/>
    </xf>
    <xf numFmtId="0" fontId="60" fillId="0" borderId="144" xfId="3" applyFont="1" applyBorder="1" applyAlignment="1" applyProtection="1">
      <alignment horizontal="left"/>
    </xf>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4"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9"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51" xfId="3" applyFont="1" applyBorder="1" applyAlignment="1" applyProtection="1">
      <alignment horizontal="left"/>
    </xf>
    <xf numFmtId="0" fontId="53" fillId="0" borderId="151" xfId="3" applyFont="1" applyBorder="1" applyProtection="1"/>
    <xf numFmtId="0" fontId="53" fillId="0" borderId="151"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8"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9"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7" xfId="0" applyNumberFormat="1" applyFont="1" applyBorder="1" applyAlignment="1">
      <alignment horizontal="left" vertical="center" wrapText="1" indent="1"/>
    </xf>
    <xf numFmtId="3" fontId="58" fillId="0" borderId="125"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7"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7" xfId="0" applyNumberFormat="1" applyFont="1" applyFill="1" applyBorder="1" applyAlignment="1" applyProtection="1">
      <alignment horizontal="right" vertical="center"/>
      <protection locked="0"/>
    </xf>
    <xf numFmtId="38" fontId="50" fillId="6" borderId="155" xfId="0" applyNumberFormat="1" applyFont="1" applyFill="1" applyBorder="1" applyAlignment="1">
      <alignment horizontal="center" vertical="center" wrapText="1"/>
    </xf>
    <xf numFmtId="38" fontId="50" fillId="6" borderId="155" xfId="0" applyNumberFormat="1" applyFont="1" applyFill="1" applyBorder="1" applyAlignment="1">
      <alignment horizontal="center" vertical="top" wrapText="1"/>
    </xf>
    <xf numFmtId="38" fontId="60" fillId="6" borderId="155"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31" xfId="0" applyNumberFormat="1" applyFont="1" applyFill="1" applyBorder="1" applyAlignment="1">
      <alignment horizontal="center"/>
    </xf>
    <xf numFmtId="3" fontId="51" fillId="23" borderId="131" xfId="0" applyNumberFormat="1" applyFont="1" applyFill="1" applyBorder="1" applyAlignment="1">
      <alignment horizontal="right"/>
    </xf>
    <xf numFmtId="3" fontId="51" fillId="23" borderId="132"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5"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7"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5" xfId="0" applyNumberFormat="1" applyFont="1" applyFill="1" applyBorder="1" applyAlignment="1">
      <alignment horizontal="left" vertical="center" wrapText="1"/>
    </xf>
    <xf numFmtId="49" fontId="60" fillId="17" borderId="127"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5"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7" xfId="0" applyFont="1" applyFill="1" applyBorder="1" applyAlignment="1">
      <alignment horizontal="left" vertical="center" wrapText="1"/>
    </xf>
    <xf numFmtId="3" fontId="60" fillId="17" borderId="127"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9" xfId="0" applyFont="1" applyBorder="1" applyAlignment="1">
      <alignment horizontal="centerContinuous" vertical="center"/>
    </xf>
    <xf numFmtId="0" fontId="51" fillId="0" borderId="160" xfId="0" applyFont="1" applyBorder="1" applyAlignment="1">
      <alignment horizontal="centerContinuous" vertical="center"/>
    </xf>
    <xf numFmtId="0" fontId="53" fillId="0" borderId="160"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0" fontId="60" fillId="0" borderId="5" xfId="3" applyFont="1" applyFill="1" applyBorder="1" applyAlignment="1" applyProtection="1"/>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7"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7"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6" xfId="0" applyFont="1" applyFill="1" applyBorder="1"/>
    <xf numFmtId="37" fontId="51" fillId="16" borderId="126" xfId="0" applyNumberFormat="1" applyFont="1" applyFill="1" applyBorder="1"/>
    <xf numFmtId="37" fontId="51" fillId="16" borderId="128"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0" fillId="16" borderId="75"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7"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1"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7"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62"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4"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59" xfId="18" applyFont="1" applyBorder="1" applyAlignment="1">
      <alignment horizontal="left" vertical="center" wrapText="1"/>
    </xf>
    <xf numFmtId="0" fontId="100" fillId="0" borderId="160" xfId="18" applyFont="1" applyBorder="1" applyAlignment="1">
      <alignment horizontal="left" vertical="center" wrapText="1"/>
    </xf>
    <xf numFmtId="49" fontId="100" fillId="17"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2"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40" xfId="18" applyFont="1" applyBorder="1" applyAlignment="1">
      <alignment vertical="top"/>
    </xf>
    <xf numFmtId="0" fontId="44" fillId="0" borderId="141" xfId="18" applyFont="1" applyBorder="1" applyAlignment="1">
      <alignment vertical="top"/>
    </xf>
    <xf numFmtId="0" fontId="45" fillId="15" borderId="76" xfId="18" applyFont="1" applyFill="1" applyBorder="1" applyAlignment="1">
      <alignment vertical="top"/>
    </xf>
    <xf numFmtId="0" fontId="44" fillId="0" borderId="140" xfId="18" applyFont="1" applyBorder="1" applyAlignment="1">
      <alignment vertical="top" wrapText="1"/>
    </xf>
    <xf numFmtId="0" fontId="44" fillId="0" borderId="141"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8" xfId="18" applyFont="1" applyFill="1" applyBorder="1" applyAlignment="1">
      <alignment horizontal="center" vertical="center" wrapText="1"/>
    </xf>
    <xf numFmtId="0" fontId="100" fillId="23" borderId="163" xfId="18" applyFont="1" applyFill="1" applyBorder="1" applyAlignment="1">
      <alignment horizontal="center" vertical="center" wrapText="1"/>
    </xf>
    <xf numFmtId="0" fontId="100" fillId="17" borderId="139" xfId="18" applyFont="1" applyFill="1" applyBorder="1" applyAlignment="1">
      <alignment horizontal="center" vertical="center" wrapText="1"/>
    </xf>
    <xf numFmtId="49" fontId="100" fillId="17" borderId="107" xfId="18" applyNumberFormat="1" applyFont="1" applyFill="1" applyBorder="1" applyAlignment="1">
      <alignment horizontal="center" vertical="center" wrapText="1"/>
    </xf>
    <xf numFmtId="0" fontId="45" fillId="17" borderId="108" xfId="18" applyFont="1" applyFill="1" applyBorder="1" applyAlignment="1">
      <alignment horizontal="center"/>
    </xf>
    <xf numFmtId="0" fontId="98" fillId="0" borderId="139"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7"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7"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7"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3" fontId="58" fillId="21" borderId="22" xfId="3" applyNumberFormat="1" applyFont="1" applyFill="1" applyBorder="1" applyAlignment="1" applyProtection="1">
      <alignment horizontal="center"/>
      <protection locked="0"/>
    </xf>
    <xf numFmtId="3" fontId="58" fillId="20" borderId="22" xfId="3" applyNumberFormat="1" applyFont="1" applyFill="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81" fontId="60" fillId="21" borderId="22" xfId="19" applyNumberFormat="1" applyFont="1" applyFill="1" applyBorder="1" applyAlignment="1" applyProtection="1">
      <alignment horizontal="center"/>
      <protection locked="0"/>
    </xf>
    <xf numFmtId="181" fontId="60" fillId="0" borderId="22" xfId="19" applyNumberFormat="1" applyFont="1" applyBorder="1" applyAlignment="1" applyProtection="1">
      <alignment horizontal="center"/>
      <protection locked="0"/>
    </xf>
    <xf numFmtId="181" fontId="60" fillId="20" borderId="22" xfId="19" applyNumberFormat="1" applyFont="1" applyFill="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protection locked="0"/>
    </xf>
    <xf numFmtId="181" fontId="58" fillId="21" borderId="22" xfId="19" applyNumberFormat="1" applyFont="1" applyFill="1" applyBorder="1" applyAlignment="1" applyProtection="1">
      <alignment horizontal="center"/>
      <protection locked="0"/>
    </xf>
    <xf numFmtId="181" fontId="58" fillId="0" borderId="22" xfId="19" applyNumberFormat="1" applyFont="1" applyBorder="1" applyAlignment="1" applyProtection="1">
      <alignment horizontal="center"/>
      <protection locked="0"/>
    </xf>
    <xf numFmtId="181" fontId="58" fillId="20" borderId="22" xfId="19" applyNumberFormat="1" applyFont="1" applyFill="1" applyBorder="1" applyAlignment="1" applyProtection="1">
      <alignment horizontal="center"/>
      <protection locked="0"/>
    </xf>
    <xf numFmtId="169" fontId="60" fillId="0" borderId="148" xfId="3" applyNumberFormat="1" applyFont="1" applyBorder="1" applyAlignment="1" applyProtection="1">
      <alignment horizontal="center"/>
      <protection locked="0"/>
    </xf>
    <xf numFmtId="3" fontId="58" fillId="0" borderId="146" xfId="3" applyNumberFormat="1" applyFont="1" applyBorder="1" applyAlignment="1" applyProtection="1">
      <alignment horizontal="left" vertical="center" wrapText="1"/>
      <protection locked="0"/>
    </xf>
    <xf numFmtId="181" fontId="60" fillId="21" borderId="8" xfId="19" applyNumberFormat="1" applyFont="1" applyFill="1" applyBorder="1" applyAlignment="1" applyProtection="1">
      <alignment horizontal="center"/>
      <protection locked="0"/>
    </xf>
    <xf numFmtId="181" fontId="60" fillId="0" borderId="8" xfId="19" applyNumberFormat="1" applyFont="1" applyBorder="1" applyAlignment="1" applyProtection="1">
      <alignment horizontal="center"/>
      <protection locked="0"/>
    </xf>
    <xf numFmtId="181" fontId="60" fillId="20" borderId="8" xfId="19" applyNumberFormat="1" applyFont="1" applyFill="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8" xfId="3" applyNumberFormat="1" applyFont="1" applyBorder="1" applyAlignment="1" applyProtection="1">
      <alignment horizontal="center"/>
      <protection locked="0"/>
    </xf>
    <xf numFmtId="181" fontId="58" fillId="21" borderId="8" xfId="19" applyNumberFormat="1" applyFont="1" applyFill="1" applyBorder="1" applyAlignment="1" applyProtection="1">
      <alignment horizontal="center"/>
      <protection locked="0"/>
    </xf>
    <xf numFmtId="181" fontId="58" fillId="0" borderId="8" xfId="19" applyNumberFormat="1" applyFont="1" applyBorder="1" applyAlignment="1" applyProtection="1">
      <alignment horizontal="center"/>
      <protection locked="0"/>
    </xf>
    <xf numFmtId="181" fontId="58" fillId="20" borderId="8" xfId="19" applyNumberFormat="1" applyFont="1" applyFill="1" applyBorder="1" applyAlignment="1" applyProtection="1">
      <alignment horizontal="center"/>
      <protection locked="0"/>
    </xf>
    <xf numFmtId="3" fontId="58" fillId="0" borderId="22" xfId="3" applyNumberFormat="1" applyFont="1" applyBorder="1" applyAlignment="1" applyProtection="1">
      <alignment horizontal="left" vertical="center" wrapText="1" indent="5"/>
      <protection locked="0"/>
    </xf>
    <xf numFmtId="3" fontId="58" fillId="21" borderId="8" xfId="3" applyNumberFormat="1" applyFont="1" applyFill="1" applyBorder="1" applyAlignment="1" applyProtection="1">
      <alignment horizontal="center"/>
      <protection locked="0"/>
    </xf>
    <xf numFmtId="3" fontId="58" fillId="20" borderId="8" xfId="3" applyNumberFormat="1" applyFont="1" applyFill="1" applyBorder="1" applyAlignment="1" applyProtection="1">
      <alignment horizontal="center"/>
      <protection locked="0"/>
    </xf>
    <xf numFmtId="0" fontId="1" fillId="0" borderId="0" xfId="20"/>
    <xf numFmtId="0" fontId="1" fillId="0" borderId="0" xfId="21"/>
    <xf numFmtId="0" fontId="1" fillId="0" borderId="0" xfId="21" applyAlignment="1">
      <alignment vertical="top"/>
    </xf>
    <xf numFmtId="38" fontId="1" fillId="0" borderId="0" xfId="21" applyNumberFormat="1" applyAlignment="1">
      <alignment horizontal="right" vertical="top"/>
    </xf>
    <xf numFmtId="0" fontId="1" fillId="0" borderId="0" xfId="21" applyAlignment="1">
      <alignment horizontal="left" vertical="top" wrapText="1"/>
    </xf>
    <xf numFmtId="38" fontId="1" fillId="16" borderId="158" xfId="21" applyNumberFormat="1" applyFill="1" applyBorder="1" applyAlignment="1" applyProtection="1">
      <alignment vertical="top"/>
    </xf>
    <xf numFmtId="38" fontId="1" fillId="16" borderId="158" xfId="21" applyNumberFormat="1" applyFont="1" applyFill="1" applyBorder="1" applyAlignment="1" applyProtection="1">
      <alignment horizontal="right" vertical="top"/>
    </xf>
    <xf numFmtId="38" fontId="1" fillId="22" borderId="158" xfId="21" applyNumberFormat="1" applyFill="1" applyBorder="1" applyAlignment="1">
      <alignment horizontal="right" vertical="top"/>
    </xf>
    <xf numFmtId="38" fontId="1" fillId="16" borderId="158" xfId="21" applyNumberFormat="1" applyFill="1" applyBorder="1" applyAlignment="1" applyProtection="1">
      <alignment horizontal="right" vertical="top"/>
    </xf>
    <xf numFmtId="0" fontId="1" fillId="16" borderId="158" xfId="21" applyFill="1" applyBorder="1" applyAlignment="1" applyProtection="1">
      <alignment vertical="top"/>
    </xf>
    <xf numFmtId="49" fontId="1" fillId="16" borderId="158" xfId="21" applyNumberFormat="1" applyFill="1" applyBorder="1" applyAlignment="1" applyProtection="1">
      <alignment vertical="top"/>
    </xf>
    <xf numFmtId="0" fontId="1" fillId="16" borderId="158" xfId="21" applyFill="1" applyBorder="1" applyAlignment="1" applyProtection="1">
      <alignment horizontal="left" vertical="top" wrapText="1"/>
    </xf>
    <xf numFmtId="38" fontId="1" fillId="16" borderId="157" xfId="21" applyNumberFormat="1" applyFill="1" applyBorder="1" applyAlignment="1" applyProtection="1">
      <alignment vertical="top"/>
    </xf>
    <xf numFmtId="38" fontId="123" fillId="16" borderId="157" xfId="21" applyNumberFormat="1" applyFont="1" applyFill="1" applyBorder="1" applyAlignment="1" applyProtection="1">
      <alignment horizontal="right" vertical="top"/>
    </xf>
    <xf numFmtId="38" fontId="1" fillId="22" borderId="157" xfId="21" applyNumberFormat="1" applyFill="1" applyBorder="1" applyAlignment="1">
      <alignment horizontal="right" vertical="top"/>
    </xf>
    <xf numFmtId="38" fontId="1" fillId="0" borderId="157" xfId="21" applyNumberFormat="1" applyBorder="1" applyAlignment="1" applyProtection="1">
      <alignment horizontal="right" vertical="top"/>
      <protection locked="0"/>
    </xf>
    <xf numFmtId="0" fontId="1" fillId="0" borderId="157" xfId="21" applyBorder="1" applyAlignment="1" applyProtection="1">
      <alignment vertical="top"/>
      <protection locked="0"/>
    </xf>
    <xf numFmtId="49" fontId="1" fillId="0" borderId="157" xfId="21" applyNumberFormat="1" applyBorder="1" applyAlignment="1" applyProtection="1">
      <alignment horizontal="center" vertical="center"/>
      <protection locked="0"/>
    </xf>
    <xf numFmtId="0" fontId="1" fillId="0" borderId="157" xfId="21" applyBorder="1" applyAlignment="1" applyProtection="1">
      <alignment horizontal="left" vertical="top" wrapText="1"/>
      <protection locked="0"/>
    </xf>
    <xf numFmtId="49" fontId="1" fillId="0" borderId="157" xfId="21" applyNumberFormat="1" applyFont="1" applyBorder="1" applyAlignment="1" applyProtection="1">
      <alignment horizontal="center" vertical="center"/>
      <protection locked="0"/>
    </xf>
    <xf numFmtId="0" fontId="1" fillId="0" borderId="157" xfId="21" applyFont="1" applyBorder="1" applyAlignment="1" applyProtection="1">
      <alignment vertical="top"/>
      <protection locked="0"/>
    </xf>
    <xf numFmtId="0" fontId="1" fillId="0" borderId="157" xfId="21" applyFont="1" applyBorder="1" applyAlignment="1" applyProtection="1">
      <alignment horizontal="left" vertical="top" wrapText="1"/>
      <protection locked="0"/>
    </xf>
    <xf numFmtId="49" fontId="1" fillId="0" borderId="157" xfId="21" applyNumberFormat="1" applyFont="1" applyBorder="1" applyAlignment="1" applyProtection="1">
      <alignment horizontal="center" vertical="top"/>
      <protection locked="0"/>
    </xf>
    <xf numFmtId="0" fontId="1" fillId="0" borderId="0" xfId="21" quotePrefix="1" applyNumberFormat="1" applyFont="1"/>
    <xf numFmtId="38" fontId="123" fillId="20" borderId="157" xfId="21" applyNumberFormat="1" applyFont="1" applyFill="1" applyBorder="1" applyAlignment="1" applyProtection="1">
      <alignment vertical="top"/>
    </xf>
    <xf numFmtId="38" fontId="123" fillId="20" borderId="157" xfId="21" applyNumberFormat="1" applyFont="1" applyFill="1" applyBorder="1" applyAlignment="1" applyProtection="1">
      <alignment horizontal="right" vertical="top"/>
    </xf>
    <xf numFmtId="0" fontId="123" fillId="20" borderId="157" xfId="21" applyFont="1" applyFill="1" applyBorder="1" applyAlignment="1" applyProtection="1">
      <alignment vertical="top"/>
    </xf>
    <xf numFmtId="49" fontId="123" fillId="20" borderId="157" xfId="21" applyNumberFormat="1" applyFont="1" applyFill="1" applyBorder="1" applyAlignment="1" applyProtection="1">
      <alignment horizontal="center" vertical="top"/>
    </xf>
    <xf numFmtId="0" fontId="123" fillId="20" borderId="157" xfId="21" applyFont="1" applyFill="1" applyBorder="1" applyAlignment="1" applyProtection="1">
      <alignment horizontal="left" vertical="top" wrapText="1"/>
    </xf>
    <xf numFmtId="38" fontId="121" fillId="23" borderId="156" xfId="21" applyNumberFormat="1" applyFont="1" applyFill="1" applyBorder="1" applyAlignment="1">
      <alignment horizontal="center" vertical="center" wrapText="1"/>
    </xf>
    <xf numFmtId="0" fontId="121" fillId="23" borderId="156" xfId="21" applyFont="1" applyFill="1" applyBorder="1" applyAlignment="1">
      <alignment horizontal="center" vertical="center" wrapText="1"/>
    </xf>
    <xf numFmtId="0" fontId="123" fillId="0" borderId="99" xfId="21" applyFont="1" applyBorder="1" applyAlignment="1">
      <alignment horizontal="left" vertical="top"/>
    </xf>
    <xf numFmtId="0" fontId="123" fillId="0" borderId="78" xfId="21" applyFont="1" applyBorder="1" applyAlignment="1">
      <alignment horizontal="left" vertical="top"/>
    </xf>
    <xf numFmtId="0" fontId="123" fillId="0" borderId="98" xfId="21" applyFont="1" applyBorder="1" applyAlignment="1">
      <alignment horizontal="left" vertical="top"/>
    </xf>
    <xf numFmtId="0" fontId="123" fillId="0" borderId="97" xfId="21" applyFont="1" applyBorder="1" applyAlignment="1">
      <alignment vertical="top"/>
    </xf>
    <xf numFmtId="0" fontId="123" fillId="0" borderId="0" xfId="21" applyFont="1" applyBorder="1" applyAlignment="1">
      <alignment vertical="top"/>
    </xf>
    <xf numFmtId="0" fontId="123" fillId="0" borderId="96" xfId="21" applyFont="1" applyBorder="1" applyAlignment="1">
      <alignment vertical="top"/>
    </xf>
    <xf numFmtId="0" fontId="122" fillId="0" borderId="142" xfId="21" applyFont="1" applyBorder="1" applyAlignment="1">
      <alignment horizontal="center" vertical="top"/>
    </xf>
    <xf numFmtId="0" fontId="122" fillId="0" borderId="141" xfId="21" applyFont="1" applyBorder="1" applyAlignment="1">
      <alignment horizontal="center" vertical="top"/>
    </xf>
    <xf numFmtId="0" fontId="95" fillId="0" borderId="140" xfId="21" applyFont="1" applyBorder="1" applyAlignment="1">
      <alignment horizontal="left" vertical="top"/>
    </xf>
    <xf numFmtId="0" fontId="122" fillId="0" borderId="150" xfId="21" applyFont="1" applyFill="1" applyBorder="1" applyAlignment="1">
      <alignment vertical="center"/>
    </xf>
    <xf numFmtId="0" fontId="122" fillId="0" borderId="76" xfId="21" applyFont="1" applyFill="1" applyBorder="1" applyAlignment="1">
      <alignment vertical="center"/>
    </xf>
    <xf numFmtId="0" fontId="122" fillId="0" borderId="149" xfId="21" applyFont="1" applyFill="1" applyBorder="1" applyAlignment="1">
      <alignment vertical="center"/>
    </xf>
    <xf numFmtId="0" fontId="1" fillId="0" borderId="0" xfId="21" applyAlignment="1">
      <alignment horizontal="center" vertical="top" wrapText="1"/>
    </xf>
    <xf numFmtId="0" fontId="1" fillId="0" borderId="0" xfId="21" applyAlignment="1">
      <alignment horizontal="center" vertical="center" wrapText="1"/>
    </xf>
    <xf numFmtId="0" fontId="1" fillId="0" borderId="0" xfId="21" applyFont="1" applyAlignment="1">
      <alignment horizontal="left" vertical="center" wrapText="1"/>
    </xf>
    <xf numFmtId="0" fontId="1" fillId="0" borderId="0" xfId="21" applyAlignment="1">
      <alignment vertical="center"/>
    </xf>
    <xf numFmtId="0" fontId="1" fillId="0" borderId="0" xfId="21" applyFont="1" applyAlignment="1">
      <alignment vertical="center"/>
    </xf>
    <xf numFmtId="43" fontId="53" fillId="0" borderId="0" xfId="1" applyFont="1" applyProtection="1"/>
    <xf numFmtId="0" fontId="135" fillId="0" borderId="0" xfId="0" applyFont="1"/>
    <xf numFmtId="0" fontId="53" fillId="0" borderId="0" xfId="0" applyFont="1" applyAlignment="1">
      <alignment horizontal="right"/>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0" fontId="9" fillId="0" borderId="19" xfId="12" applyNumberFormat="1" applyFont="1" applyBorder="1" applyAlignment="1" applyProtection="1">
      <alignment horizontal="lef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14" fontId="9" fillId="0" borderId="125" xfId="12" applyNumberFormat="1" applyFont="1" applyBorder="1" applyAlignment="1" applyProtection="1">
      <alignment horizontal="left" vertical="center" indent="1"/>
      <protection locked="0"/>
    </xf>
    <xf numFmtId="0" fontId="9" fillId="0" borderId="128" xfId="12" applyNumberFormat="1" applyFont="1" applyBorder="1" applyAlignment="1" applyProtection="1">
      <alignment horizontal="left" vertical="center" indent="1"/>
      <protection locked="0"/>
    </xf>
    <xf numFmtId="0" fontId="9" fillId="0" borderId="126"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8"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6" xfId="12" applyFont="1" applyBorder="1" applyAlignment="1" applyProtection="1">
      <alignment horizontal="left" vertical="center" indent="1"/>
      <protection locked="0"/>
    </xf>
    <xf numFmtId="0" fontId="9" fillId="0" borderId="126"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8"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9" fillId="0" borderId="0" xfId="0" applyNumberFormat="1"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49" fontId="9" fillId="0" borderId="0" xfId="12" applyNumberFormat="1" applyFont="1" applyBorder="1" applyAlignment="1" applyProtection="1">
      <alignment horizontal="center" vertical="center"/>
    </xf>
    <xf numFmtId="0" fontId="10" fillId="0" borderId="19" xfId="12" applyFont="1" applyBorder="1" applyAlignment="1" applyProtection="1">
      <alignment vertical="center"/>
    </xf>
    <xf numFmtId="0" fontId="1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9" fillId="0" borderId="19" xfId="12"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30" fillId="0" borderId="17" xfId="12" applyNumberFormat="1" applyFont="1" applyBorder="1" applyAlignment="1" applyProtection="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0" fillId="0" borderId="134"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6"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6"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31" xfId="0" applyFont="1" applyFill="1" applyBorder="1" applyAlignment="1">
      <alignment horizontal="center" vertical="center"/>
    </xf>
    <xf numFmtId="0" fontId="61" fillId="23"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15" borderId="10" xfId="0" applyNumberFormat="1" applyFont="1" applyFill="1" applyBorder="1" applyAlignment="1" applyProtection="1">
      <alignment horizontal="center" vertical="center" wrapText="1"/>
    </xf>
    <xf numFmtId="3" fontId="60" fillId="15" borderId="126"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1" fillId="12" borderId="13" xfId="0" applyNumberFormat="1" applyFont="1" applyFill="1" applyBorder="1" applyAlignment="1" applyProtection="1">
      <alignment horizontal="center" vertical="center"/>
    </xf>
    <xf numFmtId="0" fontId="53" fillId="12"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2"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7" xfId="0" applyFont="1" applyFill="1" applyBorder="1" applyAlignment="1" applyProtection="1">
      <alignment horizontal="left" vertical="center" indent="1"/>
    </xf>
    <xf numFmtId="0" fontId="60" fillId="16" borderId="146" xfId="0" applyFont="1" applyFill="1" applyBorder="1" applyAlignment="1" applyProtection="1">
      <alignment horizontal="left" vertical="center" indent="1"/>
    </xf>
    <xf numFmtId="0" fontId="60" fillId="3" borderId="147" xfId="0" applyFont="1" applyFill="1" applyBorder="1" applyAlignment="1" applyProtection="1">
      <alignment horizontal="left" vertical="center"/>
    </xf>
    <xf numFmtId="0" fontId="60" fillId="3" borderId="148" xfId="0"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7" xfId="0" applyFont="1" applyBorder="1" applyAlignment="1" applyProtection="1">
      <alignment horizontal="left" vertical="center" wrapText="1" indent="1"/>
    </xf>
    <xf numFmtId="0" fontId="58" fillId="0" borderId="148"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6" xfId="0" applyFont="1" applyFill="1" applyBorder="1" applyAlignment="1" applyProtection="1">
      <alignment horizontal="left" vertical="center" indent="1"/>
    </xf>
    <xf numFmtId="0" fontId="61" fillId="23" borderId="147" xfId="0" applyFont="1" applyFill="1" applyBorder="1" applyAlignment="1" applyProtection="1">
      <alignment horizontal="left" vertical="center" indent="1"/>
    </xf>
    <xf numFmtId="0" fontId="61" fillId="23" borderId="148" xfId="0" applyFont="1" applyFill="1" applyBorder="1" applyAlignment="1" applyProtection="1">
      <alignment horizontal="left" vertical="center" indent="1"/>
    </xf>
    <xf numFmtId="0" fontId="123" fillId="0" borderId="96" xfId="21" applyFont="1" applyBorder="1" applyAlignment="1">
      <alignment horizontal="left" vertical="top" wrapText="1"/>
    </xf>
    <xf numFmtId="0" fontId="123" fillId="0" borderId="0" xfId="21" applyFont="1" applyBorder="1" applyAlignment="1">
      <alignment horizontal="left" vertical="top" wrapText="1"/>
    </xf>
    <xf numFmtId="0" fontId="123" fillId="0" borderId="97" xfId="21" applyFont="1" applyBorder="1" applyAlignment="1">
      <alignment horizontal="left" vertical="top" wrapText="1"/>
    </xf>
    <xf numFmtId="0" fontId="122" fillId="23" borderId="140" xfId="21" applyFont="1" applyFill="1" applyBorder="1" applyAlignment="1">
      <alignment horizontal="center" vertical="center"/>
    </xf>
    <xf numFmtId="0" fontId="122" fillId="23" borderId="141" xfId="21" applyFont="1" applyFill="1" applyBorder="1" applyAlignment="1">
      <alignment horizontal="center" vertical="center"/>
    </xf>
    <xf numFmtId="0" fontId="122" fillId="23" borderId="142" xfId="21" applyFont="1" applyFill="1" applyBorder="1" applyAlignment="1">
      <alignment horizontal="center" vertical="center"/>
    </xf>
    <xf numFmtId="0" fontId="122" fillId="23" borderId="98" xfId="21" applyFont="1" applyFill="1" applyBorder="1" applyAlignment="1">
      <alignment horizontal="center" vertical="center"/>
    </xf>
    <xf numFmtId="0" fontId="122" fillId="23" borderId="78" xfId="21" applyFont="1" applyFill="1" applyBorder="1" applyAlignment="1">
      <alignment horizontal="center" vertical="center"/>
    </xf>
    <xf numFmtId="0" fontId="122" fillId="23" borderId="99" xfId="21" applyFont="1" applyFill="1" applyBorder="1" applyAlignment="1">
      <alignment horizontal="center" vertical="center"/>
    </xf>
    <xf numFmtId="0" fontId="123" fillId="0" borderId="96" xfId="21" applyFont="1" applyBorder="1" applyAlignment="1">
      <alignment vertical="top" wrapText="1"/>
    </xf>
    <xf numFmtId="0" fontId="123" fillId="0" borderId="0" xfId="21" applyFont="1" applyBorder="1" applyAlignment="1">
      <alignment vertical="top" wrapText="1"/>
    </xf>
    <xf numFmtId="0" fontId="123" fillId="0" borderId="97" xfId="21" applyFont="1" applyBorder="1" applyAlignment="1">
      <alignment vertical="top" wrapText="1"/>
    </xf>
    <xf numFmtId="0" fontId="123" fillId="0" borderId="96" xfId="21" applyFont="1" applyBorder="1" applyAlignment="1">
      <alignment vertical="top"/>
    </xf>
    <xf numFmtId="0" fontId="123" fillId="0" borderId="0" xfId="21" applyFont="1" applyBorder="1" applyAlignment="1">
      <alignment vertical="top"/>
    </xf>
    <xf numFmtId="0" fontId="123" fillId="0" borderId="97" xfId="21" applyFont="1" applyBorder="1" applyAlignment="1">
      <alignment vertical="top"/>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7"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5" fillId="0" borderId="141" xfId="18" applyFont="1" applyBorder="1" applyAlignment="1" applyProtection="1">
      <alignment horizontal="center" vertical="top" wrapText="1"/>
      <protection locked="0"/>
    </xf>
    <xf numFmtId="0" fontId="45" fillId="0" borderId="142"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3" xfId="3" applyFont="1" applyBorder="1" applyAlignment="1">
      <alignment horizontal="center" vertical="center" wrapText="1"/>
    </xf>
    <xf numFmtId="0" fontId="69" fillId="0" borderId="133" xfId="3" applyNumberFormat="1" applyFont="1" applyBorder="1" applyAlignment="1">
      <alignment horizontal="center"/>
    </xf>
    <xf numFmtId="0" fontId="53" fillId="0" borderId="134" xfId="3" applyNumberFormat="1" applyFont="1" applyBorder="1" applyAlignment="1" applyProtection="1">
      <alignment horizontal="center"/>
      <protection locked="0"/>
    </xf>
    <xf numFmtId="171" fontId="53" fillId="0" borderId="134" xfId="3" applyNumberFormat="1" applyFont="1" applyBorder="1" applyAlignment="1" applyProtection="1">
      <alignment horizontal="center"/>
      <protection locked="0"/>
    </xf>
    <xf numFmtId="0" fontId="53" fillId="0" borderId="134"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12"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3"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5" xfId="0" applyFont="1" applyFill="1" applyBorder="1" applyAlignment="1">
      <alignment horizontal="center" vertical="center"/>
    </xf>
    <xf numFmtId="0" fontId="108" fillId="12" borderId="128" xfId="0" applyFont="1" applyFill="1" applyBorder="1" applyAlignment="1">
      <alignment horizontal="center" vertical="center"/>
    </xf>
    <xf numFmtId="0" fontId="108" fillId="12" borderId="153"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5" xfId="0" applyNumberFormat="1" applyFont="1" applyFill="1" applyBorder="1" applyAlignment="1">
      <alignment horizontal="center" vertical="top"/>
    </xf>
    <xf numFmtId="164" fontId="109" fillId="12" borderId="128" xfId="0" applyNumberFormat="1" applyFont="1" applyFill="1" applyBorder="1" applyAlignment="1">
      <alignment horizontal="center" vertical="top"/>
    </xf>
    <xf numFmtId="164" fontId="109" fillId="12" borderId="153"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8" xfId="0" applyNumberFormat="1" applyFont="1" applyBorder="1" applyAlignment="1">
      <alignment horizontal="left" vertical="center" wrapText="1"/>
    </xf>
    <xf numFmtId="0" fontId="53" fillId="0" borderId="126"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0" xfId="3" applyNumberFormat="1" applyFont="1" applyAlignment="1" applyProtection="1">
      <alignment horizontal="center" vertical="center"/>
    </xf>
    <xf numFmtId="0" fontId="51" fillId="0" borderId="146" xfId="3" applyNumberFormat="1" applyFont="1" applyBorder="1" applyProtection="1"/>
    <xf numFmtId="0" fontId="51" fillId="0" borderId="147"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7" xfId="3" applyNumberFormat="1" applyFont="1" applyBorder="1" applyAlignment="1" applyProtection="1">
      <alignment horizontal="left" indent="1"/>
      <protection locked="0"/>
    </xf>
    <xf numFmtId="0" fontId="61" fillId="0" borderId="147" xfId="3"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61" fillId="0" borderId="0" xfId="3" applyNumberFormat="1" applyFont="1" applyAlignment="1">
      <alignment horizontal="center"/>
    </xf>
    <xf numFmtId="165" fontId="61" fillId="0" borderId="0" xfId="3" applyNumberFormat="1" applyFont="1" applyAlignment="1" applyProtection="1">
      <alignment horizontal="center" vertic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49" xfId="3" applyNumberFormat="1" applyFont="1" applyBorder="1" applyAlignment="1" applyProtection="1">
      <protection locked="0"/>
    </xf>
    <xf numFmtId="0" fontId="61" fillId="0" borderId="150" xfId="3" applyFont="1" applyBorder="1" applyAlignment="1" applyProtection="1">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50" fillId="0" borderId="78" xfId="3" applyFont="1" applyBorder="1" applyAlignment="1" applyProtection="1">
      <alignment horizontal="center"/>
    </xf>
    <xf numFmtId="3" fontId="51" fillId="0" borderId="149" xfId="3" applyNumberFormat="1" applyFont="1" applyBorder="1" applyAlignment="1" applyProtection="1">
      <alignment horizontal="right" indent="1"/>
      <protection locked="0"/>
    </xf>
    <xf numFmtId="3" fontId="51" fillId="0" borderId="76" xfId="3" applyNumberFormat="1" applyFont="1" applyBorder="1" applyAlignment="1" applyProtection="1">
      <alignment horizontal="right" indent="1"/>
      <protection locked="0"/>
    </xf>
    <xf numFmtId="3" fontId="51" fillId="0" borderId="150" xfId="3" applyNumberFormat="1" applyFont="1" applyBorder="1" applyAlignment="1" applyProtection="1">
      <alignment horizontal="right" indent="1"/>
      <protection locked="0"/>
    </xf>
    <xf numFmtId="3" fontId="51" fillId="0" borderId="77" xfId="3" applyNumberFormat="1" applyFont="1" applyBorder="1" applyAlignment="1" applyProtection="1">
      <alignment horizontal="right" indent="1"/>
      <protection locked="0"/>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60" fillId="0" borderId="149"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0"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49" xfId="3" applyNumberFormat="1" applyFont="1" applyBorder="1" applyProtection="1">
      <protection locked="0"/>
    </xf>
    <xf numFmtId="6" fontId="58" fillId="0" borderId="150"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49"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0"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49" xfId="3" applyFont="1" applyBorder="1" applyAlignment="1" applyProtection="1">
      <alignment horizontal="center"/>
    </xf>
    <xf numFmtId="0" fontId="58" fillId="0" borderId="76" xfId="3" applyFont="1" applyBorder="1" applyAlignment="1" applyProtection="1">
      <alignment horizontal="center"/>
    </xf>
    <xf numFmtId="0" fontId="58" fillId="0" borderId="150" xfId="3" applyFont="1" applyBorder="1" applyAlignment="1" applyProtection="1">
      <alignment horizontal="center"/>
    </xf>
    <xf numFmtId="38" fontId="58" fillId="0" borderId="149"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0" xfId="3" applyNumberFormat="1" applyFont="1" applyBorder="1" applyAlignment="1" applyProtection="1">
      <alignment horizontal="right" vertic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4" xfId="3" applyFont="1" applyBorder="1" applyAlignment="1" applyProtection="1">
      <alignment horizontal="center" vertical="center" wrapText="1"/>
    </xf>
    <xf numFmtId="0" fontId="50" fillId="0" borderId="0" xfId="3" applyNumberFormat="1" applyFont="1" applyAlignment="1" applyProtection="1">
      <alignment horizontal="center" vertical="center" wrapText="1"/>
    </xf>
  </cellXfs>
  <cellStyles count="22">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21"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790575</xdr:colOff>
          <xdr:row>14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790575</xdr:colOff>
          <xdr:row>19</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43" t="s">
        <v>405</v>
      </c>
      <c r="J1" s="2044"/>
      <c r="K1" s="2044"/>
      <c r="L1" s="2044"/>
      <c r="M1" s="2044"/>
      <c r="N1" s="2044"/>
      <c r="O1" s="2044"/>
      <c r="P1" s="2044"/>
      <c r="Q1" s="2044"/>
      <c r="R1" s="2044"/>
      <c r="S1" s="2044"/>
    </row>
    <row r="2" spans="1:28" ht="12" customHeight="1" x14ac:dyDescent="0.2">
      <c r="A2" s="47" t="s">
        <v>1988</v>
      </c>
      <c r="D2" s="48"/>
      <c r="I2" s="2045" t="s">
        <v>979</v>
      </c>
      <c r="J2" s="2044"/>
      <c r="K2" s="2044"/>
      <c r="L2" s="2044"/>
      <c r="M2" s="2044"/>
      <c r="N2" s="2044"/>
      <c r="O2" s="2044"/>
      <c r="P2" s="2044"/>
      <c r="Q2" s="2044"/>
      <c r="R2" s="2044"/>
      <c r="S2" s="2044"/>
    </row>
    <row r="3" spans="1:28" ht="12" customHeight="1" x14ac:dyDescent="0.2">
      <c r="A3" s="155" t="s">
        <v>1940</v>
      </c>
      <c r="B3" s="156"/>
      <c r="C3" s="156"/>
      <c r="D3" s="157"/>
      <c r="I3" s="2045" t="s">
        <v>52</v>
      </c>
      <c r="J3" s="2044"/>
      <c r="K3" s="2044"/>
      <c r="L3" s="2044"/>
      <c r="M3" s="2044"/>
      <c r="N3" s="2044"/>
      <c r="O3" s="2044"/>
      <c r="P3" s="2044"/>
      <c r="Q3" s="2044"/>
      <c r="R3" s="2044"/>
      <c r="S3" s="2044"/>
    </row>
    <row r="4" spans="1:28" ht="12" customHeight="1" x14ac:dyDescent="0.2">
      <c r="A4" s="37"/>
      <c r="I4" s="2045" t="s">
        <v>524</v>
      </c>
      <c r="J4" s="2044"/>
      <c r="K4" s="2044"/>
      <c r="L4" s="2044"/>
      <c r="M4" s="2044"/>
      <c r="N4" s="2044"/>
      <c r="O4" s="2044"/>
      <c r="P4" s="2044"/>
      <c r="Q4" s="2044"/>
      <c r="R4" s="2044"/>
      <c r="S4" s="2044"/>
    </row>
    <row r="5" spans="1:28" ht="14.1" customHeight="1" x14ac:dyDescent="0.2">
      <c r="B5" s="104"/>
      <c r="C5" s="26" t="s">
        <v>910</v>
      </c>
      <c r="D5" s="84"/>
      <c r="E5" s="84"/>
      <c r="H5" s="38"/>
      <c r="I5" s="2052" t="s">
        <v>680</v>
      </c>
      <c r="J5" s="1997"/>
      <c r="K5" s="1997"/>
      <c r="L5" s="1997"/>
      <c r="M5" s="1997"/>
      <c r="N5" s="1997"/>
      <c r="O5" s="1997"/>
      <c r="P5" s="1997"/>
      <c r="Q5" s="1997"/>
      <c r="R5" s="1997"/>
      <c r="S5" s="1997"/>
    </row>
    <row r="6" spans="1:28" ht="14.1" customHeight="1" x14ac:dyDescent="0.2">
      <c r="B6" s="104" t="s">
        <v>2062</v>
      </c>
      <c r="C6" s="26" t="s">
        <v>911</v>
      </c>
      <c r="D6" s="84"/>
      <c r="E6" s="84"/>
      <c r="I6" s="2051" t="s">
        <v>883</v>
      </c>
      <c r="J6" s="1997"/>
      <c r="K6" s="1997"/>
      <c r="L6" s="1997"/>
      <c r="M6" s="1997"/>
      <c r="N6" s="1997"/>
      <c r="O6" s="1997"/>
      <c r="P6" s="1997"/>
      <c r="Q6" s="1997"/>
      <c r="R6" s="1997"/>
      <c r="S6" s="1997"/>
    </row>
    <row r="7" spans="1:28" ht="12.2" customHeight="1" x14ac:dyDescent="0.2">
      <c r="I7" s="2046">
        <v>43646</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674</v>
      </c>
      <c r="J9" s="2049"/>
      <c r="K9" s="2049"/>
      <c r="L9" s="2049"/>
      <c r="M9" s="2049"/>
      <c r="N9" s="2049"/>
      <c r="O9" s="2049"/>
      <c r="P9" s="2049"/>
      <c r="Q9" s="2049"/>
      <c r="R9" s="2049"/>
      <c r="S9" s="2050"/>
      <c r="T9" s="1993" t="s">
        <v>533</v>
      </c>
      <c r="U9" s="1994"/>
      <c r="V9" s="1994"/>
      <c r="W9" s="1994"/>
      <c r="X9" s="1994"/>
      <c r="Y9" s="1994"/>
      <c r="Z9" s="1994"/>
      <c r="AA9" s="1995"/>
    </row>
    <row r="10" spans="1:28" ht="13.5" customHeight="1" x14ac:dyDescent="0.2">
      <c r="A10" s="2002" t="s">
        <v>675</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955</v>
      </c>
      <c r="B11" s="2006"/>
      <c r="C11" s="2006"/>
      <c r="D11" s="2006"/>
      <c r="E11" s="2006"/>
      <c r="F11" s="2006"/>
      <c r="G11" s="2006"/>
      <c r="H11" s="2007"/>
      <c r="I11" s="27"/>
      <c r="J11" s="74"/>
      <c r="K11" s="27"/>
      <c r="O11" s="148" t="s">
        <v>2062</v>
      </c>
      <c r="P11" s="100" t="s">
        <v>201</v>
      </c>
      <c r="Q11" s="30"/>
      <c r="R11" s="28"/>
      <c r="S11" s="27"/>
      <c r="T11" s="1999"/>
      <c r="U11" s="2000"/>
      <c r="V11" s="2000"/>
      <c r="W11" s="2000"/>
      <c r="X11" s="2000"/>
      <c r="Y11" s="2000"/>
      <c r="Z11" s="2000"/>
      <c r="AA11" s="200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3">
        <v>7016127561</v>
      </c>
      <c r="B13" s="2014"/>
      <c r="C13" s="2014"/>
      <c r="D13" s="2014"/>
      <c r="E13" s="2014"/>
      <c r="F13" s="2014"/>
      <c r="G13" s="2014"/>
      <c r="H13" s="2015"/>
      <c r="I13" s="31"/>
      <c r="J13" s="30"/>
      <c r="K13" s="28"/>
      <c r="L13" s="30"/>
      <c r="M13" s="30"/>
      <c r="N13" s="30"/>
      <c r="O13" s="30"/>
      <c r="P13" s="30"/>
      <c r="Q13" s="30"/>
      <c r="R13" s="30"/>
      <c r="S13" s="30"/>
      <c r="T13" s="2018" t="s">
        <v>2076</v>
      </c>
      <c r="U13" s="2019"/>
      <c r="V13" s="2019"/>
      <c r="W13" s="2019"/>
      <c r="X13" s="2019"/>
      <c r="Y13" s="2020"/>
      <c r="Z13" s="2020"/>
      <c r="AA13" s="202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2063</v>
      </c>
      <c r="B15" s="2016"/>
      <c r="C15" s="2016"/>
      <c r="D15" s="2016"/>
      <c r="E15" s="2016"/>
      <c r="F15" s="2016"/>
      <c r="G15" s="2016"/>
      <c r="H15" s="2017"/>
      <c r="T15" s="1979" t="s">
        <v>2077</v>
      </c>
      <c r="U15" s="1980"/>
      <c r="V15" s="1980"/>
      <c r="W15" s="1980"/>
      <c r="X15" s="1980"/>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2064</v>
      </c>
      <c r="B17" s="2041"/>
      <c r="C17" s="2041"/>
      <c r="D17" s="2041"/>
      <c r="E17" s="2041"/>
      <c r="F17" s="2041"/>
      <c r="G17" s="2041"/>
      <c r="H17" s="2042"/>
      <c r="T17" s="2028" t="s">
        <v>2078</v>
      </c>
      <c r="U17" s="2029"/>
      <c r="V17" s="2029"/>
      <c r="W17" s="2029"/>
      <c r="X17" s="2029"/>
      <c r="Y17" s="2029"/>
      <c r="Z17" s="2029"/>
      <c r="AA17" s="2030"/>
    </row>
    <row r="18" spans="1:27" ht="13.5" customHeight="1" x14ac:dyDescent="0.2">
      <c r="A18" s="85" t="s">
        <v>530</v>
      </c>
      <c r="B18" s="76"/>
      <c r="C18" s="72"/>
      <c r="D18" s="76"/>
      <c r="E18" s="76"/>
      <c r="F18" s="76"/>
      <c r="G18" s="76"/>
      <c r="H18" s="56"/>
      <c r="I18" s="2038" t="s">
        <v>676</v>
      </c>
      <c r="J18" s="2039"/>
      <c r="K18" s="2039"/>
      <c r="L18" s="2039"/>
      <c r="M18" s="2039"/>
      <c r="N18" s="2039"/>
      <c r="O18" s="2039"/>
      <c r="P18" s="2039"/>
      <c r="Q18" s="2039"/>
      <c r="R18" s="2039"/>
      <c r="S18" s="2040"/>
      <c r="T18" s="85" t="s">
        <v>711</v>
      </c>
      <c r="U18" s="51"/>
      <c r="V18" s="72"/>
      <c r="W18" s="50"/>
      <c r="X18" s="85" t="s">
        <v>266</v>
      </c>
      <c r="Y18" s="81"/>
      <c r="Z18" s="159" t="s">
        <v>677</v>
      </c>
      <c r="AA18" s="46"/>
    </row>
    <row r="19" spans="1:27" ht="13.5" customHeight="1" x14ac:dyDescent="0.2">
      <c r="A19" s="2011" t="s">
        <v>2065</v>
      </c>
      <c r="B19" s="2012"/>
      <c r="C19" s="2012"/>
      <c r="D19" s="2012"/>
      <c r="E19" s="2012"/>
      <c r="F19" s="2012"/>
      <c r="G19" s="2012"/>
      <c r="H19" s="2010"/>
      <c r="I19" s="30"/>
      <c r="J19" s="99"/>
      <c r="K19" s="40"/>
      <c r="L19" s="38"/>
      <c r="M19" s="112" t="s">
        <v>315</v>
      </c>
      <c r="P19" s="27"/>
      <c r="Q19" s="27"/>
      <c r="R19" s="27"/>
      <c r="S19" s="31"/>
      <c r="T19" s="2011" t="s">
        <v>2079</v>
      </c>
      <c r="U19" s="2009"/>
      <c r="V19" s="2009"/>
      <c r="W19" s="2010"/>
      <c r="X19" s="2026" t="s">
        <v>2080</v>
      </c>
      <c r="Y19" s="2027"/>
      <c r="Z19" s="2024" t="s">
        <v>2081</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8" t="s">
        <v>2066</v>
      </c>
      <c r="B21" s="2009"/>
      <c r="C21" s="2009"/>
      <c r="D21" s="2009"/>
      <c r="E21" s="2009"/>
      <c r="F21" s="2009"/>
      <c r="G21" s="2009"/>
      <c r="H21" s="2010"/>
      <c r="I21" s="2034" t="s">
        <v>678</v>
      </c>
      <c r="J21" s="1997"/>
      <c r="K21" s="1997"/>
      <c r="L21" s="1997"/>
      <c r="M21" s="1997"/>
      <c r="N21" s="1997"/>
      <c r="O21" s="1997"/>
      <c r="P21" s="1997"/>
      <c r="Q21" s="1997"/>
      <c r="R21" s="1997"/>
      <c r="S21" s="1998"/>
      <c r="T21" s="1976" t="s">
        <v>2082</v>
      </c>
      <c r="U21" s="1977"/>
      <c r="V21" s="1977"/>
      <c r="W21" s="1977"/>
      <c r="X21" s="1990" t="s">
        <v>2083</v>
      </c>
      <c r="Y21" s="1991"/>
      <c r="Z21" s="1991"/>
      <c r="AA21" s="1992"/>
    </row>
    <row r="22" spans="1:27" ht="13.5" customHeight="1" x14ac:dyDescent="0.2">
      <c r="A22" s="87" t="s">
        <v>531</v>
      </c>
      <c r="B22" s="59"/>
      <c r="C22" s="59"/>
      <c r="D22" s="59"/>
      <c r="E22" s="59"/>
      <c r="F22" s="59"/>
      <c r="G22" s="59"/>
      <c r="H22" s="60"/>
      <c r="I22" s="2035" t="s">
        <v>1429</v>
      </c>
      <c r="J22" s="2036"/>
      <c r="K22" s="2036"/>
      <c r="L22" s="2036"/>
      <c r="M22" s="2036"/>
      <c r="N22" s="2036"/>
      <c r="O22" s="2036"/>
      <c r="P22" s="2036"/>
      <c r="Q22" s="2036"/>
      <c r="R22" s="2036"/>
      <c r="S22" s="2037"/>
      <c r="T22" s="85" t="s">
        <v>1516</v>
      </c>
      <c r="U22" s="51"/>
      <c r="V22" s="72"/>
      <c r="W22" s="51"/>
      <c r="X22" s="160" t="s">
        <v>1318</v>
      </c>
      <c r="Z22" s="45"/>
      <c r="AA22" s="46"/>
    </row>
    <row r="23" spans="1:27" ht="13.5" customHeight="1" x14ac:dyDescent="0.2">
      <c r="A23" s="2031"/>
      <c r="B23" s="2032"/>
      <c r="C23" s="2032"/>
      <c r="D23" s="2032"/>
      <c r="E23" s="2032"/>
      <c r="F23" s="2032"/>
      <c r="G23" s="2032"/>
      <c r="H23" s="2033"/>
      <c r="T23" s="1971" t="s">
        <v>2084</v>
      </c>
      <c r="U23" s="1972"/>
      <c r="V23" s="1972"/>
      <c r="W23" s="1972"/>
      <c r="X23" s="1987">
        <v>44530</v>
      </c>
      <c r="Y23" s="1988"/>
      <c r="Z23" s="1988"/>
      <c r="AA23" s="1989"/>
    </row>
    <row r="24" spans="1:27" ht="14.1" customHeight="1" x14ac:dyDescent="0.2">
      <c r="A24" s="88" t="s">
        <v>677</v>
      </c>
      <c r="B24" s="49"/>
      <c r="C24" s="49"/>
      <c r="D24" s="49"/>
      <c r="E24" s="49"/>
      <c r="F24" s="49"/>
      <c r="G24" s="49"/>
      <c r="H24" s="61"/>
      <c r="J24" s="2073" t="str">
        <f>IF(B5="x",IF(AUDITCHECK!D29="AFR form Incomplete.","",IF(AUDITCHECK!D29="Deficit reduction plan is required.","School District must complete a deficit reduction plan in the 2019-2020 Budget",)),"")</f>
        <v/>
      </c>
      <c r="K24" s="2073"/>
      <c r="L24" s="2073"/>
      <c r="M24" s="2073"/>
      <c r="N24" s="2073"/>
      <c r="O24" s="2073"/>
      <c r="P24" s="2073"/>
      <c r="Q24" s="2073"/>
      <c r="R24" s="2073"/>
      <c r="S24" s="2074"/>
      <c r="T24" s="105" t="s">
        <v>531</v>
      </c>
      <c r="U24" s="106"/>
      <c r="V24" s="106"/>
      <c r="W24" s="106"/>
      <c r="X24" s="107"/>
      <c r="Y24" s="107"/>
      <c r="Z24" s="107"/>
      <c r="AA24" s="108"/>
    </row>
    <row r="25" spans="1:27" ht="14.1" customHeight="1" x14ac:dyDescent="0.2">
      <c r="A25" s="2008">
        <v>60445</v>
      </c>
      <c r="B25" s="2009"/>
      <c r="C25" s="2009"/>
      <c r="D25" s="2009"/>
      <c r="E25" s="2009"/>
      <c r="F25" s="2009"/>
      <c r="G25" s="2009"/>
      <c r="H25" s="2010"/>
      <c r="I25" s="113"/>
      <c r="J25" s="2075"/>
      <c r="K25" s="2075"/>
      <c r="L25" s="2075"/>
      <c r="M25" s="2075"/>
      <c r="N25" s="2075"/>
      <c r="O25" s="2075"/>
      <c r="P25" s="2075"/>
      <c r="Q25" s="2075"/>
      <c r="R25" s="2075"/>
      <c r="S25" s="2076"/>
      <c r="T25" s="1968" t="s">
        <v>2085</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6" t="s">
        <v>1511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2067</v>
      </c>
      <c r="B38" s="2041"/>
      <c r="C38" s="2041"/>
      <c r="D38" s="2041"/>
      <c r="E38" s="2041"/>
      <c r="F38" s="2009"/>
      <c r="G38" s="2009"/>
      <c r="H38" s="2010"/>
      <c r="I38" s="2060" t="s">
        <v>2070</v>
      </c>
      <c r="J38" s="1980"/>
      <c r="K38" s="1980"/>
      <c r="L38" s="1980"/>
      <c r="M38" s="1980"/>
      <c r="N38" s="1980"/>
      <c r="O38" s="1980"/>
      <c r="P38" s="1981"/>
      <c r="Q38" s="1981"/>
      <c r="R38" s="1981"/>
      <c r="S38" s="1982"/>
      <c r="T38" s="1979" t="s">
        <v>2073</v>
      </c>
      <c r="U38" s="1980"/>
      <c r="V38" s="1980"/>
      <c r="W38" s="1980"/>
      <c r="X38" s="1981"/>
      <c r="Y38" s="1981"/>
      <c r="Z38" s="1981"/>
      <c r="AA38" s="1982"/>
    </row>
    <row r="39" spans="1:27" ht="12" customHeight="1" x14ac:dyDescent="0.2">
      <c r="A39" s="2064" t="s">
        <v>531</v>
      </c>
      <c r="B39" s="2065"/>
      <c r="C39" s="72"/>
      <c r="D39" s="69"/>
      <c r="E39" s="69"/>
      <c r="F39" s="79"/>
      <c r="G39" s="69"/>
      <c r="H39" s="56"/>
      <c r="I39" s="2064" t="s">
        <v>531</v>
      </c>
      <c r="J39" s="2065"/>
      <c r="K39" s="2065"/>
      <c r="L39" s="2065"/>
      <c r="M39" s="2065"/>
      <c r="N39" s="67"/>
      <c r="O39" s="72"/>
      <c r="P39" s="72"/>
      <c r="Q39" s="78"/>
      <c r="R39" s="72"/>
      <c r="S39" s="56"/>
      <c r="T39" s="72" t="s">
        <v>531</v>
      </c>
      <c r="U39" s="51"/>
      <c r="V39" s="72"/>
      <c r="W39" s="50"/>
      <c r="X39" s="78"/>
      <c r="Y39" s="45"/>
      <c r="Z39" s="45"/>
      <c r="AA39" s="46"/>
    </row>
    <row r="40" spans="1:27" ht="13.5" customHeight="1" x14ac:dyDescent="0.2">
      <c r="A40" s="2067" t="s">
        <v>2068</v>
      </c>
      <c r="B40" s="2068"/>
      <c r="C40" s="2069"/>
      <c r="D40" s="2069"/>
      <c r="E40" s="2069"/>
      <c r="F40" s="2070"/>
      <c r="G40" s="2070"/>
      <c r="H40" s="2071"/>
      <c r="I40" s="1983" t="s">
        <v>2071</v>
      </c>
      <c r="J40" s="1985"/>
      <c r="K40" s="1985"/>
      <c r="L40" s="1985"/>
      <c r="M40" s="1985"/>
      <c r="N40" s="1985"/>
      <c r="O40" s="1985"/>
      <c r="P40" s="1985"/>
      <c r="Q40" s="1985"/>
      <c r="R40" s="1985"/>
      <c r="S40" s="1986"/>
      <c r="T40" s="1983" t="s">
        <v>2074</v>
      </c>
      <c r="U40" s="1984"/>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7" t="s">
        <v>2069</v>
      </c>
      <c r="B42" s="2058"/>
      <c r="C42" s="2059"/>
      <c r="D42" s="2072"/>
      <c r="E42" s="2058"/>
      <c r="F42" s="2058"/>
      <c r="G42" s="2058"/>
      <c r="H42" s="2059"/>
      <c r="I42" s="1978" t="s">
        <v>2072</v>
      </c>
      <c r="J42" s="1974"/>
      <c r="K42" s="1974"/>
      <c r="L42" s="1974"/>
      <c r="M42" s="1974"/>
      <c r="N42" s="1974"/>
      <c r="O42" s="1975"/>
      <c r="P42" s="1973"/>
      <c r="Q42" s="1974"/>
      <c r="R42" s="1974"/>
      <c r="S42" s="1975"/>
      <c r="T42" s="1978" t="s">
        <v>2075</v>
      </c>
      <c r="U42" s="1974"/>
      <c r="V42" s="1974"/>
      <c r="W42" s="1975"/>
      <c r="X42" s="1973"/>
      <c r="Y42" s="1974"/>
      <c r="Z42" s="1974"/>
      <c r="AA42" s="197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104</v>
      </c>
    </row>
    <row r="2" spans="1:6" ht="39.75" customHeight="1" x14ac:dyDescent="0.2">
      <c r="A2" s="2210" t="s">
        <v>1799</v>
      </c>
      <c r="B2" s="1528" t="s">
        <v>1946</v>
      </c>
      <c r="C2" s="714" t="s">
        <v>1947</v>
      </c>
      <c r="D2" s="714" t="s">
        <v>1948</v>
      </c>
      <c r="E2" s="714" t="s">
        <v>1949</v>
      </c>
      <c r="F2" s="714" t="s">
        <v>1950</v>
      </c>
    </row>
    <row r="3" spans="1:6" ht="12" customHeight="1" x14ac:dyDescent="0.2">
      <c r="A3" s="2211"/>
      <c r="B3" s="1525"/>
      <c r="C3" s="1526"/>
      <c r="D3" s="1527" t="s">
        <v>256</v>
      </c>
      <c r="E3" s="1526"/>
      <c r="F3" s="1527" t="s">
        <v>257</v>
      </c>
    </row>
    <row r="4" spans="1:6" ht="13.7" customHeight="1" x14ac:dyDescent="0.2">
      <c r="A4" s="715" t="s">
        <v>1155</v>
      </c>
      <c r="B4" s="1715">
        <f>'Revenues 9-14'!C5</f>
        <v>0</v>
      </c>
      <c r="C4" s="1524"/>
      <c r="D4" s="1718">
        <f>B4-C4</f>
        <v>0</v>
      </c>
      <c r="E4" s="1524"/>
      <c r="F4" s="1718">
        <f>E4-C4</f>
        <v>0</v>
      </c>
    </row>
    <row r="5" spans="1:6" ht="13.7" customHeight="1" x14ac:dyDescent="0.2">
      <c r="A5" s="715" t="s">
        <v>870</v>
      </c>
      <c r="B5" s="1716">
        <f>'Revenues 9-14'!D5</f>
        <v>0</v>
      </c>
      <c r="C5" s="585"/>
      <c r="D5" s="1719">
        <f t="shared" ref="D5:D18" si="0">B5-C5</f>
        <v>0</v>
      </c>
      <c r="E5" s="585"/>
      <c r="F5" s="1719">
        <f>E5-C5</f>
        <v>0</v>
      </c>
    </row>
    <row r="6" spans="1:6" ht="13.7" customHeight="1" x14ac:dyDescent="0.2">
      <c r="A6" s="715" t="s">
        <v>411</v>
      </c>
      <c r="B6" s="1716">
        <f>'Revenues 9-14'!E5</f>
        <v>0</v>
      </c>
      <c r="C6" s="585"/>
      <c r="D6" s="1719">
        <f t="shared" si="0"/>
        <v>0</v>
      </c>
      <c r="E6" s="585"/>
      <c r="F6" s="1719">
        <f t="shared" ref="F6:F18" si="1">E6-C6</f>
        <v>0</v>
      </c>
    </row>
    <row r="7" spans="1:6" ht="13.7" customHeight="1" x14ac:dyDescent="0.2">
      <c r="A7" s="715" t="s">
        <v>155</v>
      </c>
      <c r="B7" s="1716">
        <f>'Revenues 9-14'!F5</f>
        <v>0</v>
      </c>
      <c r="C7" s="585"/>
      <c r="D7" s="1719">
        <f t="shared" si="0"/>
        <v>0</v>
      </c>
      <c r="E7" s="585"/>
      <c r="F7" s="1719">
        <f t="shared" si="1"/>
        <v>0</v>
      </c>
    </row>
    <row r="8" spans="1:6" ht="13.7" customHeight="1" x14ac:dyDescent="0.2">
      <c r="A8" s="715" t="s">
        <v>1179</v>
      </c>
      <c r="B8" s="1716">
        <f>'Revenues 9-14'!G5</f>
        <v>0</v>
      </c>
      <c r="C8" s="585"/>
      <c r="D8" s="1719">
        <f t="shared" si="0"/>
        <v>0</v>
      </c>
      <c r="E8" s="585"/>
      <c r="F8" s="1719">
        <f t="shared" si="1"/>
        <v>0</v>
      </c>
    </row>
    <row r="9" spans="1:6" ht="13.7" customHeight="1" x14ac:dyDescent="0.2">
      <c r="A9" s="715" t="s">
        <v>408</v>
      </c>
      <c r="B9" s="1716">
        <f>'Revenues 9-14'!H5</f>
        <v>0</v>
      </c>
      <c r="C9" s="585"/>
      <c r="D9" s="1719">
        <f t="shared" si="0"/>
        <v>0</v>
      </c>
      <c r="E9" s="585"/>
      <c r="F9" s="1719">
        <f t="shared" si="1"/>
        <v>0</v>
      </c>
    </row>
    <row r="10" spans="1:6" ht="13.7" customHeight="1" x14ac:dyDescent="0.2">
      <c r="A10" s="715" t="s">
        <v>407</v>
      </c>
      <c r="B10" s="1716">
        <f>'Revenues 9-14'!I5</f>
        <v>0</v>
      </c>
      <c r="C10" s="585"/>
      <c r="D10" s="1719">
        <f t="shared" si="0"/>
        <v>0</v>
      </c>
      <c r="E10" s="585"/>
      <c r="F10" s="1719">
        <f t="shared" si="1"/>
        <v>0</v>
      </c>
    </row>
    <row r="11" spans="1:6" x14ac:dyDescent="0.2">
      <c r="A11" s="715" t="s">
        <v>409</v>
      </c>
      <c r="B11" s="1716">
        <f>'Revenues 9-14'!J5</f>
        <v>0</v>
      </c>
      <c r="C11" s="585"/>
      <c r="D11" s="1719">
        <f t="shared" si="0"/>
        <v>0</v>
      </c>
      <c r="E11" s="585"/>
      <c r="F11" s="1719">
        <f t="shared" si="1"/>
        <v>0</v>
      </c>
    </row>
    <row r="12" spans="1:6" ht="13.7" customHeight="1" x14ac:dyDescent="0.2">
      <c r="A12" s="715" t="s">
        <v>157</v>
      </c>
      <c r="B12" s="1716">
        <f>'Revenues 9-14'!K5</f>
        <v>0</v>
      </c>
      <c r="C12" s="585"/>
      <c r="D12" s="1719">
        <f t="shared" si="0"/>
        <v>0</v>
      </c>
      <c r="E12" s="585"/>
      <c r="F12" s="1719">
        <f t="shared" si="1"/>
        <v>0</v>
      </c>
    </row>
    <row r="13" spans="1:6" ht="13.7" customHeight="1" x14ac:dyDescent="0.2">
      <c r="A13" s="715" t="s">
        <v>936</v>
      </c>
      <c r="B13" s="1716">
        <f>SUM('Revenues 9-14'!C6:D6)</f>
        <v>0</v>
      </c>
      <c r="C13" s="585"/>
      <c r="D13" s="1719">
        <f t="shared" si="0"/>
        <v>0</v>
      </c>
      <c r="E13" s="585"/>
      <c r="F13" s="1719">
        <f t="shared" si="1"/>
        <v>0</v>
      </c>
    </row>
    <row r="14" spans="1:6" ht="13.7" customHeight="1" x14ac:dyDescent="0.2">
      <c r="A14" s="715" t="s">
        <v>410</v>
      </c>
      <c r="B14" s="1716">
        <f>SUM('Revenues 9-14'!C7:D7,'Revenues 9-14'!F7:H7)</f>
        <v>0</v>
      </c>
      <c r="C14" s="585"/>
      <c r="D14" s="1719">
        <f t="shared" si="0"/>
        <v>0</v>
      </c>
      <c r="E14" s="585"/>
      <c r="F14" s="1719">
        <f t="shared" si="1"/>
        <v>0</v>
      </c>
    </row>
    <row r="15" spans="1:6" ht="13.7" customHeight="1" x14ac:dyDescent="0.2">
      <c r="A15" s="715" t="s">
        <v>1158</v>
      </c>
      <c r="B15" s="1716">
        <f>SUM('Revenues 9-14'!D9:E9,'Revenues 9-14'!H9)</f>
        <v>0</v>
      </c>
      <c r="C15" s="585"/>
      <c r="D15" s="1719">
        <f t="shared" si="0"/>
        <v>0</v>
      </c>
      <c r="E15" s="585"/>
      <c r="F15" s="1719">
        <f t="shared" si="1"/>
        <v>0</v>
      </c>
    </row>
    <row r="16" spans="1:6" ht="13.7" customHeight="1" x14ac:dyDescent="0.2">
      <c r="A16" s="715" t="s">
        <v>1159</v>
      </c>
      <c r="B16" s="1716">
        <f>'Revenues 9-14'!G8</f>
        <v>0</v>
      </c>
      <c r="C16" s="585"/>
      <c r="D16" s="1719">
        <f t="shared" si="0"/>
        <v>0</v>
      </c>
      <c r="E16" s="585"/>
      <c r="F16" s="1719">
        <f t="shared" si="1"/>
        <v>0</v>
      </c>
    </row>
    <row r="17" spans="1:6" ht="13.7" customHeight="1" x14ac:dyDescent="0.2">
      <c r="A17" s="715" t="s">
        <v>1160</v>
      </c>
      <c r="B17" s="1716">
        <f>'Revenues 9-14'!C10</f>
        <v>0</v>
      </c>
      <c r="C17" s="585"/>
      <c r="D17" s="1719">
        <f t="shared" si="0"/>
        <v>0</v>
      </c>
      <c r="E17" s="585"/>
      <c r="F17" s="1719">
        <f t="shared" si="1"/>
        <v>0</v>
      </c>
    </row>
    <row r="18" spans="1:6" ht="13.7" customHeight="1" x14ac:dyDescent="0.2">
      <c r="A18" s="715" t="s">
        <v>762</v>
      </c>
      <c r="B18" s="1716">
        <f>SUM('Revenues 9-14'!C11:K11)</f>
        <v>0</v>
      </c>
      <c r="C18" s="585"/>
      <c r="D18" s="1719">
        <f t="shared" si="0"/>
        <v>0</v>
      </c>
      <c r="E18" s="585"/>
      <c r="F18" s="1719">
        <f t="shared" si="1"/>
        <v>0</v>
      </c>
    </row>
    <row r="19" spans="1:6" ht="13.7" customHeight="1" thickBot="1" x14ac:dyDescent="0.25">
      <c r="A19" s="1720" t="s">
        <v>1161</v>
      </c>
      <c r="B19" s="1717">
        <f>SUM(B4:B18)</f>
        <v>0</v>
      </c>
      <c r="C19" s="1717">
        <f>SUM(C4:C18)</f>
        <v>0</v>
      </c>
      <c r="D19" s="1717">
        <f>SUM(D4:D18)</f>
        <v>0</v>
      </c>
      <c r="E19" s="1717">
        <f>SUM(E4:E18)</f>
        <v>0</v>
      </c>
      <c r="F19" s="1717">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fitToPage="1"/>
  </sheetPr>
  <dimension ref="A1:K59"/>
  <sheetViews>
    <sheetView showGridLines="0" defaultGridColor="0" topLeftCell="A23" colorId="8" zoomScale="110" zoomScaleNormal="110" workbookViewId="0">
      <selection activeCell="B1" sqref="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629</v>
      </c>
      <c r="B1" s="2217"/>
      <c r="C1" s="721"/>
    </row>
    <row r="2" spans="1:7" ht="33.75" x14ac:dyDescent="0.2">
      <c r="A2" s="2225" t="s">
        <v>1799</v>
      </c>
      <c r="B2" s="2226"/>
      <c r="C2" s="1840" t="s">
        <v>1951</v>
      </c>
      <c r="D2" s="723" t="s">
        <v>1952</v>
      </c>
      <c r="E2" s="723" t="s">
        <v>1953</v>
      </c>
      <c r="F2" s="1840" t="s">
        <v>1954</v>
      </c>
    </row>
    <row r="3" spans="1:7" ht="15.75" customHeight="1" x14ac:dyDescent="0.2">
      <c r="A3" s="2229" t="s">
        <v>1114</v>
      </c>
      <c r="B3" s="2230"/>
      <c r="C3" s="2218"/>
      <c r="D3" s="2219"/>
      <c r="E3" s="2219"/>
      <c r="F3" s="2220"/>
    </row>
    <row r="4" spans="1:7" ht="12.75" customHeight="1" thickBot="1" x14ac:dyDescent="0.25">
      <c r="A4" s="2227" t="s">
        <v>630</v>
      </c>
      <c r="B4" s="2228"/>
      <c r="C4" s="581"/>
      <c r="D4" s="581"/>
      <c r="E4" s="581"/>
      <c r="F4" s="1721">
        <f>SUM(C4+D4)-E4</f>
        <v>0</v>
      </c>
    </row>
    <row r="5" spans="1:7" ht="15.75" customHeight="1" thickTop="1" x14ac:dyDescent="0.2">
      <c r="A5" s="2212" t="s">
        <v>1110</v>
      </c>
      <c r="B5" s="2213"/>
      <c r="C5" s="2221"/>
      <c r="D5" s="2222"/>
      <c r="E5" s="2222"/>
      <c r="F5" s="2223"/>
    </row>
    <row r="6" spans="1:7" ht="12.75" customHeight="1" thickBot="1" x14ac:dyDescent="0.25">
      <c r="A6" s="724" t="s">
        <v>64</v>
      </c>
      <c r="B6" s="725"/>
      <c r="C6" s="726"/>
      <c r="D6" s="585"/>
      <c r="E6" s="726"/>
      <c r="F6" s="1721">
        <f t="shared" ref="F6:F14" si="0">SUM(C6+D6)-E6</f>
        <v>0</v>
      </c>
    </row>
    <row r="7" spans="1:7" ht="12.75" customHeight="1" thickTop="1" thickBot="1" x14ac:dyDescent="0.25">
      <c r="A7" s="724" t="s">
        <v>6</v>
      </c>
      <c r="B7" s="725"/>
      <c r="C7" s="726"/>
      <c r="D7" s="585"/>
      <c r="E7" s="726"/>
      <c r="F7" s="1721">
        <f t="shared" si="0"/>
        <v>0</v>
      </c>
    </row>
    <row r="8" spans="1:7" ht="12.75" customHeight="1" thickTop="1" thickBot="1" x14ac:dyDescent="0.25">
      <c r="A8" s="724" t="s">
        <v>508</v>
      </c>
      <c r="B8" s="725"/>
      <c r="C8" s="726"/>
      <c r="D8" s="585"/>
      <c r="E8" s="726"/>
      <c r="F8" s="1721">
        <f t="shared" si="0"/>
        <v>0</v>
      </c>
    </row>
    <row r="9" spans="1:7" ht="12.75" customHeight="1" thickTop="1" thickBot="1" x14ac:dyDescent="0.25">
      <c r="A9" s="724" t="s">
        <v>509</v>
      </c>
      <c r="B9" s="725"/>
      <c r="C9" s="726"/>
      <c r="D9" s="585"/>
      <c r="E9" s="726"/>
      <c r="F9" s="1721">
        <f t="shared" si="0"/>
        <v>0</v>
      </c>
    </row>
    <row r="10" spans="1:7" ht="12.75" customHeight="1" thickTop="1" thickBot="1" x14ac:dyDescent="0.25">
      <c r="A10" s="724" t="s">
        <v>510</v>
      </c>
      <c r="B10" s="725"/>
      <c r="C10" s="726"/>
      <c r="D10" s="585"/>
      <c r="E10" s="726"/>
      <c r="F10" s="1721">
        <f t="shared" si="0"/>
        <v>0</v>
      </c>
    </row>
    <row r="11" spans="1:7" ht="12.75" customHeight="1" thickTop="1" thickBot="1" x14ac:dyDescent="0.25">
      <c r="A11" s="724" t="s">
        <v>341</v>
      </c>
      <c r="B11" s="725"/>
      <c r="C11" s="726"/>
      <c r="D11" s="585"/>
      <c r="E11" s="726"/>
      <c r="F11" s="1721">
        <f t="shared" si="0"/>
        <v>0</v>
      </c>
    </row>
    <row r="12" spans="1:7" ht="12.75" customHeight="1" thickTop="1" thickBot="1" x14ac:dyDescent="0.25">
      <c r="A12" s="724" t="s">
        <v>1157</v>
      </c>
      <c r="B12" s="725"/>
      <c r="C12" s="726"/>
      <c r="D12" s="585"/>
      <c r="E12" s="726"/>
      <c r="F12" s="1721">
        <f t="shared" si="0"/>
        <v>0</v>
      </c>
    </row>
    <row r="13" spans="1:7" ht="12.75" customHeight="1" thickTop="1" thickBot="1" x14ac:dyDescent="0.25">
      <c r="A13" s="724" t="s">
        <v>388</v>
      </c>
      <c r="B13" s="725"/>
      <c r="C13" s="726"/>
      <c r="D13" s="585"/>
      <c r="E13" s="726"/>
      <c r="F13" s="1721">
        <f t="shared" si="0"/>
        <v>0</v>
      </c>
    </row>
    <row r="14" spans="1:7" ht="12.75" customHeight="1" thickTop="1" thickBot="1" x14ac:dyDescent="0.25">
      <c r="A14" s="724" t="s">
        <v>448</v>
      </c>
      <c r="B14" s="725"/>
      <c r="C14" s="726"/>
      <c r="D14" s="585"/>
      <c r="E14" s="726"/>
      <c r="F14" s="1721">
        <f t="shared" si="0"/>
        <v>0</v>
      </c>
    </row>
    <row r="15" spans="1:7" ht="14.25" thickTop="1" thickBot="1" x14ac:dyDescent="0.25">
      <c r="A15" s="2214" t="s">
        <v>631</v>
      </c>
      <c r="B15" s="2215"/>
      <c r="C15" s="1721">
        <f>SUM(C6:C14)</f>
        <v>0</v>
      </c>
      <c r="D15" s="1721">
        <f>SUM(D6:D14)</f>
        <v>0</v>
      </c>
      <c r="E15" s="1721">
        <f>SUM(E6:E14)</f>
        <v>0</v>
      </c>
      <c r="F15" s="1721">
        <f>SUM(F6:F14)</f>
        <v>0</v>
      </c>
      <c r="G15" s="552"/>
    </row>
    <row r="16" spans="1:7" s="202" customFormat="1" ht="15.75" customHeight="1" thickTop="1" x14ac:dyDescent="0.2">
      <c r="A16" s="2224" t="s">
        <v>1111</v>
      </c>
      <c r="B16" s="2213"/>
      <c r="C16" s="2221"/>
      <c r="D16" s="2222"/>
      <c r="E16" s="2222"/>
      <c r="F16" s="2223"/>
    </row>
    <row r="17" spans="1:11" ht="12.75" customHeight="1" thickBot="1" x14ac:dyDescent="0.25">
      <c r="A17" s="2237" t="s">
        <v>64</v>
      </c>
      <c r="B17" s="2238"/>
      <c r="C17" s="726"/>
      <c r="D17" s="585"/>
      <c r="E17" s="726"/>
      <c r="F17" s="1721">
        <f>SUM(C17+D17)-E17</f>
        <v>0</v>
      </c>
    </row>
    <row r="18" spans="1:11" ht="12.75" customHeight="1" thickTop="1" thickBot="1" x14ac:dyDescent="0.25">
      <c r="A18" s="2237" t="s">
        <v>6</v>
      </c>
      <c r="B18" s="2238"/>
      <c r="C18" s="726"/>
      <c r="D18" s="585"/>
      <c r="E18" s="726"/>
      <c r="F18" s="1721">
        <f>SUM(C18+D18)-E18</f>
        <v>0</v>
      </c>
    </row>
    <row r="19" spans="1:11" ht="12.75" customHeight="1" thickTop="1" thickBot="1" x14ac:dyDescent="0.25">
      <c r="A19" s="2237" t="s">
        <v>388</v>
      </c>
      <c r="B19" s="2238"/>
      <c r="C19" s="726"/>
      <c r="D19" s="585"/>
      <c r="E19" s="726"/>
      <c r="F19" s="1721">
        <f>SUM(C19+D19)-E19</f>
        <v>0</v>
      </c>
    </row>
    <row r="20" spans="1:11" ht="12.75" customHeight="1" thickTop="1" thickBot="1" x14ac:dyDescent="0.25">
      <c r="A20" s="2237" t="s">
        <v>448</v>
      </c>
      <c r="B20" s="2238"/>
      <c r="C20" s="726"/>
      <c r="D20" s="585"/>
      <c r="E20" s="726"/>
      <c r="F20" s="1721">
        <f>SUM(C20+D20)-E20</f>
        <v>0</v>
      </c>
    </row>
    <row r="21" spans="1:11" ht="14.25" thickTop="1" thickBot="1" x14ac:dyDescent="0.25">
      <c r="A21" s="2214" t="s">
        <v>632</v>
      </c>
      <c r="B21" s="2215"/>
      <c r="C21" s="1721">
        <f>SUM(C17:C20)</f>
        <v>0</v>
      </c>
      <c r="D21" s="1721">
        <f>SUM(D17:D20)</f>
        <v>0</v>
      </c>
      <c r="E21" s="1721">
        <f>SUM(E17:E20)</f>
        <v>0</v>
      </c>
      <c r="F21" s="1721">
        <f>SUM(F17:F20)</f>
        <v>0</v>
      </c>
      <c r="G21" s="552"/>
    </row>
    <row r="22" spans="1:11" ht="15.75" customHeight="1" thickTop="1" x14ac:dyDescent="0.2">
      <c r="A22" s="2239" t="s">
        <v>1112</v>
      </c>
      <c r="B22" s="2213"/>
      <c r="C22" s="2221"/>
      <c r="D22" s="2222"/>
      <c r="E22" s="2222"/>
      <c r="F22" s="2223"/>
    </row>
    <row r="23" spans="1:11" ht="13.5" thickBot="1" x14ac:dyDescent="0.25">
      <c r="A23" s="2227" t="s">
        <v>633</v>
      </c>
      <c r="B23" s="2228"/>
      <c r="C23" s="581"/>
      <c r="D23" s="581"/>
      <c r="E23" s="581"/>
      <c r="F23" s="1721">
        <f>SUM(C23+D23)-E23</f>
        <v>0</v>
      </c>
      <c r="G23" s="552"/>
    </row>
    <row r="24" spans="1:11" ht="15.75" customHeight="1" thickTop="1" x14ac:dyDescent="0.2">
      <c r="A24" s="2239" t="s">
        <v>1113</v>
      </c>
      <c r="B24" s="2213"/>
      <c r="C24" s="2221"/>
      <c r="D24" s="2222"/>
      <c r="E24" s="2222"/>
      <c r="F24" s="2223"/>
    </row>
    <row r="25" spans="1:11" ht="13.5" thickBot="1" x14ac:dyDescent="0.25">
      <c r="A25" s="2227" t="s">
        <v>634</v>
      </c>
      <c r="B25" s="2228"/>
      <c r="C25" s="581"/>
      <c r="D25" s="581"/>
      <c r="E25" s="581"/>
      <c r="F25" s="1721">
        <f>SUM(C25+D25)-E25</f>
        <v>0</v>
      </c>
      <c r="G25" s="552"/>
    </row>
    <row r="26" spans="1:11" ht="15.75" customHeight="1" thickTop="1" x14ac:dyDescent="0.2">
      <c r="A26" s="2212" t="s">
        <v>657</v>
      </c>
      <c r="B26" s="2213"/>
      <c r="C26" s="727"/>
      <c r="D26" s="727"/>
      <c r="E26" s="727"/>
      <c r="F26" s="728"/>
    </row>
    <row r="27" spans="1:11" ht="13.5" thickBot="1" x14ac:dyDescent="0.25">
      <c r="A27" s="2214" t="s">
        <v>1070</v>
      </c>
      <c r="B27" s="2215"/>
      <c r="C27" s="585"/>
      <c r="D27" s="585"/>
      <c r="E27" s="585"/>
      <c r="F27" s="1721">
        <f>SUM(C27+D27)-E27</f>
        <v>0</v>
      </c>
      <c r="G27" s="552"/>
    </row>
    <row r="28" spans="1:11" ht="7.5" customHeight="1" thickTop="1" x14ac:dyDescent="0.2">
      <c r="A28" s="593"/>
    </row>
    <row r="29" spans="1:11" ht="23.25" customHeight="1" x14ac:dyDescent="0.2">
      <c r="A29" s="2240" t="s">
        <v>582</v>
      </c>
      <c r="B29" s="2217"/>
      <c r="C29" s="729"/>
      <c r="D29" s="729"/>
      <c r="E29" s="729"/>
      <c r="F29" s="729"/>
      <c r="G29" s="729"/>
      <c r="H29" s="729"/>
      <c r="I29" s="729"/>
      <c r="J29" s="729"/>
    </row>
    <row r="30" spans="1:11" ht="33.75" x14ac:dyDescent="0.2">
      <c r="A30" s="1529" t="s">
        <v>1071</v>
      </c>
      <c r="B30" s="730" t="s">
        <v>1124</v>
      </c>
      <c r="C30" s="1841" t="s">
        <v>583</v>
      </c>
      <c r="D30" s="1841" t="s">
        <v>1673</v>
      </c>
      <c r="E30" s="1841" t="s">
        <v>1955</v>
      </c>
      <c r="F30" s="1841" t="s">
        <v>1956</v>
      </c>
      <c r="G30" s="1841" t="s">
        <v>1907</v>
      </c>
      <c r="H30" s="1841" t="s">
        <v>1957</v>
      </c>
      <c r="I30" s="1841" t="s">
        <v>1958</v>
      </c>
      <c r="J30" s="1842" t="s">
        <v>2</v>
      </c>
      <c r="K30" s="731"/>
    </row>
    <row r="31" spans="1:11" ht="12" customHeight="1" x14ac:dyDescent="0.2">
      <c r="A31" s="732" t="s">
        <v>2087</v>
      </c>
      <c r="B31" s="733">
        <v>39295</v>
      </c>
      <c r="C31" s="734">
        <v>5500000</v>
      </c>
      <c r="D31" s="735">
        <v>7</v>
      </c>
      <c r="E31" s="734">
        <v>2305000</v>
      </c>
      <c r="F31" s="734"/>
      <c r="G31" s="734">
        <v>-2305000</v>
      </c>
      <c r="H31" s="734"/>
      <c r="I31" s="1722">
        <f>((E31+F31)-H31)+G31</f>
        <v>0</v>
      </c>
      <c r="J31" s="734">
        <v>0</v>
      </c>
      <c r="K31" s="736"/>
    </row>
    <row r="32" spans="1:11" ht="12" customHeight="1" x14ac:dyDescent="0.2">
      <c r="A32" s="732" t="s">
        <v>2088</v>
      </c>
      <c r="B32" s="733">
        <v>43327</v>
      </c>
      <c r="C32" s="734">
        <v>2305000</v>
      </c>
      <c r="D32" s="735">
        <v>8</v>
      </c>
      <c r="E32" s="734"/>
      <c r="F32" s="734">
        <v>2305000</v>
      </c>
      <c r="G32" s="734"/>
      <c r="H32" s="734">
        <v>455000</v>
      </c>
      <c r="I32" s="1722">
        <f>((E32+F32)-H32)+G32</f>
        <v>1850000</v>
      </c>
      <c r="J32" s="734">
        <v>1850000</v>
      </c>
      <c r="K32" s="736"/>
    </row>
    <row r="33" spans="1:11" ht="12" customHeight="1" x14ac:dyDescent="0.2">
      <c r="A33" s="732"/>
      <c r="B33" s="733"/>
      <c r="C33" s="734"/>
      <c r="D33" s="735"/>
      <c r="E33" s="734"/>
      <c r="F33" s="734"/>
      <c r="G33" s="734"/>
      <c r="H33" s="734"/>
      <c r="I33" s="1722">
        <f t="shared" ref="I33:I48" si="1">((E33+F33)-H33)+G33</f>
        <v>0</v>
      </c>
      <c r="J33" s="734"/>
      <c r="K33" s="736"/>
    </row>
    <row r="34" spans="1:11" ht="12" customHeight="1" x14ac:dyDescent="0.2">
      <c r="A34" s="732"/>
      <c r="B34" s="733"/>
      <c r="C34" s="734"/>
      <c r="D34" s="735"/>
      <c r="E34" s="734"/>
      <c r="F34" s="734"/>
      <c r="G34" s="734"/>
      <c r="H34" s="734"/>
      <c r="I34" s="1722">
        <f t="shared" si="1"/>
        <v>0</v>
      </c>
      <c r="J34" s="734"/>
      <c r="K34" s="737"/>
    </row>
    <row r="35" spans="1:11" ht="12" customHeight="1" x14ac:dyDescent="0.2">
      <c r="A35" s="732"/>
      <c r="B35" s="733"/>
      <c r="C35" s="738"/>
      <c r="D35" s="735"/>
      <c r="E35" s="738"/>
      <c r="F35" s="738"/>
      <c r="G35" s="738"/>
      <c r="H35" s="738"/>
      <c r="I35" s="1722">
        <f t="shared" si="1"/>
        <v>0</v>
      </c>
      <c r="J35" s="738"/>
      <c r="K35" s="737"/>
    </row>
    <row r="36" spans="1:11" ht="12" customHeight="1" x14ac:dyDescent="0.2">
      <c r="A36" s="732"/>
      <c r="B36" s="733"/>
      <c r="C36" s="734"/>
      <c r="D36" s="735"/>
      <c r="E36" s="734"/>
      <c r="F36" s="734"/>
      <c r="G36" s="734"/>
      <c r="H36" s="734"/>
      <c r="I36" s="1722">
        <f t="shared" si="1"/>
        <v>0</v>
      </c>
      <c r="J36" s="734"/>
      <c r="K36" s="739"/>
    </row>
    <row r="37" spans="1:11" ht="12" customHeight="1" x14ac:dyDescent="0.2">
      <c r="A37" s="732"/>
      <c r="B37" s="733"/>
      <c r="C37" s="467"/>
      <c r="D37" s="740"/>
      <c r="E37" s="467"/>
      <c r="F37" s="467"/>
      <c r="G37" s="467"/>
      <c r="H37" s="467"/>
      <c r="I37" s="1722">
        <f t="shared" si="1"/>
        <v>0</v>
      </c>
      <c r="J37" s="467"/>
      <c r="K37" s="737"/>
    </row>
    <row r="38" spans="1:11" ht="12" customHeight="1" x14ac:dyDescent="0.2">
      <c r="A38" s="732"/>
      <c r="B38" s="733"/>
      <c r="C38" s="734"/>
      <c r="D38" s="741"/>
      <c r="E38" s="742"/>
      <c r="F38" s="742"/>
      <c r="G38" s="742"/>
      <c r="H38" s="742"/>
      <c r="I38" s="1722">
        <f t="shared" si="1"/>
        <v>0</v>
      </c>
      <c r="J38" s="743" t="s">
        <v>264</v>
      </c>
      <c r="K38" s="744"/>
    </row>
    <row r="39" spans="1:11" ht="12" customHeight="1" x14ac:dyDescent="0.2">
      <c r="A39" s="732"/>
      <c r="B39" s="733"/>
      <c r="C39" s="734"/>
      <c r="D39" s="741"/>
      <c r="E39" s="742"/>
      <c r="F39" s="742"/>
      <c r="G39" s="742"/>
      <c r="H39" s="742"/>
      <c r="I39" s="1722">
        <f t="shared" si="1"/>
        <v>0</v>
      </c>
      <c r="J39" s="743"/>
      <c r="K39" s="744"/>
    </row>
    <row r="40" spans="1:11" ht="12" customHeight="1" x14ac:dyDescent="0.2">
      <c r="A40" s="732"/>
      <c r="B40" s="733"/>
      <c r="C40" s="734"/>
      <c r="D40" s="741"/>
      <c r="E40" s="742"/>
      <c r="F40" s="742"/>
      <c r="G40" s="742"/>
      <c r="H40" s="742"/>
      <c r="I40" s="1722">
        <f t="shared" si="1"/>
        <v>0</v>
      </c>
      <c r="J40" s="743"/>
      <c r="K40" s="744"/>
    </row>
    <row r="41" spans="1:11" ht="12" customHeight="1" x14ac:dyDescent="0.2">
      <c r="A41" s="732"/>
      <c r="B41" s="733"/>
      <c r="C41" s="734"/>
      <c r="D41" s="741"/>
      <c r="E41" s="742"/>
      <c r="F41" s="742"/>
      <c r="G41" s="742"/>
      <c r="H41" s="742"/>
      <c r="I41" s="1722">
        <f t="shared" si="1"/>
        <v>0</v>
      </c>
      <c r="J41" s="743"/>
      <c r="K41" s="744"/>
    </row>
    <row r="42" spans="1:11" ht="12" customHeight="1" x14ac:dyDescent="0.2">
      <c r="A42" s="732"/>
      <c r="B42" s="733"/>
      <c r="C42" s="734"/>
      <c r="D42" s="741"/>
      <c r="E42" s="742"/>
      <c r="F42" s="742"/>
      <c r="G42" s="742"/>
      <c r="H42" s="742"/>
      <c r="I42" s="1722">
        <f t="shared" si="1"/>
        <v>0</v>
      </c>
      <c r="J42" s="743"/>
      <c r="K42" s="744"/>
    </row>
    <row r="43" spans="1:11" ht="12" customHeight="1" x14ac:dyDescent="0.2">
      <c r="A43" s="732"/>
      <c r="B43" s="733"/>
      <c r="C43" s="734"/>
      <c r="D43" s="741"/>
      <c r="E43" s="742"/>
      <c r="F43" s="742"/>
      <c r="G43" s="742"/>
      <c r="H43" s="742"/>
      <c r="I43" s="1722">
        <f t="shared" si="1"/>
        <v>0</v>
      </c>
      <c r="J43" s="743"/>
      <c r="K43" s="744"/>
    </row>
    <row r="44" spans="1:11" ht="12" customHeight="1" x14ac:dyDescent="0.2">
      <c r="A44" s="732"/>
      <c r="B44" s="733"/>
      <c r="C44" s="734"/>
      <c r="D44" s="735"/>
      <c r="E44" s="734"/>
      <c r="F44" s="734"/>
      <c r="G44" s="734"/>
      <c r="H44" s="734"/>
      <c r="I44" s="1722">
        <f t="shared" si="1"/>
        <v>0</v>
      </c>
      <c r="J44" s="734"/>
      <c r="K44" s="737"/>
    </row>
    <row r="45" spans="1:11" ht="12" customHeight="1" x14ac:dyDescent="0.2">
      <c r="A45" s="732"/>
      <c r="B45" s="733"/>
      <c r="C45" s="734"/>
      <c r="D45" s="735"/>
      <c r="E45" s="734"/>
      <c r="F45" s="734"/>
      <c r="G45" s="734"/>
      <c r="H45" s="734"/>
      <c r="I45" s="1722">
        <f t="shared" si="1"/>
        <v>0</v>
      </c>
      <c r="J45" s="734"/>
      <c r="K45" s="737"/>
    </row>
    <row r="46" spans="1:11" ht="12" customHeight="1" x14ac:dyDescent="0.2">
      <c r="A46" s="732"/>
      <c r="B46" s="733"/>
      <c r="C46" s="734"/>
      <c r="D46" s="735"/>
      <c r="E46" s="734"/>
      <c r="F46" s="734"/>
      <c r="G46" s="734"/>
      <c r="H46" s="734"/>
      <c r="I46" s="1722">
        <f t="shared" si="1"/>
        <v>0</v>
      </c>
      <c r="J46" s="734"/>
      <c r="K46" s="737"/>
    </row>
    <row r="47" spans="1:11" ht="12" customHeight="1" x14ac:dyDescent="0.2">
      <c r="A47" s="732"/>
      <c r="B47" s="733"/>
      <c r="C47" s="738"/>
      <c r="D47" s="735"/>
      <c r="E47" s="738"/>
      <c r="F47" s="738"/>
      <c r="G47" s="738"/>
      <c r="H47" s="738"/>
      <c r="I47" s="1722">
        <f t="shared" si="1"/>
        <v>0</v>
      </c>
      <c r="J47" s="738"/>
      <c r="K47" s="737"/>
    </row>
    <row r="48" spans="1:11" ht="12" customHeight="1" x14ac:dyDescent="0.2">
      <c r="A48" s="732"/>
      <c r="B48" s="733"/>
      <c r="C48" s="734"/>
      <c r="D48" s="735"/>
      <c r="E48" s="734"/>
      <c r="F48" s="734"/>
      <c r="G48" s="734"/>
      <c r="H48" s="734"/>
      <c r="I48" s="1722">
        <f t="shared" si="1"/>
        <v>0</v>
      </c>
      <c r="J48" s="734"/>
      <c r="K48" s="737"/>
    </row>
    <row r="49" spans="1:11" ht="12" customHeight="1" x14ac:dyDescent="0.2">
      <c r="A49" s="732"/>
      <c r="B49" s="733"/>
      <c r="C49" s="1722">
        <f>SUM(C31:C48)</f>
        <v>7805000</v>
      </c>
      <c r="D49" s="745"/>
      <c r="E49" s="1722">
        <f t="shared" ref="E49:J49" si="2">SUM(E31:E48)</f>
        <v>2305000</v>
      </c>
      <c r="F49" s="1722">
        <f t="shared" si="2"/>
        <v>2305000</v>
      </c>
      <c r="G49" s="1722">
        <f t="shared" si="2"/>
        <v>-2305000</v>
      </c>
      <c r="H49" s="1722">
        <f t="shared" si="2"/>
        <v>455000</v>
      </c>
      <c r="I49" s="1722">
        <f t="shared" si="2"/>
        <v>1850000</v>
      </c>
      <c r="J49" s="1722">
        <f t="shared" si="2"/>
        <v>1850000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31" t="s">
        <v>584</v>
      </c>
      <c r="C52" s="2232"/>
      <c r="D52" s="2232"/>
      <c r="E52" s="749" t="s">
        <v>845</v>
      </c>
      <c r="F52" s="2233" t="s">
        <v>2089</v>
      </c>
      <c r="G52" s="2234"/>
      <c r="H52" s="736"/>
      <c r="I52" s="736"/>
      <c r="J52" s="746"/>
    </row>
    <row r="53" spans="1:11" ht="11.25" customHeight="1" x14ac:dyDescent="0.2">
      <c r="A53" s="750" t="s">
        <v>913</v>
      </c>
      <c r="B53" s="751" t="s">
        <v>951</v>
      </c>
      <c r="C53" s="746"/>
      <c r="D53" s="737"/>
      <c r="E53" s="749" t="s">
        <v>497</v>
      </c>
      <c r="F53" s="2235" t="s">
        <v>2090</v>
      </c>
      <c r="G53" s="2236"/>
      <c r="H53" s="736"/>
      <c r="I53" s="736"/>
      <c r="J53" s="746"/>
    </row>
    <row r="54" spans="1:11" ht="11.25" customHeight="1" x14ac:dyDescent="0.2">
      <c r="A54" s="752" t="s">
        <v>914</v>
      </c>
      <c r="B54" s="747" t="s">
        <v>952</v>
      </c>
      <c r="C54" s="746"/>
      <c r="D54" s="737"/>
      <c r="E54" s="749" t="s">
        <v>498</v>
      </c>
      <c r="F54" s="2235"/>
      <c r="G54" s="223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14999847407452621"/>
  </sheetPr>
  <dimension ref="A1:K48"/>
  <sheetViews>
    <sheetView showGridLines="0" defaultGridColor="0" colorId="8" zoomScale="110" zoomScaleNormal="110" workbookViewId="0">
      <selection activeCell="B1" sqref="B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856</v>
      </c>
      <c r="B1" s="2266"/>
      <c r="C1" s="2266"/>
      <c r="D1" s="2266"/>
      <c r="E1" s="2266"/>
      <c r="F1" s="2266"/>
      <c r="G1" s="2267"/>
      <c r="H1" s="1530"/>
      <c r="I1" s="760"/>
      <c r="J1" s="433"/>
    </row>
    <row r="2" spans="1:11" ht="26.25" x14ac:dyDescent="0.2">
      <c r="A2" s="2244" t="s">
        <v>1677</v>
      </c>
      <c r="B2" s="2245"/>
      <c r="C2" s="2245"/>
      <c r="D2" s="2245"/>
      <c r="E2" s="2246"/>
      <c r="F2" s="761" t="s">
        <v>904</v>
      </c>
      <c r="G2" s="762" t="s">
        <v>1674</v>
      </c>
      <c r="H2" s="762" t="s">
        <v>410</v>
      </c>
      <c r="I2" s="762" t="s">
        <v>1158</v>
      </c>
      <c r="J2" s="762" t="s">
        <v>1809</v>
      </c>
      <c r="K2" s="762" t="s">
        <v>138</v>
      </c>
    </row>
    <row r="3" spans="1:11" x14ac:dyDescent="0.2">
      <c r="A3" s="2247" t="s">
        <v>1959</v>
      </c>
      <c r="B3" s="2248"/>
      <c r="C3" s="2248"/>
      <c r="D3" s="2248"/>
      <c r="E3" s="2249"/>
      <c r="F3" s="763"/>
      <c r="G3" s="764"/>
      <c r="H3" s="764"/>
      <c r="I3" s="764"/>
      <c r="J3" s="765"/>
      <c r="K3" s="765"/>
    </row>
    <row r="4" spans="1:11" x14ac:dyDescent="0.2">
      <c r="A4" s="2250" t="s">
        <v>369</v>
      </c>
      <c r="B4" s="2251"/>
      <c r="C4" s="2251"/>
      <c r="D4" s="2251"/>
      <c r="E4" s="2232"/>
      <c r="F4" s="766"/>
      <c r="G4" s="767"/>
      <c r="H4" s="768"/>
      <c r="I4" s="767"/>
      <c r="J4" s="769"/>
      <c r="K4" s="769"/>
    </row>
    <row r="5" spans="1:11" x14ac:dyDescent="0.2">
      <c r="A5" s="2268" t="s">
        <v>1069</v>
      </c>
      <c r="B5" s="2241"/>
      <c r="C5" s="2241"/>
      <c r="D5" s="2241"/>
      <c r="E5" s="226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68" t="s">
        <v>1810</v>
      </c>
      <c r="B10" s="2241"/>
      <c r="C10" s="2241"/>
      <c r="D10" s="2241"/>
      <c r="E10" s="2270"/>
      <c r="F10" s="783" t="s">
        <v>862</v>
      </c>
      <c r="G10" s="782"/>
      <c r="H10" s="784"/>
      <c r="I10" s="764"/>
      <c r="J10" s="765"/>
      <c r="K10" s="765"/>
    </row>
    <row r="11" spans="1:11" x14ac:dyDescent="0.2">
      <c r="A11" s="2268" t="s">
        <v>160</v>
      </c>
      <c r="B11" s="2241"/>
      <c r="C11" s="2241"/>
      <c r="D11" s="2241"/>
      <c r="E11" s="2269"/>
      <c r="F11" s="770" t="s">
        <v>852</v>
      </c>
      <c r="G11" s="771"/>
      <c r="H11" s="764"/>
      <c r="I11" s="764"/>
      <c r="J11" s="765"/>
      <c r="K11" s="773"/>
    </row>
    <row r="12" spans="1:11" ht="13.5" thickBot="1" x14ac:dyDescent="0.25">
      <c r="A12" s="2258" t="s">
        <v>905</v>
      </c>
      <c r="B12" s="2259"/>
      <c r="C12" s="2259"/>
      <c r="D12" s="2259"/>
      <c r="E12" s="2260"/>
      <c r="F12" s="1723"/>
      <c r="G12" s="1724">
        <f>SUM(G5:G11)</f>
        <v>0</v>
      </c>
      <c r="H12" s="1724">
        <f>SUM(H5:H11)</f>
        <v>0</v>
      </c>
      <c r="I12" s="1724">
        <f>SUM(I5:I11)</f>
        <v>0</v>
      </c>
      <c r="J12" s="1724">
        <f>SUM(J5:J11)</f>
        <v>0</v>
      </c>
      <c r="K12" s="1724">
        <f>SUM(K5:K11)</f>
        <v>0</v>
      </c>
    </row>
    <row r="13" spans="1:11" ht="13.5" thickTop="1" x14ac:dyDescent="0.2">
      <c r="A13" s="2252" t="s">
        <v>370</v>
      </c>
      <c r="B13" s="2253"/>
      <c r="C13" s="2253"/>
      <c r="D13" s="2253"/>
      <c r="E13" s="2254"/>
      <c r="F13" s="785"/>
      <c r="G13" s="786"/>
      <c r="H13" s="787"/>
      <c r="I13" s="788"/>
      <c r="J13" s="788"/>
      <c r="K13" s="788"/>
    </row>
    <row r="14" spans="1:11" x14ac:dyDescent="0.2">
      <c r="A14" s="2274" t="s">
        <v>456</v>
      </c>
      <c r="B14" s="2274"/>
      <c r="C14" s="2274"/>
      <c r="D14" s="2274"/>
      <c r="E14" s="2275"/>
      <c r="F14" s="789" t="s">
        <v>854</v>
      </c>
      <c r="G14" s="782"/>
      <c r="H14" s="764"/>
      <c r="I14" s="771"/>
      <c r="J14" s="773"/>
      <c r="K14" s="765"/>
    </row>
    <row r="15" spans="1:11" x14ac:dyDescent="0.2">
      <c r="A15" s="2241" t="s">
        <v>4</v>
      </c>
      <c r="B15" s="2241"/>
      <c r="C15" s="2241"/>
      <c r="D15" s="2241"/>
      <c r="E15" s="2269"/>
      <c r="F15" s="789" t="s">
        <v>855</v>
      </c>
      <c r="G15" s="771"/>
      <c r="H15" s="764"/>
      <c r="I15" s="764"/>
      <c r="J15" s="765"/>
      <c r="K15" s="765"/>
    </row>
    <row r="16" spans="1:11" x14ac:dyDescent="0.2">
      <c r="A16" s="2241" t="s">
        <v>298</v>
      </c>
      <c r="B16" s="2241"/>
      <c r="C16" s="2241"/>
      <c r="D16" s="2241"/>
      <c r="E16" s="2269"/>
      <c r="F16" s="789" t="s">
        <v>923</v>
      </c>
      <c r="G16" s="772"/>
      <c r="H16" s="767"/>
      <c r="I16" s="767"/>
      <c r="J16" s="769"/>
      <c r="K16" s="769"/>
    </row>
    <row r="17" spans="1:11" x14ac:dyDescent="0.2">
      <c r="A17" s="2263" t="s">
        <v>935</v>
      </c>
      <c r="B17" s="2263"/>
      <c r="C17" s="2263"/>
      <c r="D17" s="2263"/>
      <c r="E17" s="2264"/>
      <c r="F17" s="790"/>
      <c r="G17" s="791"/>
      <c r="H17" s="792"/>
      <c r="I17" s="792"/>
      <c r="J17" s="793"/>
      <c r="K17" s="794"/>
    </row>
    <row r="18" spans="1:11" x14ac:dyDescent="0.2">
      <c r="A18" s="2255" t="s">
        <v>368</v>
      </c>
      <c r="B18" s="2256"/>
      <c r="C18" s="2256"/>
      <c r="D18" s="2256"/>
      <c r="E18" s="2257"/>
      <c r="F18" s="789" t="s">
        <v>932</v>
      </c>
      <c r="G18" s="782"/>
      <c r="H18" s="782"/>
      <c r="I18" s="782"/>
      <c r="J18" s="765"/>
      <c r="K18" s="795"/>
    </row>
    <row r="19" spans="1:11" ht="21.75" customHeight="1" x14ac:dyDescent="0.2">
      <c r="A19" s="2276" t="s">
        <v>1806</v>
      </c>
      <c r="B19" s="2276"/>
      <c r="C19" s="2276"/>
      <c r="D19" s="2276"/>
      <c r="E19" s="2277"/>
      <c r="F19" s="789" t="s">
        <v>933</v>
      </c>
      <c r="G19" s="782"/>
      <c r="H19" s="782"/>
      <c r="I19" s="782"/>
      <c r="J19" s="765"/>
      <c r="K19" s="795"/>
    </row>
    <row r="20" spans="1:11" x14ac:dyDescent="0.2">
      <c r="A20" s="2255" t="s">
        <v>1811</v>
      </c>
      <c r="B20" s="2256"/>
      <c r="C20" s="2256"/>
      <c r="D20" s="2256"/>
      <c r="E20" s="2257"/>
      <c r="F20" s="789" t="s">
        <v>934</v>
      </c>
      <c r="G20" s="782"/>
      <c r="H20" s="782"/>
      <c r="I20" s="782"/>
      <c r="J20" s="765"/>
      <c r="K20" s="795"/>
    </row>
    <row r="21" spans="1:11" ht="13.5" thickBot="1" x14ac:dyDescent="0.25">
      <c r="A21" s="2261" t="s">
        <v>638</v>
      </c>
      <c r="B21" s="2261"/>
      <c r="C21" s="2261"/>
      <c r="D21" s="2261"/>
      <c r="E21" s="2261"/>
      <c r="F21" s="1725"/>
      <c r="G21" s="792"/>
      <c r="H21" s="796"/>
      <c r="I21" s="796"/>
      <c r="J21" s="1726">
        <f>SUM(J18:J20)</f>
        <v>0</v>
      </c>
      <c r="K21" s="793"/>
    </row>
    <row r="22" spans="1:11" ht="13.5" thickTop="1" x14ac:dyDescent="0.2">
      <c r="A22" s="2241" t="s">
        <v>1812</v>
      </c>
      <c r="B22" s="2241"/>
      <c r="C22" s="2241"/>
      <c r="D22" s="2241"/>
      <c r="E22" s="2269"/>
      <c r="F22" s="789" t="s">
        <v>862</v>
      </c>
      <c r="G22" s="782"/>
      <c r="H22" s="764"/>
      <c r="I22" s="764"/>
      <c r="J22" s="797"/>
      <c r="K22" s="765"/>
    </row>
    <row r="23" spans="1:11" ht="13.5" thickBot="1" x14ac:dyDescent="0.25">
      <c r="A23" s="2262" t="s">
        <v>906</v>
      </c>
      <c r="B23" s="2261"/>
      <c r="C23" s="2261"/>
      <c r="D23" s="2261"/>
      <c r="E23" s="2261"/>
      <c r="F23" s="1727"/>
      <c r="G23" s="1724">
        <f>SUM(G14:G16,G21,G22)</f>
        <v>0</v>
      </c>
      <c r="H23" s="1724">
        <f>SUM(H14:H16,H21,H22)</f>
        <v>0</v>
      </c>
      <c r="I23" s="1724">
        <f>SUM(I14:I16,I21,I22)</f>
        <v>0</v>
      </c>
      <c r="J23" s="1724">
        <f>SUM(J14:J16,J21,J22)</f>
        <v>0</v>
      </c>
      <c r="K23" s="1724">
        <f>SUM(K14:K16,K21,K22)</f>
        <v>0</v>
      </c>
    </row>
    <row r="24" spans="1:11" ht="14.25" thickTop="1" thickBot="1" x14ac:dyDescent="0.25">
      <c r="A24" s="2262" t="s">
        <v>1960</v>
      </c>
      <c r="B24" s="2261"/>
      <c r="C24" s="2261"/>
      <c r="D24" s="2261"/>
      <c r="E24" s="2261"/>
      <c r="F24" s="1728"/>
      <c r="G24" s="1729">
        <f>SUM(G3,G12)-G23</f>
        <v>0</v>
      </c>
      <c r="H24" s="1729">
        <f>SUM(H3,H12)-H23</f>
        <v>0</v>
      </c>
      <c r="I24" s="1729">
        <f>SUM(I3,I12)-I23</f>
        <v>0</v>
      </c>
      <c r="J24" s="1729">
        <f>SUM(J3,J12)-J23</f>
        <v>0</v>
      </c>
      <c r="K24" s="172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24">
        <f>G24-G25</f>
        <v>0</v>
      </c>
      <c r="H26" s="1724">
        <f>H24-H25</f>
        <v>0</v>
      </c>
      <c r="I26" s="1724">
        <f>I24-I25</f>
        <v>0</v>
      </c>
      <c r="J26" s="1724">
        <f>J24-J25</f>
        <v>0</v>
      </c>
      <c r="K26" s="1724">
        <f>K24-K25</f>
        <v>0</v>
      </c>
    </row>
    <row r="27" spans="1:11" ht="5.25" customHeight="1" thickTop="1" x14ac:dyDescent="0.2">
      <c r="I27" s="202"/>
      <c r="J27" s="202"/>
    </row>
    <row r="28" spans="1:11" ht="29.25" customHeight="1" x14ac:dyDescent="0.2">
      <c r="A28" s="1836" t="s">
        <v>1906</v>
      </c>
      <c r="B28" s="1837"/>
      <c r="C28" s="1837"/>
      <c r="D28" s="1837"/>
      <c r="E28" s="183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71"/>
      <c r="I31" s="2272"/>
      <c r="J31" s="2272"/>
      <c r="K31" s="2272"/>
    </row>
    <row r="32" spans="1:11" x14ac:dyDescent="0.2">
      <c r="A32" s="809"/>
      <c r="B32" s="237"/>
      <c r="C32" s="237"/>
      <c r="D32" s="237"/>
      <c r="E32" s="805"/>
      <c r="F32" s="811" t="s">
        <v>540</v>
      </c>
      <c r="G32" s="764"/>
      <c r="H32" s="2273"/>
      <c r="I32" s="2272"/>
      <c r="J32" s="2272"/>
      <c r="K32" s="2272"/>
    </row>
    <row r="33" spans="1:11" ht="1.5" customHeight="1" x14ac:dyDescent="0.2">
      <c r="A33" s="812" t="s">
        <v>1169</v>
      </c>
      <c r="B33" s="364"/>
      <c r="C33" s="364"/>
      <c r="D33" s="364"/>
      <c r="E33" s="364"/>
      <c r="F33" s="364"/>
      <c r="G33" s="813"/>
      <c r="H33" s="2273"/>
      <c r="I33" s="2272"/>
      <c r="J33" s="2272"/>
      <c r="K33" s="227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1" t="s">
        <v>541</v>
      </c>
      <c r="B41" s="2242"/>
      <c r="C41" s="2242"/>
      <c r="D41" s="2242"/>
      <c r="E41" s="2242"/>
      <c r="F41" s="224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sheetPr>
  <dimension ref="A1:N27"/>
  <sheetViews>
    <sheetView showGridLines="0" defaultGridColor="0" colorId="8" zoomScale="110" zoomScaleNormal="110" workbookViewId="0">
      <selection activeCell="B1" sqref="B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1905</v>
      </c>
      <c r="B1" s="2281"/>
      <c r="C1" s="2282"/>
      <c r="D1" s="826"/>
      <c r="E1" s="827"/>
      <c r="F1" s="827"/>
      <c r="G1" s="828"/>
      <c r="H1" s="829"/>
      <c r="I1" s="830"/>
      <c r="J1" s="2278"/>
      <c r="K1" s="2279"/>
      <c r="L1" s="227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14" t="s">
        <v>892</v>
      </c>
      <c r="B3" s="1615">
        <v>210</v>
      </c>
      <c r="C3" s="835"/>
      <c r="D3" s="835"/>
      <c r="E3" s="835"/>
      <c r="F3" s="1726">
        <f>(C3+D3)-E3</f>
        <v>0</v>
      </c>
      <c r="G3" s="836"/>
      <c r="H3" s="835"/>
      <c r="I3" s="835"/>
      <c r="J3" s="835"/>
      <c r="K3" s="1735">
        <f>(H3+I3)-J3</f>
        <v>0</v>
      </c>
      <c r="L3" s="1735">
        <f>F3-K3</f>
        <v>0</v>
      </c>
      <c r="M3" s="834"/>
      <c r="N3" s="834"/>
    </row>
    <row r="4" spans="1:14" ht="15" customHeight="1" thickTop="1" x14ac:dyDescent="0.2">
      <c r="A4" s="1616" t="s">
        <v>158</v>
      </c>
      <c r="B4" s="1615">
        <v>220</v>
      </c>
      <c r="C4" s="781"/>
      <c r="D4" s="781"/>
      <c r="E4" s="781"/>
      <c r="F4" s="773"/>
      <c r="G4" s="837"/>
      <c r="H4" s="838"/>
      <c r="I4" s="838"/>
      <c r="J4" s="838"/>
      <c r="K4" s="839"/>
      <c r="L4" s="773"/>
    </row>
    <row r="5" spans="1:14" ht="13.5" thickBot="1" x14ac:dyDescent="0.25">
      <c r="A5" s="778" t="s">
        <v>893</v>
      </c>
      <c r="B5" s="840">
        <v>221</v>
      </c>
      <c r="C5" s="841"/>
      <c r="D5" s="841"/>
      <c r="E5" s="841"/>
      <c r="F5" s="1726">
        <f>(C5+D5)-E5</f>
        <v>0</v>
      </c>
      <c r="G5" s="837"/>
      <c r="H5" s="842"/>
      <c r="I5" s="842"/>
      <c r="J5" s="842"/>
      <c r="K5" s="793"/>
      <c r="L5" s="1735">
        <f>F5-K5</f>
        <v>0</v>
      </c>
    </row>
    <row r="6" spans="1:14" ht="14.25" thickTop="1" thickBot="1" x14ac:dyDescent="0.25">
      <c r="A6" s="778" t="s">
        <v>1117</v>
      </c>
      <c r="B6" s="840">
        <v>222</v>
      </c>
      <c r="C6" s="765"/>
      <c r="D6" s="765"/>
      <c r="E6" s="765"/>
      <c r="F6" s="1726">
        <f>(C6+D6)-E6</f>
        <v>0</v>
      </c>
      <c r="G6" s="837">
        <v>50</v>
      </c>
      <c r="H6" s="765"/>
      <c r="I6" s="765"/>
      <c r="J6" s="765"/>
      <c r="K6" s="1735">
        <f>(H6+I6)-J6</f>
        <v>0</v>
      </c>
      <c r="L6" s="1735">
        <f>F6-K6</f>
        <v>0</v>
      </c>
    </row>
    <row r="7" spans="1:14" ht="15" customHeight="1" thickTop="1" x14ac:dyDescent="0.2">
      <c r="A7" s="1616" t="s">
        <v>159</v>
      </c>
      <c r="B7" s="1615">
        <v>230</v>
      </c>
      <c r="C7" s="781"/>
      <c r="D7" s="781"/>
      <c r="E7" s="781"/>
      <c r="F7" s="773"/>
      <c r="G7" s="843"/>
      <c r="H7" s="781"/>
      <c r="I7" s="781"/>
      <c r="J7" s="781"/>
      <c r="K7" s="773"/>
      <c r="L7" s="773"/>
    </row>
    <row r="8" spans="1:14" ht="13.5" thickBot="1" x14ac:dyDescent="0.25">
      <c r="A8" s="778" t="s">
        <v>1118</v>
      </c>
      <c r="B8" s="840">
        <v>231</v>
      </c>
      <c r="C8" s="844">
        <v>6650484</v>
      </c>
      <c r="D8" s="844"/>
      <c r="E8" s="844"/>
      <c r="F8" s="1726">
        <f>(C8+D8)-E8</f>
        <v>6650484</v>
      </c>
      <c r="G8" s="843">
        <v>50</v>
      </c>
      <c r="H8" s="765">
        <v>1579489</v>
      </c>
      <c r="I8" s="765">
        <v>166262</v>
      </c>
      <c r="J8" s="765"/>
      <c r="K8" s="1735">
        <f>(H8+I8)-J8</f>
        <v>1745751</v>
      </c>
      <c r="L8" s="1735">
        <f>F8-K8</f>
        <v>4904733</v>
      </c>
    </row>
    <row r="9" spans="1:14" ht="14.25" thickTop="1" thickBot="1" x14ac:dyDescent="0.25">
      <c r="A9" s="778" t="s">
        <v>1119</v>
      </c>
      <c r="B9" s="840">
        <v>232</v>
      </c>
      <c r="C9" s="765"/>
      <c r="D9" s="765"/>
      <c r="E9" s="765"/>
      <c r="F9" s="1726">
        <f>(C9+D9)-E9</f>
        <v>0</v>
      </c>
      <c r="G9" s="843">
        <v>20</v>
      </c>
      <c r="H9" s="765"/>
      <c r="I9" s="765"/>
      <c r="J9" s="765"/>
      <c r="K9" s="1735">
        <f>(H9+I9)-J9</f>
        <v>0</v>
      </c>
      <c r="L9" s="1735">
        <f>F9-K9</f>
        <v>0</v>
      </c>
    </row>
    <row r="10" spans="1:14" ht="24" thickTop="1" thickBot="1" x14ac:dyDescent="0.25">
      <c r="A10" s="845" t="s">
        <v>1120</v>
      </c>
      <c r="B10" s="840">
        <v>240</v>
      </c>
      <c r="C10" s="846"/>
      <c r="D10" s="846"/>
      <c r="E10" s="846"/>
      <c r="F10" s="1730">
        <f>(C10+D10)-E10</f>
        <v>0</v>
      </c>
      <c r="G10" s="843">
        <v>20</v>
      </c>
      <c r="H10" s="847"/>
      <c r="I10" s="847"/>
      <c r="J10" s="847"/>
      <c r="K10" s="1735">
        <f>(H10+I10)-J10</f>
        <v>0</v>
      </c>
      <c r="L10" s="1735">
        <f>F10-K10</f>
        <v>0</v>
      </c>
    </row>
    <row r="11" spans="1:14" ht="13.5" thickTop="1" x14ac:dyDescent="0.2">
      <c r="A11" s="1617" t="s">
        <v>1136</v>
      </c>
      <c r="B11" s="1615">
        <v>250</v>
      </c>
      <c r="C11" s="781"/>
      <c r="D11" s="781"/>
      <c r="E11" s="781"/>
      <c r="F11" s="773"/>
      <c r="G11" s="843"/>
      <c r="H11" s="781"/>
      <c r="I11" s="781"/>
      <c r="J11" s="781"/>
      <c r="K11" s="773"/>
      <c r="L11" s="773"/>
    </row>
    <row r="12" spans="1:14" ht="13.5" thickBot="1" x14ac:dyDescent="0.25">
      <c r="A12" s="848" t="s">
        <v>1121</v>
      </c>
      <c r="B12" s="840">
        <v>251</v>
      </c>
      <c r="C12" s="844"/>
      <c r="D12" s="844"/>
      <c r="E12" s="844"/>
      <c r="F12" s="1726">
        <f>(C12+D12)-E12</f>
        <v>0</v>
      </c>
      <c r="G12" s="843">
        <v>10</v>
      </c>
      <c r="H12" s="765"/>
      <c r="I12" s="765"/>
      <c r="J12" s="765"/>
      <c r="K12" s="1735">
        <f>(H12+I12)-J12</f>
        <v>0</v>
      </c>
      <c r="L12" s="1735">
        <f>F12-K12</f>
        <v>0</v>
      </c>
    </row>
    <row r="13" spans="1:14" ht="14.25" thickTop="1" thickBot="1" x14ac:dyDescent="0.25">
      <c r="A13" s="848" t="s">
        <v>1122</v>
      </c>
      <c r="B13" s="840">
        <v>252</v>
      </c>
      <c r="C13" s="844">
        <v>388152</v>
      </c>
      <c r="D13" s="844">
        <v>63809</v>
      </c>
      <c r="E13" s="844">
        <v>8204</v>
      </c>
      <c r="F13" s="1726">
        <f>(C13+D13)-E13</f>
        <v>443757</v>
      </c>
      <c r="G13" s="843">
        <v>5</v>
      </c>
      <c r="H13" s="765">
        <v>281271</v>
      </c>
      <c r="I13" s="765">
        <v>32093</v>
      </c>
      <c r="J13" s="765">
        <v>8204</v>
      </c>
      <c r="K13" s="1735">
        <f>(H13+I13)-J13</f>
        <v>305160</v>
      </c>
      <c r="L13" s="1735">
        <f>F13-K13</f>
        <v>138597</v>
      </c>
    </row>
    <row r="14" spans="1:14" ht="14.25" thickTop="1" thickBot="1" x14ac:dyDescent="0.25">
      <c r="A14" s="848" t="s">
        <v>1123</v>
      </c>
      <c r="B14" s="840">
        <v>253</v>
      </c>
      <c r="C14" s="765"/>
      <c r="D14" s="765"/>
      <c r="E14" s="765"/>
      <c r="F14" s="1726">
        <f>(C14+D14)-E14</f>
        <v>0</v>
      </c>
      <c r="G14" s="843">
        <v>3</v>
      </c>
      <c r="H14" s="765"/>
      <c r="I14" s="765"/>
      <c r="J14" s="765"/>
      <c r="K14" s="1735">
        <f>(H14+I14)-J14</f>
        <v>0</v>
      </c>
      <c r="L14" s="1735">
        <f>F14-K14</f>
        <v>0</v>
      </c>
    </row>
    <row r="15" spans="1:14" ht="15" customHeight="1" thickTop="1" thickBot="1" x14ac:dyDescent="0.25">
      <c r="A15" s="1616" t="s">
        <v>528</v>
      </c>
      <c r="B15" s="1615">
        <v>260</v>
      </c>
      <c r="C15" s="844"/>
      <c r="D15" s="844"/>
      <c r="E15" s="844"/>
      <c r="F15" s="1726">
        <f>(C15+D15)-E15</f>
        <v>0</v>
      </c>
      <c r="G15" s="849" t="s">
        <v>862</v>
      </c>
      <c r="H15" s="781"/>
      <c r="I15" s="781"/>
      <c r="J15" s="781"/>
      <c r="K15" s="781"/>
      <c r="L15" s="1735">
        <f>F15-K15</f>
        <v>0</v>
      </c>
    </row>
    <row r="16" spans="1:14" ht="15" customHeight="1" thickTop="1" thickBot="1" x14ac:dyDescent="0.25">
      <c r="A16" s="1731" t="s">
        <v>643</v>
      </c>
      <c r="B16" s="1732">
        <v>200</v>
      </c>
      <c r="C16" s="1726">
        <f>SUM(C3,C5:C6,C8:C10,C12:C15)</f>
        <v>7038636</v>
      </c>
      <c r="D16" s="1726">
        <f>SUM(D3,D5:D6,D8:D10,D12:D15)</f>
        <v>63809</v>
      </c>
      <c r="E16" s="1726">
        <f>SUM(E3,E5:E6,E8:E10,E12:E15)</f>
        <v>8204</v>
      </c>
      <c r="F16" s="1726">
        <f>SUM(F3,F5:F6,F8:F10,F12:F15)</f>
        <v>7094241</v>
      </c>
      <c r="G16" s="843"/>
      <c r="H16" s="1726">
        <f>SUM(H3,H6,H8:H10,H12:H14,)</f>
        <v>1860760</v>
      </c>
      <c r="I16" s="1726">
        <f>SUM(I3,I6,I8:I10,I12:I14,)</f>
        <v>198355</v>
      </c>
      <c r="J16" s="1726">
        <f>SUM(J3,J6,J8:J10,J12:J14,)</f>
        <v>8204</v>
      </c>
      <c r="K16" s="1726">
        <f>(H16+I16)-J16</f>
        <v>2050911</v>
      </c>
      <c r="L16" s="1726">
        <f>F16-K16</f>
        <v>5043330</v>
      </c>
    </row>
    <row r="17" spans="1:12" ht="15" customHeight="1" thickTop="1" thickBot="1" x14ac:dyDescent="0.25">
      <c r="A17" s="1618" t="s">
        <v>291</v>
      </c>
      <c r="B17" s="1615">
        <v>700</v>
      </c>
      <c r="C17" s="769"/>
      <c r="D17" s="769"/>
      <c r="E17" s="769"/>
      <c r="F17" s="1726">
        <f>SUM('Expenditures 15-22'!I114,'Expenditures 15-22'!I151,'Expenditures 15-22'!I210,'Expenditures 15-22'!I312,'Expenditures 15-22'!I342,'Expenditures 15-22'!I367)</f>
        <v>0</v>
      </c>
      <c r="G17" s="837">
        <v>10</v>
      </c>
      <c r="H17" s="769"/>
      <c r="I17" s="1735">
        <f>F17/G17</f>
        <v>0</v>
      </c>
      <c r="J17" s="769"/>
      <c r="K17" s="795"/>
      <c r="L17" s="795"/>
    </row>
    <row r="18" spans="1:12" ht="14.25" thickTop="1" thickBot="1" x14ac:dyDescent="0.25">
      <c r="A18" s="1733" t="s">
        <v>685</v>
      </c>
      <c r="B18" s="1734"/>
      <c r="C18" s="771"/>
      <c r="D18" s="771"/>
      <c r="E18" s="771"/>
      <c r="F18" s="850"/>
      <c r="G18" s="851"/>
      <c r="H18" s="773"/>
      <c r="I18" s="1726">
        <f>SUM(I16,I17)</f>
        <v>198355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H142"/>
  <sheetViews>
    <sheetView showGridLines="0" topLeftCell="A13" zoomScaleNormal="100" workbookViewId="0">
      <selection activeCell="B1" sqref="B1"/>
    </sheetView>
  </sheetViews>
  <sheetFormatPr defaultColWidth="9.140625" defaultRowHeight="15" x14ac:dyDescent="0.25"/>
  <cols>
    <col min="1" max="1" width="52" style="1921" customWidth="1"/>
    <col min="2" max="2" width="16.42578125" style="1919" bestFit="1" customWidth="1"/>
    <col min="3" max="3" width="33.7109375" style="1919" customWidth="1"/>
    <col min="4" max="4" width="16.28515625" style="1920" customWidth="1"/>
    <col min="5" max="5" width="16.42578125" style="1920" hidden="1" customWidth="1"/>
    <col min="6" max="6" width="23.5703125" style="1920" customWidth="1"/>
    <col min="7" max="7" width="23.28515625" style="1919" customWidth="1"/>
    <col min="8" max="16384" width="9.140625" style="1918"/>
  </cols>
  <sheetData>
    <row r="1" spans="1:7" ht="15" customHeight="1" x14ac:dyDescent="0.25">
      <c r="A1" s="1964" t="s">
        <v>1829</v>
      </c>
      <c r="B1" s="1963"/>
      <c r="C1" s="1963"/>
      <c r="D1" s="1963"/>
      <c r="E1" s="1963"/>
      <c r="F1" s="1963"/>
      <c r="G1" s="1963"/>
    </row>
    <row r="2" spans="1:7" x14ac:dyDescent="0.25">
      <c r="A2" s="1961"/>
      <c r="B2" s="1961"/>
      <c r="C2" s="1962" t="s">
        <v>979</v>
      </c>
      <c r="D2" s="1961"/>
      <c r="E2" s="1961"/>
      <c r="F2" s="1961"/>
      <c r="G2" s="1961"/>
    </row>
    <row r="3" spans="1:7" ht="5.25" customHeight="1" x14ac:dyDescent="0.25">
      <c r="A3" s="1960"/>
      <c r="B3" s="1960"/>
      <c r="C3" s="1960"/>
      <c r="D3" s="1960"/>
      <c r="E3" s="1960"/>
      <c r="F3" s="1960"/>
      <c r="G3" s="1960"/>
    </row>
    <row r="4" spans="1:7" ht="18.75" customHeight="1" x14ac:dyDescent="0.25">
      <c r="A4" s="2286" t="s">
        <v>1815</v>
      </c>
      <c r="B4" s="2287"/>
      <c r="C4" s="2287"/>
      <c r="D4" s="2287"/>
      <c r="E4" s="2287"/>
      <c r="F4" s="2287"/>
      <c r="G4" s="2288"/>
    </row>
    <row r="5" spans="1:7" x14ac:dyDescent="0.25">
      <c r="A5" s="2289"/>
      <c r="B5" s="2290"/>
      <c r="C5" s="2290"/>
      <c r="D5" s="2290"/>
      <c r="E5" s="2290"/>
      <c r="F5" s="2290"/>
      <c r="G5" s="2291"/>
    </row>
    <row r="6" spans="1:7" ht="18.75" x14ac:dyDescent="0.25">
      <c r="A6" s="1959" t="s">
        <v>2061</v>
      </c>
      <c r="B6" s="1958"/>
      <c r="C6" s="1958"/>
      <c r="D6" s="1958"/>
      <c r="E6" s="1958"/>
      <c r="F6" s="1958"/>
      <c r="G6" s="1957"/>
    </row>
    <row r="7" spans="1:7" ht="18.75" x14ac:dyDescent="0.25">
      <c r="A7" s="1956" t="s">
        <v>1816</v>
      </c>
      <c r="B7" s="1955"/>
      <c r="C7" s="1955"/>
      <c r="D7" s="1955"/>
      <c r="E7" s="1955"/>
      <c r="F7" s="1955"/>
      <c r="G7" s="1954"/>
    </row>
    <row r="8" spans="1:7" ht="30.75" customHeight="1" x14ac:dyDescent="0.25">
      <c r="A8" s="2292" t="s">
        <v>1928</v>
      </c>
      <c r="B8" s="2293"/>
      <c r="C8" s="2293"/>
      <c r="D8" s="2293"/>
      <c r="E8" s="2293"/>
      <c r="F8" s="2293"/>
      <c r="G8" s="2294"/>
    </row>
    <row r="9" spans="1:7" ht="15.75" customHeight="1" x14ac:dyDescent="0.25">
      <c r="A9" s="2295" t="s">
        <v>1903</v>
      </c>
      <c r="B9" s="2296"/>
      <c r="C9" s="2296"/>
      <c r="D9" s="2296"/>
      <c r="E9" s="2296"/>
      <c r="F9" s="2296"/>
      <c r="G9" s="2297"/>
    </row>
    <row r="10" spans="1:7" ht="35.25" customHeight="1" x14ac:dyDescent="0.25">
      <c r="A10" s="2292" t="s">
        <v>2060</v>
      </c>
      <c r="B10" s="2293"/>
      <c r="C10" s="2293"/>
      <c r="D10" s="2293"/>
      <c r="E10" s="2293"/>
      <c r="F10" s="2293"/>
      <c r="G10" s="2294"/>
    </row>
    <row r="11" spans="1:7" ht="15" customHeight="1" x14ac:dyDescent="0.25">
      <c r="A11" s="1953" t="s">
        <v>1817</v>
      </c>
      <c r="B11" s="1952"/>
      <c r="C11" s="1952"/>
      <c r="D11" s="1952"/>
      <c r="E11" s="1952"/>
      <c r="F11" s="1952"/>
      <c r="G11" s="1951"/>
    </row>
    <row r="12" spans="1:7" ht="17.25" customHeight="1" x14ac:dyDescent="0.25">
      <c r="A12" s="2292" t="s">
        <v>1930</v>
      </c>
      <c r="B12" s="2293"/>
      <c r="C12" s="2293"/>
      <c r="D12" s="2293"/>
      <c r="E12" s="2293"/>
      <c r="F12" s="2293"/>
      <c r="G12" s="2294"/>
    </row>
    <row r="13" spans="1:7" ht="15" customHeight="1" x14ac:dyDescent="0.25">
      <c r="A13" s="1953" t="s">
        <v>1822</v>
      </c>
      <c r="B13" s="1952"/>
      <c r="C13" s="1952"/>
      <c r="D13" s="1952"/>
      <c r="E13" s="1952"/>
      <c r="F13" s="1952"/>
      <c r="G13" s="1951"/>
    </row>
    <row r="14" spans="1:7" ht="32.25" customHeight="1" x14ac:dyDescent="0.25">
      <c r="A14" s="2283" t="s">
        <v>1971</v>
      </c>
      <c r="B14" s="2284"/>
      <c r="C14" s="2284"/>
      <c r="D14" s="2284"/>
      <c r="E14" s="2284"/>
      <c r="F14" s="2284"/>
      <c r="G14" s="2285"/>
    </row>
    <row r="15" spans="1:7" x14ac:dyDescent="0.25">
      <c r="A15" s="1950" t="s">
        <v>1830</v>
      </c>
      <c r="B15" s="1949"/>
      <c r="C15" s="1949"/>
      <c r="D15" s="1949"/>
      <c r="E15" s="1949"/>
      <c r="F15" s="1949"/>
      <c r="G15" s="1948"/>
    </row>
    <row r="16" spans="1:7" ht="61.5" customHeight="1" x14ac:dyDescent="0.25">
      <c r="A16" s="1947" t="s">
        <v>1823</v>
      </c>
      <c r="B16" s="1947" t="s">
        <v>1824</v>
      </c>
      <c r="C16" s="1947" t="s">
        <v>1825</v>
      </c>
      <c r="D16" s="1946" t="s">
        <v>1826</v>
      </c>
      <c r="E16" s="1946" t="s">
        <v>1818</v>
      </c>
      <c r="F16" s="1946" t="s">
        <v>1827</v>
      </c>
      <c r="G16" s="1946" t="s">
        <v>1828</v>
      </c>
    </row>
    <row r="17" spans="1:8" x14ac:dyDescent="0.25">
      <c r="A17" s="1945" t="s">
        <v>1831</v>
      </c>
      <c r="B17" s="1944" t="s">
        <v>1821</v>
      </c>
      <c r="C17" s="1943" t="s">
        <v>1819</v>
      </c>
      <c r="D17" s="1942">
        <v>500000</v>
      </c>
      <c r="E17" s="1942">
        <f t="shared" ref="E17:E48" si="0">IF(D17&lt;=25000,D17,IF(D17&gt;25000,25000,0))</f>
        <v>25000</v>
      </c>
      <c r="F17" s="1942">
        <f t="shared" ref="F17:F48"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941">
        <f>IF(F17=0,"0",D17-F17)</f>
        <v>475000</v>
      </c>
    </row>
    <row r="18" spans="1:8" x14ac:dyDescent="0.25">
      <c r="A18" s="1935" t="s">
        <v>2205</v>
      </c>
      <c r="B18" s="1939" t="s">
        <v>2204</v>
      </c>
      <c r="C18" s="1933" t="s">
        <v>2200</v>
      </c>
      <c r="D18" s="1932">
        <v>29160</v>
      </c>
      <c r="E18" s="1931">
        <f t="shared" si="0"/>
        <v>25000</v>
      </c>
      <c r="F18" s="1930">
        <f t="shared" si="1"/>
        <v>25000</v>
      </c>
      <c r="G18" s="1929">
        <f t="shared" ref="G18:G49" si="2">IF(F18=0,0,D18-F18)</f>
        <v>4160</v>
      </c>
      <c r="H18" s="1940"/>
    </row>
    <row r="19" spans="1:8" x14ac:dyDescent="0.25">
      <c r="A19" s="1935" t="s">
        <v>2205</v>
      </c>
      <c r="B19" s="1939" t="s">
        <v>2204</v>
      </c>
      <c r="C19" s="1933" t="s">
        <v>2198</v>
      </c>
      <c r="D19" s="1932">
        <v>72959.540000000008</v>
      </c>
      <c r="E19" s="1931">
        <f t="shared" si="0"/>
        <v>25000</v>
      </c>
      <c r="F19" s="1930">
        <f t="shared" si="1"/>
        <v>25000</v>
      </c>
      <c r="G19" s="1929">
        <f t="shared" si="2"/>
        <v>47959.540000000008</v>
      </c>
    </row>
    <row r="20" spans="1:8" x14ac:dyDescent="0.25">
      <c r="A20" s="1935" t="s">
        <v>2205</v>
      </c>
      <c r="B20" s="1939" t="s">
        <v>2204</v>
      </c>
      <c r="C20" s="1933" t="s">
        <v>2180</v>
      </c>
      <c r="D20" s="1932">
        <v>68250.84</v>
      </c>
      <c r="E20" s="1931">
        <f t="shared" si="0"/>
        <v>25000</v>
      </c>
      <c r="F20" s="1930">
        <f t="shared" si="1"/>
        <v>25000</v>
      </c>
      <c r="G20" s="1929">
        <f t="shared" si="2"/>
        <v>43250.84</v>
      </c>
    </row>
    <row r="21" spans="1:8" x14ac:dyDescent="0.25">
      <c r="A21" s="1935" t="s">
        <v>2205</v>
      </c>
      <c r="B21" s="1939" t="s">
        <v>2204</v>
      </c>
      <c r="C21" s="1933" t="s">
        <v>2203</v>
      </c>
      <c r="D21" s="1932">
        <v>30069</v>
      </c>
      <c r="E21" s="1931">
        <f t="shared" si="0"/>
        <v>25000</v>
      </c>
      <c r="F21" s="1930">
        <f t="shared" si="1"/>
        <v>25000</v>
      </c>
      <c r="G21" s="1929">
        <f t="shared" si="2"/>
        <v>5069</v>
      </c>
    </row>
    <row r="22" spans="1:8" x14ac:dyDescent="0.25">
      <c r="A22" s="1935" t="s">
        <v>2202</v>
      </c>
      <c r="B22" s="1939" t="s">
        <v>2201</v>
      </c>
      <c r="C22" s="1933" t="s">
        <v>2200</v>
      </c>
      <c r="D22" s="1932">
        <v>29000</v>
      </c>
      <c r="E22" s="1931">
        <f t="shared" si="0"/>
        <v>25000</v>
      </c>
      <c r="F22" s="1930">
        <f t="shared" si="1"/>
        <v>25000</v>
      </c>
      <c r="G22" s="1929">
        <f t="shared" si="2"/>
        <v>4000</v>
      </c>
    </row>
    <row r="23" spans="1:8" x14ac:dyDescent="0.25">
      <c r="A23" s="1935" t="s">
        <v>2195</v>
      </c>
      <c r="B23" s="1939" t="s">
        <v>2194</v>
      </c>
      <c r="C23" s="1933" t="s">
        <v>2199</v>
      </c>
      <c r="D23" s="1932">
        <v>92245.500000000015</v>
      </c>
      <c r="E23" s="1931">
        <f t="shared" si="0"/>
        <v>25000</v>
      </c>
      <c r="F23" s="1930">
        <f t="shared" si="1"/>
        <v>25000</v>
      </c>
      <c r="G23" s="1929">
        <f t="shared" si="2"/>
        <v>67245.500000000015</v>
      </c>
    </row>
    <row r="24" spans="1:8" x14ac:dyDescent="0.25">
      <c r="A24" s="1935" t="s">
        <v>2195</v>
      </c>
      <c r="B24" s="1939" t="s">
        <v>2194</v>
      </c>
      <c r="C24" s="1933" t="s">
        <v>2198</v>
      </c>
      <c r="D24" s="1932">
        <v>71969.97</v>
      </c>
      <c r="E24" s="1931">
        <f t="shared" si="0"/>
        <v>25000</v>
      </c>
      <c r="F24" s="1930">
        <f t="shared" si="1"/>
        <v>25000</v>
      </c>
      <c r="G24" s="1929">
        <f t="shared" si="2"/>
        <v>46969.97</v>
      </c>
    </row>
    <row r="25" spans="1:8" x14ac:dyDescent="0.25">
      <c r="A25" s="1935" t="s">
        <v>2195</v>
      </c>
      <c r="B25" s="1939" t="s">
        <v>2194</v>
      </c>
      <c r="C25" s="1933" t="s">
        <v>2197</v>
      </c>
      <c r="D25" s="1932">
        <v>95350</v>
      </c>
      <c r="E25" s="1931">
        <f t="shared" si="0"/>
        <v>25000</v>
      </c>
      <c r="F25" s="1930">
        <f t="shared" si="1"/>
        <v>25000</v>
      </c>
      <c r="G25" s="1929">
        <f t="shared" si="2"/>
        <v>70350</v>
      </c>
    </row>
    <row r="26" spans="1:8" x14ac:dyDescent="0.25">
      <c r="A26" s="1935" t="s">
        <v>2195</v>
      </c>
      <c r="B26" s="1939" t="s">
        <v>2194</v>
      </c>
      <c r="C26" s="1933" t="s">
        <v>2196</v>
      </c>
      <c r="D26" s="1932">
        <v>110214.25</v>
      </c>
      <c r="E26" s="1931">
        <f t="shared" si="0"/>
        <v>25000</v>
      </c>
      <c r="F26" s="1930">
        <f t="shared" si="1"/>
        <v>25000</v>
      </c>
      <c r="G26" s="1929">
        <f t="shared" si="2"/>
        <v>85214.25</v>
      </c>
    </row>
    <row r="27" spans="1:8" x14ac:dyDescent="0.25">
      <c r="A27" s="1935" t="s">
        <v>2195</v>
      </c>
      <c r="B27" s="1939" t="s">
        <v>2194</v>
      </c>
      <c r="C27" s="1933" t="s">
        <v>2193</v>
      </c>
      <c r="D27" s="1932">
        <v>33552.75</v>
      </c>
      <c r="E27" s="1931">
        <f t="shared" si="0"/>
        <v>25000</v>
      </c>
      <c r="F27" s="1930">
        <f t="shared" si="1"/>
        <v>25000</v>
      </c>
      <c r="G27" s="1929">
        <f t="shared" si="2"/>
        <v>8552.75</v>
      </c>
    </row>
    <row r="28" spans="1:8" x14ac:dyDescent="0.25">
      <c r="A28" s="1935" t="s">
        <v>2189</v>
      </c>
      <c r="B28" s="1939" t="s">
        <v>2188</v>
      </c>
      <c r="C28" s="1933" t="s">
        <v>2192</v>
      </c>
      <c r="D28" s="1932">
        <v>133286.84000000003</v>
      </c>
      <c r="E28" s="1931">
        <f t="shared" si="0"/>
        <v>25000</v>
      </c>
      <c r="F28" s="1930">
        <f t="shared" si="1"/>
        <v>25000</v>
      </c>
      <c r="G28" s="1929">
        <f t="shared" si="2"/>
        <v>108286.84000000003</v>
      </c>
    </row>
    <row r="29" spans="1:8" x14ac:dyDescent="0.25">
      <c r="A29" s="1935" t="s">
        <v>2189</v>
      </c>
      <c r="B29" s="1939" t="s">
        <v>2188</v>
      </c>
      <c r="C29" s="1933" t="s">
        <v>2191</v>
      </c>
      <c r="D29" s="1932">
        <v>84402</v>
      </c>
      <c r="E29" s="1931">
        <f t="shared" si="0"/>
        <v>25000</v>
      </c>
      <c r="F29" s="1930">
        <f t="shared" si="1"/>
        <v>25000</v>
      </c>
      <c r="G29" s="1929">
        <f t="shared" si="2"/>
        <v>59402</v>
      </c>
    </row>
    <row r="30" spans="1:8" x14ac:dyDescent="0.25">
      <c r="A30" s="1935" t="s">
        <v>2189</v>
      </c>
      <c r="B30" s="1939" t="s">
        <v>2188</v>
      </c>
      <c r="C30" s="1933" t="s">
        <v>2190</v>
      </c>
      <c r="D30" s="1932">
        <v>26898.52</v>
      </c>
      <c r="E30" s="1931">
        <f t="shared" si="0"/>
        <v>25000</v>
      </c>
      <c r="F30" s="1930">
        <f t="shared" si="1"/>
        <v>25000</v>
      </c>
      <c r="G30" s="1929">
        <f t="shared" si="2"/>
        <v>1898.5200000000004</v>
      </c>
    </row>
    <row r="31" spans="1:8" x14ac:dyDescent="0.25">
      <c r="A31" s="1935" t="s">
        <v>2189</v>
      </c>
      <c r="B31" s="1939" t="s">
        <v>2188</v>
      </c>
      <c r="C31" s="1933" t="s">
        <v>2177</v>
      </c>
      <c r="D31" s="1932">
        <v>432275.86</v>
      </c>
      <c r="E31" s="1931">
        <f t="shared" si="0"/>
        <v>25000</v>
      </c>
      <c r="F31" s="1930">
        <f t="shared" si="1"/>
        <v>25000</v>
      </c>
      <c r="G31" s="1929">
        <f t="shared" si="2"/>
        <v>407275.86</v>
      </c>
    </row>
    <row r="32" spans="1:8" ht="30" x14ac:dyDescent="0.25">
      <c r="A32" s="1935" t="s">
        <v>2187</v>
      </c>
      <c r="B32" s="1939" t="s">
        <v>2186</v>
      </c>
      <c r="C32" s="1933" t="s">
        <v>2180</v>
      </c>
      <c r="D32" s="1932">
        <v>109027.31</v>
      </c>
      <c r="E32" s="1931">
        <f t="shared" si="0"/>
        <v>25000</v>
      </c>
      <c r="F32" s="1930">
        <f t="shared" si="1"/>
        <v>25000</v>
      </c>
      <c r="G32" s="1929">
        <f t="shared" si="2"/>
        <v>84027.31</v>
      </c>
    </row>
    <row r="33" spans="1:7" ht="30" x14ac:dyDescent="0.25">
      <c r="A33" s="1935" t="s">
        <v>2185</v>
      </c>
      <c r="B33" s="1939" t="s">
        <v>2184</v>
      </c>
      <c r="C33" s="1933" t="s">
        <v>2180</v>
      </c>
      <c r="D33" s="1932">
        <v>31095.95</v>
      </c>
      <c r="E33" s="1931">
        <f t="shared" si="0"/>
        <v>25000</v>
      </c>
      <c r="F33" s="1930">
        <f t="shared" si="1"/>
        <v>25000</v>
      </c>
      <c r="G33" s="1929">
        <f t="shared" si="2"/>
        <v>6095.9500000000007</v>
      </c>
    </row>
    <row r="34" spans="1:7" x14ac:dyDescent="0.25">
      <c r="A34" s="1935" t="s">
        <v>2183</v>
      </c>
      <c r="B34" s="1939" t="s">
        <v>2182</v>
      </c>
      <c r="C34" s="1933" t="s">
        <v>2181</v>
      </c>
      <c r="D34" s="1932">
        <v>82678.389999999985</v>
      </c>
      <c r="E34" s="1931">
        <f t="shared" si="0"/>
        <v>25000</v>
      </c>
      <c r="F34" s="1930">
        <f t="shared" si="1"/>
        <v>25000</v>
      </c>
      <c r="G34" s="1929">
        <f t="shared" si="2"/>
        <v>57678.389999999985</v>
      </c>
    </row>
    <row r="35" spans="1:7" x14ac:dyDescent="0.25">
      <c r="A35" s="1935" t="s">
        <v>2179</v>
      </c>
      <c r="B35" s="1939" t="s">
        <v>2178</v>
      </c>
      <c r="C35" s="1933" t="s">
        <v>2180</v>
      </c>
      <c r="D35" s="1932">
        <v>59109.8</v>
      </c>
      <c r="E35" s="1931">
        <f t="shared" si="0"/>
        <v>25000</v>
      </c>
      <c r="F35" s="1930">
        <f t="shared" si="1"/>
        <v>25000</v>
      </c>
      <c r="G35" s="1929">
        <f t="shared" si="2"/>
        <v>34109.800000000003</v>
      </c>
    </row>
    <row r="36" spans="1:7" x14ac:dyDescent="0.25">
      <c r="A36" s="1935" t="s">
        <v>2179</v>
      </c>
      <c r="B36" s="1939" t="s">
        <v>2178</v>
      </c>
      <c r="C36" s="1933" t="s">
        <v>2177</v>
      </c>
      <c r="D36" s="1932">
        <v>113807.94</v>
      </c>
      <c r="E36" s="1931">
        <f t="shared" si="0"/>
        <v>25000</v>
      </c>
      <c r="F36" s="1930">
        <f t="shared" si="1"/>
        <v>25000</v>
      </c>
      <c r="G36" s="1929">
        <f t="shared" si="2"/>
        <v>88807.94</v>
      </c>
    </row>
    <row r="37" spans="1:7" x14ac:dyDescent="0.25">
      <c r="A37" s="1935" t="s">
        <v>2176</v>
      </c>
      <c r="B37" s="1939" t="s">
        <v>2175</v>
      </c>
      <c r="C37" s="1933" t="s">
        <v>2174</v>
      </c>
      <c r="D37" s="1932">
        <v>58221.54</v>
      </c>
      <c r="E37" s="1931">
        <f t="shared" si="0"/>
        <v>25000</v>
      </c>
      <c r="F37" s="1930">
        <f t="shared" si="1"/>
        <v>25000</v>
      </c>
      <c r="G37" s="1929">
        <f t="shared" si="2"/>
        <v>33221.54</v>
      </c>
    </row>
    <row r="38" spans="1:7" x14ac:dyDescent="0.25">
      <c r="A38" s="1935"/>
      <c r="B38" s="1939"/>
      <c r="C38" s="1933"/>
      <c r="D38" s="1932"/>
      <c r="E38" s="1931">
        <f t="shared" si="0"/>
        <v>0</v>
      </c>
      <c r="F38" s="1930">
        <f t="shared" si="1"/>
        <v>0</v>
      </c>
      <c r="G38" s="1929">
        <f t="shared" si="2"/>
        <v>0</v>
      </c>
    </row>
    <row r="39" spans="1:7" x14ac:dyDescent="0.25">
      <c r="A39" s="1935"/>
      <c r="B39" s="1936"/>
      <c r="C39" s="1933"/>
      <c r="D39" s="1932"/>
      <c r="E39" s="1931">
        <f t="shared" si="0"/>
        <v>0</v>
      </c>
      <c r="F39" s="1930">
        <f t="shared" si="1"/>
        <v>0</v>
      </c>
      <c r="G39" s="1929">
        <f t="shared" si="2"/>
        <v>0</v>
      </c>
    </row>
    <row r="40" spans="1:7" x14ac:dyDescent="0.25">
      <c r="A40" s="1935"/>
      <c r="B40" s="1936"/>
      <c r="C40" s="1933"/>
      <c r="D40" s="1932"/>
      <c r="E40" s="1931">
        <f t="shared" si="0"/>
        <v>0</v>
      </c>
      <c r="F40" s="1930">
        <f t="shared" si="1"/>
        <v>0</v>
      </c>
      <c r="G40" s="1929">
        <f t="shared" si="2"/>
        <v>0</v>
      </c>
    </row>
    <row r="41" spans="1:7" x14ac:dyDescent="0.25">
      <c r="A41" s="1935"/>
      <c r="B41" s="1936"/>
      <c r="C41" s="1933"/>
      <c r="D41" s="1932"/>
      <c r="E41" s="1931">
        <f t="shared" si="0"/>
        <v>0</v>
      </c>
      <c r="F41" s="1930">
        <f t="shared" si="1"/>
        <v>0</v>
      </c>
      <c r="G41" s="1929">
        <f t="shared" si="2"/>
        <v>0</v>
      </c>
    </row>
    <row r="42" spans="1:7" x14ac:dyDescent="0.25">
      <c r="A42" s="1935"/>
      <c r="B42" s="1936"/>
      <c r="C42" s="1933"/>
      <c r="D42" s="1932"/>
      <c r="E42" s="1931">
        <f t="shared" si="0"/>
        <v>0</v>
      </c>
      <c r="F42" s="1930">
        <f t="shared" si="1"/>
        <v>0</v>
      </c>
      <c r="G42" s="1929">
        <f t="shared" si="2"/>
        <v>0</v>
      </c>
    </row>
    <row r="43" spans="1:7" x14ac:dyDescent="0.25">
      <c r="A43" s="1935"/>
      <c r="B43" s="1936"/>
      <c r="C43" s="1933"/>
      <c r="D43" s="1932"/>
      <c r="E43" s="1931">
        <f t="shared" si="0"/>
        <v>0</v>
      </c>
      <c r="F43" s="1930">
        <f t="shared" si="1"/>
        <v>0</v>
      </c>
      <c r="G43" s="1929">
        <f t="shared" si="2"/>
        <v>0</v>
      </c>
    </row>
    <row r="44" spans="1:7" x14ac:dyDescent="0.25">
      <c r="A44" s="1935"/>
      <c r="B44" s="1936"/>
      <c r="C44" s="1933"/>
      <c r="D44" s="1932"/>
      <c r="E44" s="1931">
        <f t="shared" si="0"/>
        <v>0</v>
      </c>
      <c r="F44" s="1930">
        <f t="shared" si="1"/>
        <v>0</v>
      </c>
      <c r="G44" s="1929">
        <f t="shared" si="2"/>
        <v>0</v>
      </c>
    </row>
    <row r="45" spans="1:7" x14ac:dyDescent="0.25">
      <c r="A45" s="1935"/>
      <c r="B45" s="1936"/>
      <c r="C45" s="1933"/>
      <c r="D45" s="1932"/>
      <c r="E45" s="1931">
        <f t="shared" si="0"/>
        <v>0</v>
      </c>
      <c r="F45" s="1930">
        <f t="shared" si="1"/>
        <v>0</v>
      </c>
      <c r="G45" s="1929">
        <f t="shared" si="2"/>
        <v>0</v>
      </c>
    </row>
    <row r="46" spans="1:7" x14ac:dyDescent="0.25">
      <c r="A46" s="1935"/>
      <c r="B46" s="1936"/>
      <c r="C46" s="1933"/>
      <c r="D46" s="1932"/>
      <c r="E46" s="1931">
        <f t="shared" si="0"/>
        <v>0</v>
      </c>
      <c r="F46" s="1930">
        <f t="shared" si="1"/>
        <v>0</v>
      </c>
      <c r="G46" s="1929">
        <f t="shared" si="2"/>
        <v>0</v>
      </c>
    </row>
    <row r="47" spans="1:7" x14ac:dyDescent="0.25">
      <c r="A47" s="1935"/>
      <c r="B47" s="1936"/>
      <c r="C47" s="1933"/>
      <c r="D47" s="1932"/>
      <c r="E47" s="1931">
        <f t="shared" si="0"/>
        <v>0</v>
      </c>
      <c r="F47" s="1930">
        <f t="shared" si="1"/>
        <v>0</v>
      </c>
      <c r="G47" s="1929">
        <f t="shared" si="2"/>
        <v>0</v>
      </c>
    </row>
    <row r="48" spans="1:7" x14ac:dyDescent="0.25">
      <c r="A48" s="1935"/>
      <c r="B48" s="1936"/>
      <c r="C48" s="1933"/>
      <c r="D48" s="1932"/>
      <c r="E48" s="1931">
        <f t="shared" si="0"/>
        <v>0</v>
      </c>
      <c r="F48" s="1930">
        <f t="shared" si="1"/>
        <v>0</v>
      </c>
      <c r="G48" s="1929">
        <f t="shared" si="2"/>
        <v>0</v>
      </c>
    </row>
    <row r="49" spans="1:7" x14ac:dyDescent="0.25">
      <c r="A49" s="1935"/>
      <c r="B49" s="1936"/>
      <c r="C49" s="1933"/>
      <c r="D49" s="1932"/>
      <c r="E49" s="1931">
        <f t="shared" ref="E49:E80" si="3">IF(D49&lt;=25000,D49,IF(D49&gt;25000,25000,0))</f>
        <v>0</v>
      </c>
      <c r="F49" s="1930">
        <f t="shared" ref="F49:F80" si="4">(IF(D49="",0,(IF(OR(B49="10-1000-100",B49="10-1000-200",B49="10-1000-300",B49="10-1000-400",B49="10-1000-600",B49="10-1000-800",B49="50-1000-200",B49="10-2100-100",B49="10-2100-200",B49="10-2100-300",B49="10-2100-400",B49="10-2100-600",B49="10-2100-800",B49="20-2100-100",B49="20-2100-200",B49="20-2100-300",B49="20-2100-400",B49="20-2100-600",B49="20-2100-800",B49="40-2100-100",B49="40-2100-200",B49="40-2100-300",B49="40-2100-400",B49="40-2100-600",B49="40-2100-800",B49="50-2100-200",B49="10-2200-100",B49="10-2200-200",B49="10-2200-300",B49="10-2200-400",B49="10-2200-600",B49="10-2200-800",B49="50-2200-200",B49="10-2300-100",B49="10-2300-200",B49="10-2300-300",B49="10-2300-400",B49="10-2300-600",B49="10-2300-800",B49="50-2300-200",B49="80-2300-100",B49="80-2300-200",B49="80-2300-300",B49="80-2300-400",B49="80-2300-600",B49="80-2300-800",B49="10-2400-100",B49="10-2400-200",B49="10-2400-300",B49="10-2400-400",B49="10-2400-600",B49="10-2400-800",B49="50-2400-200",B49="10-2510-100",B49="10-2510-200",B49="10-2510-300",B49="10-2510-400",B49="10-2510-600",B49="10-2510-800",B49="20-2510-100",B49="20-2510-200",B49="20-2510-300",B49="20-2510-400",B49="20-2510-600",B49="20-2510-800",B49="50-2510-200",B49="10-2520-100",B49="10-2520-200",B49="10-2520-300",B49="10-2520-400",B49="10-2520-600",B49="10-2520-800",B49="50-2520-200",B49="10-2540-100",B49="10-2540-200",B49="10-2540-300",B49="10-2540-400",B49="10-2540-600",B49="10-2540-800",B49="20-2540-100",B49="20-2540-200",B49="20-2540-300",B49="20-2540-400",B49="20-2540-600",B49="20-2540-800",B49="50-2540-200",B49="10-2550-100",B49="10-2550-200",B49="10-2550-300",B49="10-2550-400",B49="10-2550-600",B49="10-2550-800",B49="20-2550-100",B49="20-2550-200",B49="20-2550-300",B49="20-2550-400",B49="20-2550-600",B49="20-2550-800",B49="40-2550-100",B49="40-2550-200",B49="40-2550-300",B49="40-2550-400",B49="40-2550-600",B49="40-2550-800",B49="50-2550-200",B49="10-2560-100",B49="10-2560-200",B49="10-2560-300",B49="10-2560-400",B49="10-2560-600",B49="10-2560-800",B49="50-2560-200",B49="10-2570-100",B49="10-2570-200",B49="10-2570-300",B49="10-2570-400",B49="10-2570-600",B49="10-2570-800",B49="50-2570-200",B49="10-2610-100",B49="10-2610-200",B49="10-2610-300",B49="10-2610-400",B49="10-2610-600",B49="10-2610-800",B49="50-2610-200",B49="10-2620-100",B49="10-2620-200",B49="10-2620-300",B49="10-2620-400",B49="10-2620-600",B49="10-2620-800",B49="50-2620-200",B49="10-2630-100",B49="10-2630-200",B49="10-2630-300",B49="10-2630-400",B49="10-2630-600",B49="10-2630-800",B49="50-2630-200",B49="10-2640-100",B49="10-2640-200",B49="10-2640-300",B49="10-2640-400",B49="10-2640-600",B49="10-2640-800",B49="50-2640-200",B49="10-2660-100",B49="10-2660-200",B49="10-2660-300",B49="10-2660-400",B49="10-2660-600",B49="10-2660-800",B49="50-2660-200",B49="10-2900-100",B49="10-2900-200",B49="10-2900-300",B49="10-2900-400",B49="10-2900-600",B49="10-2900-800",B49="20-2900-100",B49="20-2900-200",B49="20-2900-300",B49="20-2900-400",B49="20-2900-600",B49="20-2900-800",B49="40-2900-100",B49="40-2900-200",B49="40-2900-300",B49="40-2900-400",B49="40-2900-600",B49="40-2900-800",B49="50-2900-200",B49="10-3000-100",B49="10-3000-200",B49="10-3000-300",B49="10-3000-400",B49="10-3000-600",B49="10-3000-800",B49="20-3000-100",B49="20-3000-200",B49="20-3000-300",B49="20-3000-400",B49="20-3000-600",B49="20-3000-800",B49="40-3000-100",B49="40-3000-200",B49="40-3000-300",B49="40-3000-400",B49="40-3000-600",B49="40-3000-800",B49="50-3000-200"),E49,"Check func/obj # in Colm B"))))</f>
        <v>0</v>
      </c>
      <c r="G49" s="1929">
        <f t="shared" si="2"/>
        <v>0</v>
      </c>
    </row>
    <row r="50" spans="1:7" x14ac:dyDescent="0.25">
      <c r="A50" s="1935"/>
      <c r="B50" s="1936"/>
      <c r="C50" s="1933"/>
      <c r="D50" s="1932"/>
      <c r="E50" s="1931">
        <f t="shared" si="3"/>
        <v>0</v>
      </c>
      <c r="F50" s="1930">
        <f t="shared" si="4"/>
        <v>0</v>
      </c>
      <c r="G50" s="1929">
        <f t="shared" ref="G50:G81" si="5">IF(F50=0,0,D50-F50)</f>
        <v>0</v>
      </c>
    </row>
    <row r="51" spans="1:7" x14ac:dyDescent="0.25">
      <c r="A51" s="1935"/>
      <c r="B51" s="1936"/>
      <c r="C51" s="1933"/>
      <c r="D51" s="1932"/>
      <c r="E51" s="1931">
        <f t="shared" si="3"/>
        <v>0</v>
      </c>
      <c r="F51" s="1930">
        <f t="shared" si="4"/>
        <v>0</v>
      </c>
      <c r="G51" s="1929">
        <f t="shared" si="5"/>
        <v>0</v>
      </c>
    </row>
    <row r="52" spans="1:7" x14ac:dyDescent="0.25">
      <c r="A52" s="1935"/>
      <c r="B52" s="1936"/>
      <c r="C52" s="1933"/>
      <c r="D52" s="1932"/>
      <c r="E52" s="1931">
        <f t="shared" si="3"/>
        <v>0</v>
      </c>
      <c r="F52" s="1930">
        <f t="shared" si="4"/>
        <v>0</v>
      </c>
      <c r="G52" s="1929">
        <f t="shared" si="5"/>
        <v>0</v>
      </c>
    </row>
    <row r="53" spans="1:7" x14ac:dyDescent="0.25">
      <c r="A53" s="1935"/>
      <c r="B53" s="1936"/>
      <c r="C53" s="1933"/>
      <c r="D53" s="1932"/>
      <c r="E53" s="1931">
        <f t="shared" si="3"/>
        <v>0</v>
      </c>
      <c r="F53" s="1930">
        <f t="shared" si="4"/>
        <v>0</v>
      </c>
      <c r="G53" s="1929">
        <f t="shared" si="5"/>
        <v>0</v>
      </c>
    </row>
    <row r="54" spans="1:7" x14ac:dyDescent="0.25">
      <c r="A54" s="1935"/>
      <c r="B54" s="1936"/>
      <c r="C54" s="1933"/>
      <c r="D54" s="1932"/>
      <c r="E54" s="1931">
        <f t="shared" si="3"/>
        <v>0</v>
      </c>
      <c r="F54" s="1930">
        <f t="shared" si="4"/>
        <v>0</v>
      </c>
      <c r="G54" s="1929">
        <f t="shared" si="5"/>
        <v>0</v>
      </c>
    </row>
    <row r="55" spans="1:7" x14ac:dyDescent="0.25">
      <c r="A55" s="1935"/>
      <c r="B55" s="1936"/>
      <c r="C55" s="1933"/>
      <c r="D55" s="1932"/>
      <c r="E55" s="1931">
        <f t="shared" si="3"/>
        <v>0</v>
      </c>
      <c r="F55" s="1930">
        <f t="shared" si="4"/>
        <v>0</v>
      </c>
      <c r="G55" s="1929">
        <f t="shared" si="5"/>
        <v>0</v>
      </c>
    </row>
    <row r="56" spans="1:7" x14ac:dyDescent="0.25">
      <c r="A56" s="1935"/>
      <c r="B56" s="1936"/>
      <c r="C56" s="1933"/>
      <c r="D56" s="1932"/>
      <c r="E56" s="1931">
        <f t="shared" si="3"/>
        <v>0</v>
      </c>
      <c r="F56" s="1930">
        <f t="shared" si="4"/>
        <v>0</v>
      </c>
      <c r="G56" s="1929">
        <f t="shared" si="5"/>
        <v>0</v>
      </c>
    </row>
    <row r="57" spans="1:7" x14ac:dyDescent="0.25">
      <c r="A57" s="1935"/>
      <c r="B57" s="1936"/>
      <c r="C57" s="1933"/>
      <c r="D57" s="1932"/>
      <c r="E57" s="1931">
        <f t="shared" si="3"/>
        <v>0</v>
      </c>
      <c r="F57" s="1930">
        <f t="shared" si="4"/>
        <v>0</v>
      </c>
      <c r="G57" s="1929">
        <f t="shared" si="5"/>
        <v>0</v>
      </c>
    </row>
    <row r="58" spans="1:7" x14ac:dyDescent="0.25">
      <c r="A58" s="1935"/>
      <c r="B58" s="1936"/>
      <c r="C58" s="1933"/>
      <c r="D58" s="1932"/>
      <c r="E58" s="1931">
        <f t="shared" si="3"/>
        <v>0</v>
      </c>
      <c r="F58" s="1930">
        <f t="shared" si="4"/>
        <v>0</v>
      </c>
      <c r="G58" s="1929">
        <f t="shared" si="5"/>
        <v>0</v>
      </c>
    </row>
    <row r="59" spans="1:7" x14ac:dyDescent="0.25">
      <c r="A59" s="1935"/>
      <c r="B59" s="1936"/>
      <c r="C59" s="1933"/>
      <c r="D59" s="1932"/>
      <c r="E59" s="1931">
        <f t="shared" si="3"/>
        <v>0</v>
      </c>
      <c r="F59" s="1930">
        <f t="shared" si="4"/>
        <v>0</v>
      </c>
      <c r="G59" s="1929">
        <f t="shared" si="5"/>
        <v>0</v>
      </c>
    </row>
    <row r="60" spans="1:7" x14ac:dyDescent="0.25">
      <c r="A60" s="1935"/>
      <c r="B60" s="1936"/>
      <c r="C60" s="1933"/>
      <c r="D60" s="1932"/>
      <c r="E60" s="1931">
        <f t="shared" si="3"/>
        <v>0</v>
      </c>
      <c r="F60" s="1930">
        <f t="shared" si="4"/>
        <v>0</v>
      </c>
      <c r="G60" s="1929">
        <f t="shared" si="5"/>
        <v>0</v>
      </c>
    </row>
    <row r="61" spans="1:7" x14ac:dyDescent="0.25">
      <c r="A61" s="1935"/>
      <c r="B61" s="1936"/>
      <c r="C61" s="1933"/>
      <c r="D61" s="1932"/>
      <c r="E61" s="1931">
        <f t="shared" si="3"/>
        <v>0</v>
      </c>
      <c r="F61" s="1930">
        <f t="shared" si="4"/>
        <v>0</v>
      </c>
      <c r="G61" s="1929">
        <f t="shared" si="5"/>
        <v>0</v>
      </c>
    </row>
    <row r="62" spans="1:7" x14ac:dyDescent="0.25">
      <c r="A62" s="1935"/>
      <c r="B62" s="1936"/>
      <c r="C62" s="1933"/>
      <c r="D62" s="1932"/>
      <c r="E62" s="1931">
        <f t="shared" si="3"/>
        <v>0</v>
      </c>
      <c r="F62" s="1930">
        <f t="shared" si="4"/>
        <v>0</v>
      </c>
      <c r="G62" s="1929">
        <f t="shared" si="5"/>
        <v>0</v>
      </c>
    </row>
    <row r="63" spans="1:7" x14ac:dyDescent="0.25">
      <c r="A63" s="1935"/>
      <c r="B63" s="1936"/>
      <c r="C63" s="1933"/>
      <c r="D63" s="1932"/>
      <c r="E63" s="1931">
        <f t="shared" si="3"/>
        <v>0</v>
      </c>
      <c r="F63" s="1930">
        <f t="shared" si="4"/>
        <v>0</v>
      </c>
      <c r="G63" s="1929">
        <f t="shared" si="5"/>
        <v>0</v>
      </c>
    </row>
    <row r="64" spans="1:7" x14ac:dyDescent="0.25">
      <c r="A64" s="1935"/>
      <c r="B64" s="1936"/>
      <c r="C64" s="1933"/>
      <c r="D64" s="1932"/>
      <c r="E64" s="1931">
        <f t="shared" si="3"/>
        <v>0</v>
      </c>
      <c r="F64" s="1930">
        <f t="shared" si="4"/>
        <v>0</v>
      </c>
      <c r="G64" s="1929">
        <f t="shared" si="5"/>
        <v>0</v>
      </c>
    </row>
    <row r="65" spans="1:7" x14ac:dyDescent="0.25">
      <c r="A65" s="1938"/>
      <c r="B65" s="1936"/>
      <c r="C65" s="1937"/>
      <c r="D65" s="1932"/>
      <c r="E65" s="1931">
        <f t="shared" si="3"/>
        <v>0</v>
      </c>
      <c r="F65" s="1930">
        <f t="shared" si="4"/>
        <v>0</v>
      </c>
      <c r="G65" s="1929">
        <f t="shared" si="5"/>
        <v>0</v>
      </c>
    </row>
    <row r="66" spans="1:7" x14ac:dyDescent="0.25">
      <c r="A66" s="1935"/>
      <c r="B66" s="1936"/>
      <c r="C66" s="1933"/>
      <c r="D66" s="1932"/>
      <c r="E66" s="1931">
        <f t="shared" si="3"/>
        <v>0</v>
      </c>
      <c r="F66" s="1930">
        <f t="shared" si="4"/>
        <v>0</v>
      </c>
      <c r="G66" s="1929">
        <f t="shared" si="5"/>
        <v>0</v>
      </c>
    </row>
    <row r="67" spans="1:7" x14ac:dyDescent="0.25">
      <c r="A67" s="1935"/>
      <c r="B67" s="1936"/>
      <c r="C67" s="1933"/>
      <c r="D67" s="1932"/>
      <c r="E67" s="1931">
        <f t="shared" si="3"/>
        <v>0</v>
      </c>
      <c r="F67" s="1930">
        <f t="shared" si="4"/>
        <v>0</v>
      </c>
      <c r="G67" s="1929">
        <f t="shared" si="5"/>
        <v>0</v>
      </c>
    </row>
    <row r="68" spans="1:7" x14ac:dyDescent="0.25">
      <c r="A68" s="1935"/>
      <c r="B68" s="1936"/>
      <c r="C68" s="1933"/>
      <c r="D68" s="1932"/>
      <c r="E68" s="1931">
        <f t="shared" si="3"/>
        <v>0</v>
      </c>
      <c r="F68" s="1930">
        <f t="shared" si="4"/>
        <v>0</v>
      </c>
      <c r="G68" s="1929">
        <f t="shared" si="5"/>
        <v>0</v>
      </c>
    </row>
    <row r="69" spans="1:7" x14ac:dyDescent="0.25">
      <c r="A69" s="1935"/>
      <c r="B69" s="1936"/>
      <c r="C69" s="1933"/>
      <c r="D69" s="1932"/>
      <c r="E69" s="1931">
        <f t="shared" si="3"/>
        <v>0</v>
      </c>
      <c r="F69" s="1930">
        <f t="shared" si="4"/>
        <v>0</v>
      </c>
      <c r="G69" s="1929">
        <f t="shared" si="5"/>
        <v>0</v>
      </c>
    </row>
    <row r="70" spans="1:7" x14ac:dyDescent="0.25">
      <c r="A70" s="1935"/>
      <c r="B70" s="1936"/>
      <c r="C70" s="1933"/>
      <c r="D70" s="1932"/>
      <c r="E70" s="1931">
        <f t="shared" si="3"/>
        <v>0</v>
      </c>
      <c r="F70" s="1930">
        <f t="shared" si="4"/>
        <v>0</v>
      </c>
      <c r="G70" s="1929">
        <f t="shared" si="5"/>
        <v>0</v>
      </c>
    </row>
    <row r="71" spans="1:7" x14ac:dyDescent="0.25">
      <c r="A71" s="1935"/>
      <c r="B71" s="1936"/>
      <c r="C71" s="1933"/>
      <c r="D71" s="1932"/>
      <c r="E71" s="1931">
        <f t="shared" si="3"/>
        <v>0</v>
      </c>
      <c r="F71" s="1930">
        <f t="shared" si="4"/>
        <v>0</v>
      </c>
      <c r="G71" s="1929">
        <f t="shared" si="5"/>
        <v>0</v>
      </c>
    </row>
    <row r="72" spans="1:7" x14ac:dyDescent="0.25">
      <c r="A72" s="1935"/>
      <c r="B72" s="1936"/>
      <c r="C72" s="1933"/>
      <c r="D72" s="1932"/>
      <c r="E72" s="1931">
        <f t="shared" si="3"/>
        <v>0</v>
      </c>
      <c r="F72" s="1930">
        <f t="shared" si="4"/>
        <v>0</v>
      </c>
      <c r="G72" s="1929">
        <f t="shared" si="5"/>
        <v>0</v>
      </c>
    </row>
    <row r="73" spans="1:7" x14ac:dyDescent="0.25">
      <c r="A73" s="1935"/>
      <c r="B73" s="1936"/>
      <c r="C73" s="1933"/>
      <c r="D73" s="1932"/>
      <c r="E73" s="1931">
        <f t="shared" si="3"/>
        <v>0</v>
      </c>
      <c r="F73" s="1930">
        <f t="shared" si="4"/>
        <v>0</v>
      </c>
      <c r="G73" s="1929">
        <f t="shared" si="5"/>
        <v>0</v>
      </c>
    </row>
    <row r="74" spans="1:7" x14ac:dyDescent="0.25">
      <c r="A74" s="1935"/>
      <c r="B74" s="1936"/>
      <c r="C74" s="1933"/>
      <c r="D74" s="1932"/>
      <c r="E74" s="1931">
        <f t="shared" si="3"/>
        <v>0</v>
      </c>
      <c r="F74" s="1930">
        <f t="shared" si="4"/>
        <v>0</v>
      </c>
      <c r="G74" s="1929">
        <f t="shared" si="5"/>
        <v>0</v>
      </c>
    </row>
    <row r="75" spans="1:7" x14ac:dyDescent="0.25">
      <c r="A75" s="1935"/>
      <c r="B75" s="1936"/>
      <c r="C75" s="1933"/>
      <c r="D75" s="1932"/>
      <c r="E75" s="1931">
        <f t="shared" si="3"/>
        <v>0</v>
      </c>
      <c r="F75" s="1930">
        <f t="shared" si="4"/>
        <v>0</v>
      </c>
      <c r="G75" s="1929">
        <f t="shared" si="5"/>
        <v>0</v>
      </c>
    </row>
    <row r="76" spans="1:7" x14ac:dyDescent="0.25">
      <c r="A76" s="1935"/>
      <c r="B76" s="1936"/>
      <c r="C76" s="1933"/>
      <c r="D76" s="1932"/>
      <c r="E76" s="1931">
        <f t="shared" si="3"/>
        <v>0</v>
      </c>
      <c r="F76" s="1930">
        <f t="shared" si="4"/>
        <v>0</v>
      </c>
      <c r="G76" s="1929">
        <f t="shared" si="5"/>
        <v>0</v>
      </c>
    </row>
    <row r="77" spans="1:7" x14ac:dyDescent="0.25">
      <c r="A77" s="1935"/>
      <c r="B77" s="1936"/>
      <c r="C77" s="1933"/>
      <c r="D77" s="1932"/>
      <c r="E77" s="1931">
        <f t="shared" si="3"/>
        <v>0</v>
      </c>
      <c r="F77" s="1930">
        <f t="shared" si="4"/>
        <v>0</v>
      </c>
      <c r="G77" s="1929">
        <f t="shared" si="5"/>
        <v>0</v>
      </c>
    </row>
    <row r="78" spans="1:7" x14ac:dyDescent="0.25">
      <c r="A78" s="1935"/>
      <c r="B78" s="1936"/>
      <c r="C78" s="1933"/>
      <c r="D78" s="1932"/>
      <c r="E78" s="1931">
        <f t="shared" si="3"/>
        <v>0</v>
      </c>
      <c r="F78" s="1930">
        <f t="shared" si="4"/>
        <v>0</v>
      </c>
      <c r="G78" s="1929">
        <f t="shared" si="5"/>
        <v>0</v>
      </c>
    </row>
    <row r="79" spans="1:7" x14ac:dyDescent="0.25">
      <c r="A79" s="1935"/>
      <c r="B79" s="1936"/>
      <c r="C79" s="1933"/>
      <c r="D79" s="1932"/>
      <c r="E79" s="1931">
        <f t="shared" si="3"/>
        <v>0</v>
      </c>
      <c r="F79" s="1930">
        <f t="shared" si="4"/>
        <v>0</v>
      </c>
      <c r="G79" s="1929">
        <f t="shared" si="5"/>
        <v>0</v>
      </c>
    </row>
    <row r="80" spans="1:7" x14ac:dyDescent="0.25">
      <c r="A80" s="1935"/>
      <c r="B80" s="1936"/>
      <c r="C80" s="1933"/>
      <c r="D80" s="1932"/>
      <c r="E80" s="1931">
        <f t="shared" si="3"/>
        <v>0</v>
      </c>
      <c r="F80" s="1930">
        <f t="shared" si="4"/>
        <v>0</v>
      </c>
      <c r="G80" s="1929">
        <f t="shared" si="5"/>
        <v>0</v>
      </c>
    </row>
    <row r="81" spans="1:7" x14ac:dyDescent="0.25">
      <c r="A81" s="1935"/>
      <c r="B81" s="1936"/>
      <c r="C81" s="1933"/>
      <c r="D81" s="1932"/>
      <c r="E81" s="1931">
        <f t="shared" ref="E81:E112" si="6">IF(D81&lt;=25000,D81,IF(D81&gt;25000,25000,0))</f>
        <v>0</v>
      </c>
      <c r="F81" s="1930">
        <f t="shared" ref="F81:F112" si="7">(IF(D81="",0,(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Check func/obj # in Colm B"))))</f>
        <v>0</v>
      </c>
      <c r="G81" s="1929">
        <f t="shared" si="5"/>
        <v>0</v>
      </c>
    </row>
    <row r="82" spans="1:7" x14ac:dyDescent="0.25">
      <c r="A82" s="1935"/>
      <c r="B82" s="1936"/>
      <c r="C82" s="1933"/>
      <c r="D82" s="1932"/>
      <c r="E82" s="1931">
        <f t="shared" si="6"/>
        <v>0</v>
      </c>
      <c r="F82" s="1930">
        <f t="shared" si="7"/>
        <v>0</v>
      </c>
      <c r="G82" s="1929">
        <f t="shared" ref="G82:G113" si="8">IF(F82=0,0,D82-F82)</f>
        <v>0</v>
      </c>
    </row>
    <row r="83" spans="1:7" x14ac:dyDescent="0.25">
      <c r="A83" s="1935"/>
      <c r="B83" s="1936"/>
      <c r="C83" s="1933"/>
      <c r="D83" s="1932"/>
      <c r="E83" s="1931">
        <f t="shared" si="6"/>
        <v>0</v>
      </c>
      <c r="F83" s="1930">
        <f t="shared" si="7"/>
        <v>0</v>
      </c>
      <c r="G83" s="1929">
        <f t="shared" si="8"/>
        <v>0</v>
      </c>
    </row>
    <row r="84" spans="1:7" x14ac:dyDescent="0.25">
      <c r="A84" s="1935"/>
      <c r="B84" s="1936"/>
      <c r="C84" s="1933"/>
      <c r="D84" s="1932"/>
      <c r="E84" s="1931">
        <f t="shared" si="6"/>
        <v>0</v>
      </c>
      <c r="F84" s="1930">
        <f t="shared" si="7"/>
        <v>0</v>
      </c>
      <c r="G84" s="1929">
        <f t="shared" si="8"/>
        <v>0</v>
      </c>
    </row>
    <row r="85" spans="1:7" x14ac:dyDescent="0.25">
      <c r="A85" s="1935"/>
      <c r="B85" s="1936"/>
      <c r="C85" s="1933"/>
      <c r="D85" s="1932"/>
      <c r="E85" s="1931">
        <f t="shared" si="6"/>
        <v>0</v>
      </c>
      <c r="F85" s="1930">
        <f t="shared" si="7"/>
        <v>0</v>
      </c>
      <c r="G85" s="1929">
        <f t="shared" si="8"/>
        <v>0</v>
      </c>
    </row>
    <row r="86" spans="1:7" x14ac:dyDescent="0.25">
      <c r="A86" s="1935"/>
      <c r="B86" s="1936"/>
      <c r="C86" s="1933"/>
      <c r="D86" s="1932"/>
      <c r="E86" s="1931">
        <f t="shared" si="6"/>
        <v>0</v>
      </c>
      <c r="F86" s="1930">
        <f t="shared" si="7"/>
        <v>0</v>
      </c>
      <c r="G86" s="1929">
        <f t="shared" si="8"/>
        <v>0</v>
      </c>
    </row>
    <row r="87" spans="1:7" x14ac:dyDescent="0.25">
      <c r="A87" s="1935"/>
      <c r="B87" s="1936"/>
      <c r="C87" s="1933"/>
      <c r="D87" s="1932"/>
      <c r="E87" s="1931">
        <f t="shared" si="6"/>
        <v>0</v>
      </c>
      <c r="F87" s="1930">
        <f t="shared" si="7"/>
        <v>0</v>
      </c>
      <c r="G87" s="1929">
        <f t="shared" si="8"/>
        <v>0</v>
      </c>
    </row>
    <row r="88" spans="1:7" x14ac:dyDescent="0.25">
      <c r="A88" s="1935"/>
      <c r="B88" s="1936"/>
      <c r="C88" s="1933"/>
      <c r="D88" s="1932"/>
      <c r="E88" s="1931">
        <f t="shared" si="6"/>
        <v>0</v>
      </c>
      <c r="F88" s="1930">
        <f t="shared" si="7"/>
        <v>0</v>
      </c>
      <c r="G88" s="1929">
        <f t="shared" si="8"/>
        <v>0</v>
      </c>
    </row>
    <row r="89" spans="1:7" x14ac:dyDescent="0.25">
      <c r="A89" s="1935"/>
      <c r="B89" s="1936"/>
      <c r="C89" s="1933"/>
      <c r="D89" s="1932"/>
      <c r="E89" s="1931">
        <f t="shared" si="6"/>
        <v>0</v>
      </c>
      <c r="F89" s="1930">
        <f t="shared" si="7"/>
        <v>0</v>
      </c>
      <c r="G89" s="1929">
        <f t="shared" si="8"/>
        <v>0</v>
      </c>
    </row>
    <row r="90" spans="1:7" x14ac:dyDescent="0.25">
      <c r="A90" s="1935"/>
      <c r="B90" s="1936"/>
      <c r="C90" s="1933"/>
      <c r="D90" s="1932"/>
      <c r="E90" s="1931">
        <f t="shared" si="6"/>
        <v>0</v>
      </c>
      <c r="F90" s="1930">
        <f t="shared" si="7"/>
        <v>0</v>
      </c>
      <c r="G90" s="1929">
        <f t="shared" si="8"/>
        <v>0</v>
      </c>
    </row>
    <row r="91" spans="1:7" x14ac:dyDescent="0.25">
      <c r="A91" s="1935"/>
      <c r="B91" s="1936"/>
      <c r="C91" s="1933"/>
      <c r="D91" s="1932"/>
      <c r="E91" s="1931">
        <f t="shared" si="6"/>
        <v>0</v>
      </c>
      <c r="F91" s="1930">
        <f t="shared" si="7"/>
        <v>0</v>
      </c>
      <c r="G91" s="1929">
        <f t="shared" si="8"/>
        <v>0</v>
      </c>
    </row>
    <row r="92" spans="1:7" x14ac:dyDescent="0.25">
      <c r="A92" s="1935"/>
      <c r="B92" s="1936"/>
      <c r="C92" s="1933"/>
      <c r="D92" s="1932"/>
      <c r="E92" s="1931">
        <f t="shared" si="6"/>
        <v>0</v>
      </c>
      <c r="F92" s="1930">
        <f t="shared" si="7"/>
        <v>0</v>
      </c>
      <c r="G92" s="1929">
        <f t="shared" si="8"/>
        <v>0</v>
      </c>
    </row>
    <row r="93" spans="1:7" x14ac:dyDescent="0.25">
      <c r="A93" s="1935"/>
      <c r="B93" s="1936"/>
      <c r="C93" s="1933"/>
      <c r="D93" s="1932"/>
      <c r="E93" s="1931">
        <f t="shared" si="6"/>
        <v>0</v>
      </c>
      <c r="F93" s="1930">
        <f t="shared" si="7"/>
        <v>0</v>
      </c>
      <c r="G93" s="1929">
        <f t="shared" si="8"/>
        <v>0</v>
      </c>
    </row>
    <row r="94" spans="1:7" x14ac:dyDescent="0.25">
      <c r="A94" s="1935"/>
      <c r="B94" s="1936"/>
      <c r="C94" s="1933"/>
      <c r="D94" s="1932"/>
      <c r="E94" s="1931">
        <f t="shared" si="6"/>
        <v>0</v>
      </c>
      <c r="F94" s="1930">
        <f t="shared" si="7"/>
        <v>0</v>
      </c>
      <c r="G94" s="1929">
        <f t="shared" si="8"/>
        <v>0</v>
      </c>
    </row>
    <row r="95" spans="1:7" x14ac:dyDescent="0.25">
      <c r="A95" s="1935"/>
      <c r="B95" s="1936"/>
      <c r="C95" s="1933"/>
      <c r="D95" s="1932"/>
      <c r="E95" s="1931">
        <f t="shared" si="6"/>
        <v>0</v>
      </c>
      <c r="F95" s="1930">
        <f t="shared" si="7"/>
        <v>0</v>
      </c>
      <c r="G95" s="1929">
        <f t="shared" si="8"/>
        <v>0</v>
      </c>
    </row>
    <row r="96" spans="1:7" x14ac:dyDescent="0.25">
      <c r="A96" s="1935"/>
      <c r="B96" s="1936"/>
      <c r="C96" s="1933"/>
      <c r="D96" s="1932"/>
      <c r="E96" s="1931">
        <f t="shared" si="6"/>
        <v>0</v>
      </c>
      <c r="F96" s="1930">
        <f t="shared" si="7"/>
        <v>0</v>
      </c>
      <c r="G96" s="1929">
        <f t="shared" si="8"/>
        <v>0</v>
      </c>
    </row>
    <row r="97" spans="1:7" x14ac:dyDescent="0.25">
      <c r="A97" s="1935"/>
      <c r="B97" s="1936"/>
      <c r="C97" s="1933"/>
      <c r="D97" s="1932"/>
      <c r="E97" s="1931">
        <f t="shared" si="6"/>
        <v>0</v>
      </c>
      <c r="F97" s="1930">
        <f t="shared" si="7"/>
        <v>0</v>
      </c>
      <c r="G97" s="1929">
        <f t="shared" si="8"/>
        <v>0</v>
      </c>
    </row>
    <row r="98" spans="1:7" x14ac:dyDescent="0.25">
      <c r="A98" s="1935"/>
      <c r="B98" s="1936"/>
      <c r="C98" s="1933"/>
      <c r="D98" s="1932"/>
      <c r="E98" s="1931">
        <f t="shared" si="6"/>
        <v>0</v>
      </c>
      <c r="F98" s="1930">
        <f t="shared" si="7"/>
        <v>0</v>
      </c>
      <c r="G98" s="1929">
        <f t="shared" si="8"/>
        <v>0</v>
      </c>
    </row>
    <row r="99" spans="1:7" x14ac:dyDescent="0.25">
      <c r="A99" s="1935"/>
      <c r="B99" s="1936"/>
      <c r="C99" s="1933"/>
      <c r="D99" s="1932"/>
      <c r="E99" s="1931">
        <f t="shared" si="6"/>
        <v>0</v>
      </c>
      <c r="F99" s="1930">
        <f t="shared" si="7"/>
        <v>0</v>
      </c>
      <c r="G99" s="1929">
        <f t="shared" si="8"/>
        <v>0</v>
      </c>
    </row>
    <row r="100" spans="1:7" x14ac:dyDescent="0.25">
      <c r="A100" s="1935"/>
      <c r="B100" s="1936"/>
      <c r="C100" s="1933"/>
      <c r="D100" s="1932"/>
      <c r="E100" s="1931">
        <f t="shared" si="6"/>
        <v>0</v>
      </c>
      <c r="F100" s="1930">
        <f t="shared" si="7"/>
        <v>0</v>
      </c>
      <c r="G100" s="1929">
        <f t="shared" si="8"/>
        <v>0</v>
      </c>
    </row>
    <row r="101" spans="1:7" x14ac:dyDescent="0.25">
      <c r="A101" s="1935"/>
      <c r="B101" s="1936"/>
      <c r="C101" s="1933"/>
      <c r="D101" s="1932"/>
      <c r="E101" s="1931">
        <f t="shared" si="6"/>
        <v>0</v>
      </c>
      <c r="F101" s="1930">
        <f t="shared" si="7"/>
        <v>0</v>
      </c>
      <c r="G101" s="1929">
        <f t="shared" si="8"/>
        <v>0</v>
      </c>
    </row>
    <row r="102" spans="1:7" x14ac:dyDescent="0.25">
      <c r="A102" s="1935"/>
      <c r="B102" s="1936"/>
      <c r="C102" s="1933"/>
      <c r="D102" s="1932"/>
      <c r="E102" s="1931">
        <f t="shared" si="6"/>
        <v>0</v>
      </c>
      <c r="F102" s="1930">
        <f t="shared" si="7"/>
        <v>0</v>
      </c>
      <c r="G102" s="1929">
        <f t="shared" si="8"/>
        <v>0</v>
      </c>
    </row>
    <row r="103" spans="1:7" x14ac:dyDescent="0.25">
      <c r="A103" s="1935"/>
      <c r="B103" s="1936"/>
      <c r="C103" s="1933"/>
      <c r="D103" s="1932"/>
      <c r="E103" s="1931">
        <f t="shared" si="6"/>
        <v>0</v>
      </c>
      <c r="F103" s="1930">
        <f t="shared" si="7"/>
        <v>0</v>
      </c>
      <c r="G103" s="1929">
        <f t="shared" si="8"/>
        <v>0</v>
      </c>
    </row>
    <row r="104" spans="1:7" x14ac:dyDescent="0.25">
      <c r="A104" s="1935"/>
      <c r="B104" s="1936"/>
      <c r="C104" s="1933"/>
      <c r="D104" s="1932"/>
      <c r="E104" s="1931">
        <f t="shared" si="6"/>
        <v>0</v>
      </c>
      <c r="F104" s="1930">
        <f t="shared" si="7"/>
        <v>0</v>
      </c>
      <c r="G104" s="1929">
        <f t="shared" si="8"/>
        <v>0</v>
      </c>
    </row>
    <row r="105" spans="1:7" x14ac:dyDescent="0.25">
      <c r="A105" s="1935"/>
      <c r="B105" s="1936"/>
      <c r="C105" s="1933"/>
      <c r="D105" s="1932"/>
      <c r="E105" s="1931">
        <f t="shared" si="6"/>
        <v>0</v>
      </c>
      <c r="F105" s="1930">
        <f t="shared" si="7"/>
        <v>0</v>
      </c>
      <c r="G105" s="1929">
        <f t="shared" si="8"/>
        <v>0</v>
      </c>
    </row>
    <row r="106" spans="1:7" x14ac:dyDescent="0.25">
      <c r="A106" s="1935"/>
      <c r="B106" s="1936"/>
      <c r="C106" s="1933"/>
      <c r="D106" s="1932"/>
      <c r="E106" s="1931">
        <f t="shared" si="6"/>
        <v>0</v>
      </c>
      <c r="F106" s="1930">
        <f t="shared" si="7"/>
        <v>0</v>
      </c>
      <c r="G106" s="1929">
        <f t="shared" si="8"/>
        <v>0</v>
      </c>
    </row>
    <row r="107" spans="1:7" x14ac:dyDescent="0.25">
      <c r="A107" s="1935"/>
      <c r="B107" s="1936"/>
      <c r="C107" s="1933"/>
      <c r="D107" s="1932"/>
      <c r="E107" s="1931">
        <f t="shared" si="6"/>
        <v>0</v>
      </c>
      <c r="F107" s="1930">
        <f t="shared" si="7"/>
        <v>0</v>
      </c>
      <c r="G107" s="1929">
        <f t="shared" si="8"/>
        <v>0</v>
      </c>
    </row>
    <row r="108" spans="1:7" x14ac:dyDescent="0.25">
      <c r="A108" s="1935"/>
      <c r="B108" s="1936"/>
      <c r="C108" s="1933"/>
      <c r="D108" s="1932"/>
      <c r="E108" s="1931">
        <f t="shared" si="6"/>
        <v>0</v>
      </c>
      <c r="F108" s="1930">
        <f t="shared" si="7"/>
        <v>0</v>
      </c>
      <c r="G108" s="1929">
        <f t="shared" si="8"/>
        <v>0</v>
      </c>
    </row>
    <row r="109" spans="1:7" x14ac:dyDescent="0.25">
      <c r="A109" s="1935"/>
      <c r="B109" s="1936"/>
      <c r="C109" s="1933"/>
      <c r="D109" s="1932"/>
      <c r="E109" s="1931">
        <f t="shared" si="6"/>
        <v>0</v>
      </c>
      <c r="F109" s="1930">
        <f t="shared" si="7"/>
        <v>0</v>
      </c>
      <c r="G109" s="1929">
        <f t="shared" si="8"/>
        <v>0</v>
      </c>
    </row>
    <row r="110" spans="1:7" x14ac:dyDescent="0.25">
      <c r="A110" s="1935"/>
      <c r="B110" s="1936"/>
      <c r="C110" s="1933"/>
      <c r="D110" s="1932"/>
      <c r="E110" s="1931">
        <f t="shared" si="6"/>
        <v>0</v>
      </c>
      <c r="F110" s="1930">
        <f t="shared" si="7"/>
        <v>0</v>
      </c>
      <c r="G110" s="1929">
        <f t="shared" si="8"/>
        <v>0</v>
      </c>
    </row>
    <row r="111" spans="1:7" x14ac:dyDescent="0.25">
      <c r="A111" s="1935"/>
      <c r="B111" s="1936"/>
      <c r="C111" s="1933"/>
      <c r="D111" s="1932"/>
      <c r="E111" s="1931">
        <f t="shared" si="6"/>
        <v>0</v>
      </c>
      <c r="F111" s="1930">
        <f t="shared" si="7"/>
        <v>0</v>
      </c>
      <c r="G111" s="1929">
        <f t="shared" si="8"/>
        <v>0</v>
      </c>
    </row>
    <row r="112" spans="1:7" x14ac:dyDescent="0.25">
      <c r="A112" s="1935"/>
      <c r="B112" s="1936"/>
      <c r="C112" s="1933"/>
      <c r="D112" s="1932"/>
      <c r="E112" s="1931">
        <f t="shared" si="6"/>
        <v>0</v>
      </c>
      <c r="F112" s="1930">
        <f t="shared" si="7"/>
        <v>0</v>
      </c>
      <c r="G112" s="1929">
        <f t="shared" si="8"/>
        <v>0</v>
      </c>
    </row>
    <row r="113" spans="1:7" x14ac:dyDescent="0.25">
      <c r="A113" s="1935"/>
      <c r="B113" s="1936"/>
      <c r="C113" s="1933"/>
      <c r="D113" s="1932"/>
      <c r="E113" s="1931">
        <f t="shared" ref="E113:E142" si="9">IF(D113&lt;=25000,D113,IF(D113&gt;25000,25000,0))</f>
        <v>0</v>
      </c>
      <c r="F113" s="1930">
        <f t="shared" ref="F113:F141" si="10">(IF(D113="",0,(IF(OR(B113="10-1000-100",B113="10-1000-200",B113="10-1000-300",B113="10-1000-400",B113="10-1000-600",B113="10-1000-800",B113="50-1000-200",B113="10-2100-100",B113="10-2100-200",B113="10-2100-300",B113="10-2100-400",B113="10-2100-600",B113="10-2100-800",B113="20-2100-100",B113="20-2100-200",B113="20-2100-300",B113="20-2100-400",B113="20-2100-600",B113="20-2100-800",B113="40-2100-100",B113="40-2100-200",B113="40-2100-300",B113="40-2100-400",B113="40-2100-600",B113="40-2100-800",B113="50-2100-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10-2540-800",B113="20-2540-100",B113="20-2540-200",B113="20-2540-300",B113="20-2540-400",B113="20-2540-600",B113="20-2540-800",B113="50-2540-200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10-3000-100",B113="10-3000-200",B113="10-3000-300",B113="10-3000-400",B113="10-3000-600",B113="10-3000-800",B113="20-3000-100",B113="20-3000-200",B113="20-3000-300",B113="20-3000-400",B113="20-3000-600",B113="20-3000-800",B113="40-3000-100",B113="40-3000-200",B113="40-3000-300",B113="40-3000-400",B113="40-3000-600",B113="40-3000-800",B113="50-3000-200"),E113,"Check func/obj # in Colm B"))))</f>
        <v>0</v>
      </c>
      <c r="G113" s="1929">
        <f t="shared" si="8"/>
        <v>0</v>
      </c>
    </row>
    <row r="114" spans="1:7" x14ac:dyDescent="0.25">
      <c r="A114" s="1935"/>
      <c r="B114" s="1936"/>
      <c r="C114" s="1933"/>
      <c r="D114" s="1932"/>
      <c r="E114" s="1931">
        <f t="shared" si="9"/>
        <v>0</v>
      </c>
      <c r="F114" s="1930">
        <f t="shared" si="10"/>
        <v>0</v>
      </c>
      <c r="G114" s="1929">
        <f t="shared" ref="G114:G141" si="11">IF(F114=0,0,D114-F114)</f>
        <v>0</v>
      </c>
    </row>
    <row r="115" spans="1:7" x14ac:dyDescent="0.25">
      <c r="A115" s="1935"/>
      <c r="B115" s="1936"/>
      <c r="C115" s="1933"/>
      <c r="D115" s="1932"/>
      <c r="E115" s="1931">
        <f t="shared" si="9"/>
        <v>0</v>
      </c>
      <c r="F115" s="1930">
        <f t="shared" si="10"/>
        <v>0</v>
      </c>
      <c r="G115" s="1929">
        <f t="shared" si="11"/>
        <v>0</v>
      </c>
    </row>
    <row r="116" spans="1:7" x14ac:dyDescent="0.25">
      <c r="A116" s="1935"/>
      <c r="B116" s="1936"/>
      <c r="C116" s="1933"/>
      <c r="D116" s="1932"/>
      <c r="E116" s="1931">
        <f t="shared" si="9"/>
        <v>0</v>
      </c>
      <c r="F116" s="1930">
        <f t="shared" si="10"/>
        <v>0</v>
      </c>
      <c r="G116" s="1929">
        <f t="shared" si="11"/>
        <v>0</v>
      </c>
    </row>
    <row r="117" spans="1:7" x14ac:dyDescent="0.25">
      <c r="A117" s="1935"/>
      <c r="B117" s="1936"/>
      <c r="C117" s="1933"/>
      <c r="D117" s="1932"/>
      <c r="E117" s="1931">
        <f t="shared" si="9"/>
        <v>0</v>
      </c>
      <c r="F117" s="1930">
        <f t="shared" si="10"/>
        <v>0</v>
      </c>
      <c r="G117" s="1929">
        <f t="shared" si="11"/>
        <v>0</v>
      </c>
    </row>
    <row r="118" spans="1:7" x14ac:dyDescent="0.25">
      <c r="A118" s="1935"/>
      <c r="B118" s="1936"/>
      <c r="C118" s="1933"/>
      <c r="D118" s="1932"/>
      <c r="E118" s="1931">
        <f t="shared" si="9"/>
        <v>0</v>
      </c>
      <c r="F118" s="1930">
        <f t="shared" si="10"/>
        <v>0</v>
      </c>
      <c r="G118" s="1929">
        <f t="shared" si="11"/>
        <v>0</v>
      </c>
    </row>
    <row r="119" spans="1:7" x14ac:dyDescent="0.25">
      <c r="A119" s="1935"/>
      <c r="B119" s="1936"/>
      <c r="C119" s="1933"/>
      <c r="D119" s="1932"/>
      <c r="E119" s="1931">
        <f t="shared" si="9"/>
        <v>0</v>
      </c>
      <c r="F119" s="1930">
        <f t="shared" si="10"/>
        <v>0</v>
      </c>
      <c r="G119" s="1929">
        <f t="shared" si="11"/>
        <v>0</v>
      </c>
    </row>
    <row r="120" spans="1:7" x14ac:dyDescent="0.25">
      <c r="A120" s="1935"/>
      <c r="B120" s="1936"/>
      <c r="C120" s="1933"/>
      <c r="D120" s="1932"/>
      <c r="E120" s="1931">
        <f t="shared" si="9"/>
        <v>0</v>
      </c>
      <c r="F120" s="1930">
        <f t="shared" si="10"/>
        <v>0</v>
      </c>
      <c r="G120" s="1929">
        <f t="shared" si="11"/>
        <v>0</v>
      </c>
    </row>
    <row r="121" spans="1:7" x14ac:dyDescent="0.25">
      <c r="A121" s="1935"/>
      <c r="B121" s="1936"/>
      <c r="C121" s="1933"/>
      <c r="D121" s="1932"/>
      <c r="E121" s="1931">
        <f t="shared" si="9"/>
        <v>0</v>
      </c>
      <c r="F121" s="1930">
        <f t="shared" si="10"/>
        <v>0</v>
      </c>
      <c r="G121" s="1929">
        <f t="shared" si="11"/>
        <v>0</v>
      </c>
    </row>
    <row r="122" spans="1:7" x14ac:dyDescent="0.25">
      <c r="A122" s="1935"/>
      <c r="B122" s="1936"/>
      <c r="C122" s="1933"/>
      <c r="D122" s="1932"/>
      <c r="E122" s="1931">
        <f t="shared" si="9"/>
        <v>0</v>
      </c>
      <c r="F122" s="1930">
        <f t="shared" si="10"/>
        <v>0</v>
      </c>
      <c r="G122" s="1929">
        <f t="shared" si="11"/>
        <v>0</v>
      </c>
    </row>
    <row r="123" spans="1:7" x14ac:dyDescent="0.25">
      <c r="A123" s="1935"/>
      <c r="B123" s="1936"/>
      <c r="C123" s="1933"/>
      <c r="D123" s="1932"/>
      <c r="E123" s="1931">
        <f t="shared" si="9"/>
        <v>0</v>
      </c>
      <c r="F123" s="1930">
        <f t="shared" si="10"/>
        <v>0</v>
      </c>
      <c r="G123" s="1929">
        <f t="shared" si="11"/>
        <v>0</v>
      </c>
    </row>
    <row r="124" spans="1:7" x14ac:dyDescent="0.25">
      <c r="A124" s="1935"/>
      <c r="B124" s="1936"/>
      <c r="C124" s="1933"/>
      <c r="D124" s="1932"/>
      <c r="E124" s="1931">
        <f t="shared" si="9"/>
        <v>0</v>
      </c>
      <c r="F124" s="1930">
        <f t="shared" si="10"/>
        <v>0</v>
      </c>
      <c r="G124" s="1929">
        <f t="shared" si="11"/>
        <v>0</v>
      </c>
    </row>
    <row r="125" spans="1:7" x14ac:dyDescent="0.25">
      <c r="A125" s="1935"/>
      <c r="B125" s="1936"/>
      <c r="C125" s="1933"/>
      <c r="D125" s="1932"/>
      <c r="E125" s="1931">
        <f t="shared" si="9"/>
        <v>0</v>
      </c>
      <c r="F125" s="1930">
        <f t="shared" si="10"/>
        <v>0</v>
      </c>
      <c r="G125" s="1929">
        <f t="shared" si="11"/>
        <v>0</v>
      </c>
    </row>
    <row r="126" spans="1:7" x14ac:dyDescent="0.25">
      <c r="A126" s="1935"/>
      <c r="B126" s="1936"/>
      <c r="C126" s="1933"/>
      <c r="D126" s="1932"/>
      <c r="E126" s="1931">
        <f t="shared" si="9"/>
        <v>0</v>
      </c>
      <c r="F126" s="1930">
        <f t="shared" si="10"/>
        <v>0</v>
      </c>
      <c r="G126" s="1929">
        <f t="shared" si="11"/>
        <v>0</v>
      </c>
    </row>
    <row r="127" spans="1:7" x14ac:dyDescent="0.25">
      <c r="A127" s="1935"/>
      <c r="B127" s="1936"/>
      <c r="C127" s="1933"/>
      <c r="D127" s="1932"/>
      <c r="E127" s="1931">
        <f t="shared" si="9"/>
        <v>0</v>
      </c>
      <c r="F127" s="1930">
        <f t="shared" si="10"/>
        <v>0</v>
      </c>
      <c r="G127" s="1929">
        <f t="shared" si="11"/>
        <v>0</v>
      </c>
    </row>
    <row r="128" spans="1:7" x14ac:dyDescent="0.25">
      <c r="A128" s="1935"/>
      <c r="B128" s="1936"/>
      <c r="C128" s="1933"/>
      <c r="D128" s="1932"/>
      <c r="E128" s="1931">
        <f t="shared" si="9"/>
        <v>0</v>
      </c>
      <c r="F128" s="1930">
        <f t="shared" si="10"/>
        <v>0</v>
      </c>
      <c r="G128" s="1929">
        <f t="shared" si="11"/>
        <v>0</v>
      </c>
    </row>
    <row r="129" spans="1:7" x14ac:dyDescent="0.25">
      <c r="A129" s="1935"/>
      <c r="B129" s="1936"/>
      <c r="C129" s="1933"/>
      <c r="D129" s="1932"/>
      <c r="E129" s="1931">
        <f t="shared" si="9"/>
        <v>0</v>
      </c>
      <c r="F129" s="1930">
        <f t="shared" si="10"/>
        <v>0</v>
      </c>
      <c r="G129" s="1929">
        <f t="shared" si="11"/>
        <v>0</v>
      </c>
    </row>
    <row r="130" spans="1:7" x14ac:dyDescent="0.25">
      <c r="A130" s="1935"/>
      <c r="B130" s="1936"/>
      <c r="C130" s="1933"/>
      <c r="D130" s="1932"/>
      <c r="E130" s="1931">
        <f t="shared" si="9"/>
        <v>0</v>
      </c>
      <c r="F130" s="1930">
        <f t="shared" si="10"/>
        <v>0</v>
      </c>
      <c r="G130" s="1929">
        <f t="shared" si="11"/>
        <v>0</v>
      </c>
    </row>
    <row r="131" spans="1:7" x14ac:dyDescent="0.25">
      <c r="A131" s="1935"/>
      <c r="B131" s="1936"/>
      <c r="C131" s="1933"/>
      <c r="D131" s="1932"/>
      <c r="E131" s="1931">
        <f t="shared" si="9"/>
        <v>0</v>
      </c>
      <c r="F131" s="1930">
        <f t="shared" si="10"/>
        <v>0</v>
      </c>
      <c r="G131" s="1929">
        <f t="shared" si="11"/>
        <v>0</v>
      </c>
    </row>
    <row r="132" spans="1:7" x14ac:dyDescent="0.25">
      <c r="A132" s="1935"/>
      <c r="B132" s="1936"/>
      <c r="C132" s="1933"/>
      <c r="D132" s="1932"/>
      <c r="E132" s="1931">
        <f t="shared" si="9"/>
        <v>0</v>
      </c>
      <c r="F132" s="1930">
        <f t="shared" si="10"/>
        <v>0</v>
      </c>
      <c r="G132" s="1929">
        <f t="shared" si="11"/>
        <v>0</v>
      </c>
    </row>
    <row r="133" spans="1:7" x14ac:dyDescent="0.25">
      <c r="A133" s="1935"/>
      <c r="B133" s="1936"/>
      <c r="C133" s="1933"/>
      <c r="D133" s="1932"/>
      <c r="E133" s="1931">
        <f t="shared" si="9"/>
        <v>0</v>
      </c>
      <c r="F133" s="1930">
        <f t="shared" si="10"/>
        <v>0</v>
      </c>
      <c r="G133" s="1929">
        <f t="shared" si="11"/>
        <v>0</v>
      </c>
    </row>
    <row r="134" spans="1:7" x14ac:dyDescent="0.25">
      <c r="A134" s="1935"/>
      <c r="B134" s="1936"/>
      <c r="C134" s="1933"/>
      <c r="D134" s="1932"/>
      <c r="E134" s="1931">
        <f t="shared" si="9"/>
        <v>0</v>
      </c>
      <c r="F134" s="1930">
        <f t="shared" si="10"/>
        <v>0</v>
      </c>
      <c r="G134" s="1929">
        <f t="shared" si="11"/>
        <v>0</v>
      </c>
    </row>
    <row r="135" spans="1:7" x14ac:dyDescent="0.25">
      <c r="A135" s="1935"/>
      <c r="B135" s="1936"/>
      <c r="C135" s="1933"/>
      <c r="D135" s="1932"/>
      <c r="E135" s="1931">
        <f t="shared" si="9"/>
        <v>0</v>
      </c>
      <c r="F135" s="1930">
        <f t="shared" si="10"/>
        <v>0</v>
      </c>
      <c r="G135" s="1929">
        <f t="shared" si="11"/>
        <v>0</v>
      </c>
    </row>
    <row r="136" spans="1:7" x14ac:dyDescent="0.25">
      <c r="A136" s="1935"/>
      <c r="B136" s="1936"/>
      <c r="C136" s="1933"/>
      <c r="D136" s="1932"/>
      <c r="E136" s="1931">
        <f t="shared" si="9"/>
        <v>0</v>
      </c>
      <c r="F136" s="1930">
        <f t="shared" si="10"/>
        <v>0</v>
      </c>
      <c r="G136" s="1929">
        <f t="shared" si="11"/>
        <v>0</v>
      </c>
    </row>
    <row r="137" spans="1:7" x14ac:dyDescent="0.25">
      <c r="A137" s="1935"/>
      <c r="B137" s="1936"/>
      <c r="C137" s="1933"/>
      <c r="D137" s="1932"/>
      <c r="E137" s="1931">
        <f t="shared" si="9"/>
        <v>0</v>
      </c>
      <c r="F137" s="1930">
        <f t="shared" si="10"/>
        <v>0</v>
      </c>
      <c r="G137" s="1929">
        <f t="shared" si="11"/>
        <v>0</v>
      </c>
    </row>
    <row r="138" spans="1:7" x14ac:dyDescent="0.25">
      <c r="A138" s="1935"/>
      <c r="B138" s="1936"/>
      <c r="C138" s="1933"/>
      <c r="D138" s="1932"/>
      <c r="E138" s="1931">
        <f t="shared" si="9"/>
        <v>0</v>
      </c>
      <c r="F138" s="1930">
        <f t="shared" si="10"/>
        <v>0</v>
      </c>
      <c r="G138" s="1929">
        <f t="shared" si="11"/>
        <v>0</v>
      </c>
    </row>
    <row r="139" spans="1:7" x14ac:dyDescent="0.25">
      <c r="A139" s="1935"/>
      <c r="B139" s="1936"/>
      <c r="C139" s="1933"/>
      <c r="D139" s="1932"/>
      <c r="E139" s="1931">
        <f t="shared" si="9"/>
        <v>0</v>
      </c>
      <c r="F139" s="1930">
        <f t="shared" si="10"/>
        <v>0</v>
      </c>
      <c r="G139" s="1929">
        <f t="shared" si="11"/>
        <v>0</v>
      </c>
    </row>
    <row r="140" spans="1:7" x14ac:dyDescent="0.25">
      <c r="A140" s="1935"/>
      <c r="B140" s="1936"/>
      <c r="C140" s="1933"/>
      <c r="D140" s="1932"/>
      <c r="E140" s="1931">
        <f t="shared" si="9"/>
        <v>0</v>
      </c>
      <c r="F140" s="1930">
        <f t="shared" si="10"/>
        <v>0</v>
      </c>
      <c r="G140" s="1929">
        <f t="shared" si="11"/>
        <v>0</v>
      </c>
    </row>
    <row r="141" spans="1:7" x14ac:dyDescent="0.25">
      <c r="A141" s="1935"/>
      <c r="B141" s="1934"/>
      <c r="C141" s="1933"/>
      <c r="D141" s="1932"/>
      <c r="E141" s="1931">
        <f t="shared" si="9"/>
        <v>0</v>
      </c>
      <c r="F141" s="1930">
        <f t="shared" si="10"/>
        <v>0</v>
      </c>
      <c r="G141" s="1929">
        <f t="shared" si="11"/>
        <v>0</v>
      </c>
    </row>
    <row r="142" spans="1:7" x14ac:dyDescent="0.25">
      <c r="A142" s="1928" t="s">
        <v>156</v>
      </c>
      <c r="B142" s="1927"/>
      <c r="C142" s="1926"/>
      <c r="D142" s="1925">
        <f>SUM(D18:D141)</f>
        <v>1763575.9999999998</v>
      </c>
      <c r="E142" s="1924">
        <f t="shared" si="9"/>
        <v>25000</v>
      </c>
      <c r="F142" s="1923">
        <f>SUM(F18:F141)</f>
        <v>500000</v>
      </c>
      <c r="G142" s="1922">
        <f>SUM(G18:G141)</f>
        <v>1263575.9999999998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theme="0" tint="-0.14999847407452621"/>
  </sheetPr>
  <dimension ref="A1:H202"/>
  <sheetViews>
    <sheetView showGridLines="0" defaultGridColor="0" colorId="8" zoomScale="110" zoomScaleNormal="110" workbookViewId="0">
      <pane ySplit="5" topLeftCell="A6" activePane="bottomLeft" state="frozen"/>
      <selection activeCell="B1" sqref="B1"/>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1" t="s">
        <v>1970</v>
      </c>
      <c r="B1" s="2302"/>
      <c r="C1" s="2302"/>
      <c r="D1" s="2302"/>
      <c r="E1" s="2302"/>
      <c r="F1" s="2303"/>
      <c r="G1" s="855"/>
    </row>
    <row r="2" spans="1:7" ht="15" customHeight="1" thickBot="1" x14ac:dyDescent="0.25">
      <c r="A2" s="2304" t="s">
        <v>477</v>
      </c>
      <c r="B2" s="2305"/>
      <c r="C2" s="2305"/>
      <c r="D2" s="2305"/>
      <c r="E2" s="2305"/>
      <c r="F2" s="230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7"/>
      <c r="B5" s="2308"/>
      <c r="C5" s="2308"/>
      <c r="D5" s="2308"/>
      <c r="E5" s="2308"/>
      <c r="F5" s="2308"/>
    </row>
    <row r="6" spans="1:7" ht="13.5" customHeight="1" thickBot="1" x14ac:dyDescent="0.25">
      <c r="A6" s="2298" t="s">
        <v>1104</v>
      </c>
      <c r="B6" s="2299"/>
      <c r="C6" s="2299"/>
      <c r="D6" s="2299"/>
      <c r="E6" s="2299"/>
      <c r="F6" s="230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64">
        <f>'Expenditures 15-22'!K114</f>
        <v>15906511</v>
      </c>
      <c r="G8" s="865"/>
    </row>
    <row r="9" spans="1:7" x14ac:dyDescent="0.2">
      <c r="A9" s="869" t="s">
        <v>460</v>
      </c>
      <c r="B9" s="870" t="s">
        <v>1873</v>
      </c>
      <c r="C9" s="871"/>
      <c r="D9" s="869" t="s">
        <v>501</v>
      </c>
      <c r="E9" s="868"/>
      <c r="F9" s="1865">
        <f>'Expenditures 15-22'!K151</f>
        <v>0</v>
      </c>
      <c r="G9" s="872"/>
    </row>
    <row r="10" spans="1:7" x14ac:dyDescent="0.2">
      <c r="A10" s="869" t="s">
        <v>499</v>
      </c>
      <c r="B10" s="870" t="s">
        <v>1874</v>
      </c>
      <c r="C10" s="871"/>
      <c r="D10" s="869" t="s">
        <v>501</v>
      </c>
      <c r="E10" s="868"/>
      <c r="F10" s="1865">
        <f>'Expenditures 15-22'!K174</f>
        <v>555623</v>
      </c>
      <c r="G10" s="872"/>
    </row>
    <row r="11" spans="1:7" x14ac:dyDescent="0.2">
      <c r="A11" s="869" t="s">
        <v>461</v>
      </c>
      <c r="B11" s="870" t="s">
        <v>1875</v>
      </c>
      <c r="C11" s="871"/>
      <c r="D11" s="869" t="s">
        <v>501</v>
      </c>
      <c r="E11" s="868"/>
      <c r="F11" s="1865">
        <f>'Expenditures 15-22'!K210</f>
        <v>0</v>
      </c>
      <c r="G11" s="872"/>
    </row>
    <row r="12" spans="1:7" x14ac:dyDescent="0.2">
      <c r="A12" s="869" t="s">
        <v>462</v>
      </c>
      <c r="B12" s="870" t="s">
        <v>1876</v>
      </c>
      <c r="C12" s="871"/>
      <c r="D12" s="869" t="s">
        <v>501</v>
      </c>
      <c r="E12" s="868"/>
      <c r="F12" s="1865">
        <f>'Expenditures 15-22'!K295</f>
        <v>0</v>
      </c>
      <c r="G12" s="872"/>
    </row>
    <row r="13" spans="1:7" x14ac:dyDescent="0.2">
      <c r="A13" s="869" t="s">
        <v>106</v>
      </c>
      <c r="B13" s="870" t="s">
        <v>1877</v>
      </c>
      <c r="C13" s="871"/>
      <c r="D13" s="869" t="s">
        <v>501</v>
      </c>
      <c r="E13" s="868"/>
      <c r="F13" s="1865">
        <f>'Expenditures 15-22'!K342</f>
        <v>0</v>
      </c>
      <c r="G13" s="873"/>
    </row>
    <row r="14" spans="1:7" ht="12" customHeight="1" thickBot="1" x14ac:dyDescent="0.25">
      <c r="A14" s="1736"/>
      <c r="B14" s="1737"/>
      <c r="C14" s="1738"/>
      <c r="D14" s="1739" t="s">
        <v>501</v>
      </c>
      <c r="E14" s="1740" t="s">
        <v>958</v>
      </c>
      <c r="F14" s="1741">
        <f>SUM(F8:F13)</f>
        <v>16462134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66">
        <f>'Revenues 9-14'!F43</f>
        <v>0</v>
      </c>
      <c r="G18" s="865"/>
    </row>
    <row r="19" spans="1:7" x14ac:dyDescent="0.2">
      <c r="A19" s="869" t="s">
        <v>461</v>
      </c>
      <c r="B19" s="870" t="s">
        <v>1011</v>
      </c>
      <c r="C19" s="877">
        <f>'Revenues 9-14'!B47</f>
        <v>1421</v>
      </c>
      <c r="D19" s="878" t="str">
        <f>'Revenues 9-14'!A47</f>
        <v>Summer Sch - Transp. Fees from Pupils or Parents (In State)</v>
      </c>
      <c r="E19" s="879"/>
      <c r="F19" s="1867">
        <f>'Revenues 9-14'!F47</f>
        <v>0</v>
      </c>
      <c r="G19" s="865"/>
    </row>
    <row r="20" spans="1:7" x14ac:dyDescent="0.2">
      <c r="A20" s="869" t="s">
        <v>461</v>
      </c>
      <c r="B20" s="870" t="s">
        <v>1012</v>
      </c>
      <c r="C20" s="875">
        <f>'Revenues 9-14'!B48</f>
        <v>1422</v>
      </c>
      <c r="D20" s="876" t="str">
        <f>'Revenues 9-14'!A48</f>
        <v>Summer Sch - Transp. Fees from Other Districts (In State)</v>
      </c>
      <c r="E20" s="868"/>
      <c r="F20" s="1868">
        <f>'Revenues 9-14'!F48</f>
        <v>0</v>
      </c>
      <c r="G20" s="865"/>
    </row>
    <row r="21" spans="1:7" x14ac:dyDescent="0.2">
      <c r="A21" s="869" t="s">
        <v>461</v>
      </c>
      <c r="B21" s="870" t="s">
        <v>1013</v>
      </c>
      <c r="C21" s="877">
        <f>'Revenues 9-14'!B49</f>
        <v>1423</v>
      </c>
      <c r="D21" s="876" t="str">
        <f>'Revenues 9-14'!A49</f>
        <v>Summer Sch - Transp. Fees from Other Sources (In State)</v>
      </c>
      <c r="E21" s="868"/>
      <c r="F21" s="1869">
        <f>'Revenues 9-14'!F49</f>
        <v>0</v>
      </c>
      <c r="G21" s="865"/>
    </row>
    <row r="22" spans="1:7" x14ac:dyDescent="0.2">
      <c r="A22" s="869" t="s">
        <v>461</v>
      </c>
      <c r="B22" s="870" t="s">
        <v>1014</v>
      </c>
      <c r="C22" s="877">
        <f>'Revenues 9-14'!B50</f>
        <v>1424</v>
      </c>
      <c r="D22" s="876" t="str">
        <f>'Revenues 9-14'!A50</f>
        <v>Summer Sch - Transp. Fees from Other Sources (Out of State)</v>
      </c>
      <c r="E22" s="868"/>
      <c r="F22" s="1869">
        <f>'Revenues 9-14'!F50</f>
        <v>0</v>
      </c>
      <c r="G22" s="865"/>
    </row>
    <row r="23" spans="1:7" x14ac:dyDescent="0.2">
      <c r="A23" s="869" t="s">
        <v>461</v>
      </c>
      <c r="B23" s="870" t="s">
        <v>1015</v>
      </c>
      <c r="C23" s="875">
        <f>'Revenues 9-14'!B52</f>
        <v>1432</v>
      </c>
      <c r="D23" s="876" t="str">
        <f>'Revenues 9-14'!A52</f>
        <v>CTE - Transp Fees from Other Districts (In State)</v>
      </c>
      <c r="E23" s="868"/>
      <c r="F23" s="1869">
        <f>'Revenues 9-14'!F52</f>
        <v>0</v>
      </c>
      <c r="G23" s="865"/>
    </row>
    <row r="24" spans="1:7" x14ac:dyDescent="0.2">
      <c r="A24" s="869" t="s">
        <v>461</v>
      </c>
      <c r="B24" s="870" t="s">
        <v>1016</v>
      </c>
      <c r="C24" s="875">
        <f>'Revenues 9-14'!B56</f>
        <v>1442</v>
      </c>
      <c r="D24" s="876" t="str">
        <f>'Revenues 9-14'!A56</f>
        <v>Special Ed - Transp Fees from Other Districts (In State)</v>
      </c>
      <c r="E24" s="868"/>
      <c r="F24" s="1869">
        <f>'Revenues 9-14'!F56</f>
        <v>0</v>
      </c>
      <c r="G24" s="865"/>
    </row>
    <row r="25" spans="1:7" x14ac:dyDescent="0.2">
      <c r="A25" s="869" t="s">
        <v>461</v>
      </c>
      <c r="B25" s="870" t="s">
        <v>1017</v>
      </c>
      <c r="C25" s="875">
        <f>'Revenues 9-14'!B59</f>
        <v>1451</v>
      </c>
      <c r="D25" s="876" t="str">
        <f>'Revenues 9-14'!A59</f>
        <v>Adult - Transp Fees from Pupils or Parents (In State)</v>
      </c>
      <c r="E25" s="868"/>
      <c r="F25" s="1869">
        <f>'Revenues 9-14'!F59</f>
        <v>0</v>
      </c>
      <c r="G25" s="865"/>
    </row>
    <row r="26" spans="1:7" x14ac:dyDescent="0.2">
      <c r="A26" s="869" t="s">
        <v>461</v>
      </c>
      <c r="B26" s="870" t="s">
        <v>1018</v>
      </c>
      <c r="C26" s="875">
        <f>'Revenues 9-14'!B60</f>
        <v>1452</v>
      </c>
      <c r="D26" s="876" t="str">
        <f>'Revenues 9-14'!A60</f>
        <v>Adult - Transp Fees from Other Districts (In State)</v>
      </c>
      <c r="E26" s="868"/>
      <c r="F26" s="1869">
        <f>'Revenues 9-14'!F60</f>
        <v>0</v>
      </c>
      <c r="G26" s="865"/>
    </row>
    <row r="27" spans="1:7" x14ac:dyDescent="0.2">
      <c r="A27" s="869" t="s">
        <v>461</v>
      </c>
      <c r="B27" s="870" t="s">
        <v>1019</v>
      </c>
      <c r="C27" s="875">
        <f>'Revenues 9-14'!B61</f>
        <v>1453</v>
      </c>
      <c r="D27" s="876" t="str">
        <f>'Revenues 9-14'!A61</f>
        <v>Adult - Transp Fees from Other Sources (In State)</v>
      </c>
      <c r="E27" s="868"/>
      <c r="F27" s="1869">
        <f>'Revenues 9-14'!F61</f>
        <v>0</v>
      </c>
      <c r="G27" s="865"/>
    </row>
    <row r="28" spans="1:7" x14ac:dyDescent="0.2">
      <c r="A28" s="869" t="s">
        <v>461</v>
      </c>
      <c r="B28" s="870" t="s">
        <v>1020</v>
      </c>
      <c r="C28" s="875">
        <f>'Revenues 9-14'!B62</f>
        <v>1454</v>
      </c>
      <c r="D28" s="876" t="str">
        <f>'Revenues 9-14'!A62</f>
        <v>Adult - Transp Fees from Other Sources (Out of State)</v>
      </c>
      <c r="E28" s="868"/>
      <c r="F28" s="1869">
        <f>'Revenues 9-14'!F62</f>
        <v>0</v>
      </c>
      <c r="G28" s="865"/>
    </row>
    <row r="29" spans="1:7" x14ac:dyDescent="0.2">
      <c r="A29" s="869" t="s">
        <v>1097</v>
      </c>
      <c r="B29" s="870" t="s">
        <v>810</v>
      </c>
      <c r="C29" s="880">
        <f>'Revenues 9-14'!B149</f>
        <v>3410</v>
      </c>
      <c r="D29" s="881" t="str">
        <f>'Revenues 9-14'!A149</f>
        <v>Adult Ed (from ICCB)</v>
      </c>
      <c r="E29" s="868"/>
      <c r="F29" s="1869">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870">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869">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869">
        <f>SUM('Revenues 9-14'!D212,'Revenues 9-14'!F212)</f>
        <v>0</v>
      </c>
      <c r="G32" s="865"/>
    </row>
    <row r="33" spans="1:7" x14ac:dyDescent="0.2">
      <c r="A33" s="869" t="s">
        <v>460</v>
      </c>
      <c r="B33" s="870" t="s">
        <v>1997</v>
      </c>
      <c r="C33" s="875">
        <f>'Revenues 9-14'!B222</f>
        <v>4810</v>
      </c>
      <c r="D33" s="883" t="str">
        <f>'Revenues 9-14'!A222</f>
        <v>Federal - Adult Education</v>
      </c>
      <c r="E33" s="868"/>
      <c r="F33" s="1869">
        <f>'Revenues 9-14'!D222</f>
        <v>0</v>
      </c>
      <c r="G33" s="865"/>
    </row>
    <row r="34" spans="1:7" x14ac:dyDescent="0.2">
      <c r="A34" s="869" t="s">
        <v>459</v>
      </c>
      <c r="B34" s="869" t="s">
        <v>1469</v>
      </c>
      <c r="C34" s="886" t="str">
        <f>'Expenditures 15-22'!B7</f>
        <v>1125</v>
      </c>
      <c r="D34" s="887" t="str">
        <f>'Expenditures 15-22'!A7</f>
        <v>Pre-K Programs</v>
      </c>
      <c r="E34" s="868"/>
      <c r="F34" s="1869">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6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6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6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6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69">
        <f>'Expenditures 15-22'!K20</f>
        <v>0</v>
      </c>
      <c r="G39" s="865"/>
    </row>
    <row r="40" spans="1:7" x14ac:dyDescent="0.2">
      <c r="A40" s="869" t="s">
        <v>459</v>
      </c>
      <c r="B40" s="869" t="s">
        <v>118</v>
      </c>
      <c r="C40" s="886" t="str">
        <f>'Expenditures 15-22'!B21</f>
        <v>1911</v>
      </c>
      <c r="D40" s="888" t="str">
        <f>'Expenditures 15-22'!A21</f>
        <v>Regular K-12 Programs - Private Tuition</v>
      </c>
      <c r="E40" s="868"/>
      <c r="F40" s="186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6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6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6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6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69">
        <f>'Expenditures 15-22'!K26</f>
        <v>0</v>
      </c>
      <c r="G45" s="865"/>
    </row>
    <row r="46" spans="1:7" x14ac:dyDescent="0.2">
      <c r="A46" s="869" t="s">
        <v>459</v>
      </c>
      <c r="B46" s="869" t="s">
        <v>124</v>
      </c>
      <c r="C46" s="886" t="str">
        <f>'Expenditures 15-22'!B27</f>
        <v>1917</v>
      </c>
      <c r="D46" s="888" t="str">
        <f>'Expenditures 15-22'!A27</f>
        <v>CTE Programs - Private Tuition</v>
      </c>
      <c r="E46" s="868"/>
      <c r="F46" s="186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6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69">
        <f>'Expenditures 15-22'!K29</f>
        <v>0</v>
      </c>
      <c r="G48" s="865"/>
    </row>
    <row r="49" spans="1:7" x14ac:dyDescent="0.2">
      <c r="A49" s="869" t="s">
        <v>459</v>
      </c>
      <c r="B49" s="869" t="s">
        <v>127</v>
      </c>
      <c r="C49" s="886" t="str">
        <f>'Expenditures 15-22'!B30</f>
        <v>1920</v>
      </c>
      <c r="D49" s="888" t="str">
        <f>'Expenditures 15-22'!A30</f>
        <v>Gifted Programs - Private Tuition</v>
      </c>
      <c r="E49" s="868"/>
      <c r="F49" s="1869">
        <f>'Expenditures 15-22'!K30</f>
        <v>0</v>
      </c>
      <c r="G49" s="865"/>
    </row>
    <row r="50" spans="1:7" x14ac:dyDescent="0.2">
      <c r="A50" s="869" t="s">
        <v>459</v>
      </c>
      <c r="B50" s="869" t="s">
        <v>128</v>
      </c>
      <c r="C50" s="886" t="str">
        <f>'Expenditures 15-22'!B31</f>
        <v>1921</v>
      </c>
      <c r="D50" s="888" t="str">
        <f>'Expenditures 15-22'!A31</f>
        <v>Bilingual Programs - Private Tuition</v>
      </c>
      <c r="E50" s="868"/>
      <c r="F50" s="186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69">
        <f>'Expenditures 15-22'!K32</f>
        <v>0</v>
      </c>
      <c r="G51" s="865"/>
    </row>
    <row r="52" spans="1:7" x14ac:dyDescent="0.2">
      <c r="A52" s="869" t="s">
        <v>459</v>
      </c>
      <c r="B52" s="869" t="s">
        <v>1474</v>
      </c>
      <c r="C52" s="889" t="str">
        <f>'Expenditures 15-22'!B75</f>
        <v>3000</v>
      </c>
      <c r="D52" s="888" t="s">
        <v>449</v>
      </c>
      <c r="E52" s="868"/>
      <c r="F52" s="1869">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869">
        <f>'Expenditures 15-22'!K102</f>
        <v>3324862</v>
      </c>
      <c r="G53" s="865"/>
    </row>
    <row r="54" spans="1:7" x14ac:dyDescent="0.2">
      <c r="A54" s="869" t="s">
        <v>459</v>
      </c>
      <c r="B54" s="869" t="s">
        <v>1476</v>
      </c>
      <c r="C54" s="889" t="s">
        <v>982</v>
      </c>
      <c r="D54" s="885" t="s">
        <v>1095</v>
      </c>
      <c r="E54" s="868"/>
      <c r="F54" s="1869">
        <f>'Expenditures 15-22'!G114</f>
        <v>264075</v>
      </c>
      <c r="G54" s="865"/>
    </row>
    <row r="55" spans="1:7" x14ac:dyDescent="0.2">
      <c r="A55" s="869" t="s">
        <v>459</v>
      </c>
      <c r="B55" s="869" t="s">
        <v>1477</v>
      </c>
      <c r="C55" s="889" t="s">
        <v>982</v>
      </c>
      <c r="D55" s="885" t="s">
        <v>291</v>
      </c>
      <c r="E55" s="868"/>
      <c r="F55" s="1869">
        <f>'Expenditures 15-22'!I114</f>
        <v>0</v>
      </c>
      <c r="G55" s="865"/>
    </row>
    <row r="56" spans="1:7" x14ac:dyDescent="0.2">
      <c r="A56" s="869" t="s">
        <v>460</v>
      </c>
      <c r="B56" s="869" t="s">
        <v>1478</v>
      </c>
      <c r="C56" s="886" t="str">
        <f>'Expenditures 15-22'!B130</f>
        <v>3000</v>
      </c>
      <c r="D56" s="892" t="s">
        <v>449</v>
      </c>
      <c r="E56" s="868"/>
      <c r="F56" s="1869">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869">
        <f>'Expenditures 15-22'!K139</f>
        <v>0</v>
      </c>
      <c r="G57" s="865"/>
    </row>
    <row r="58" spans="1:7" x14ac:dyDescent="0.2">
      <c r="A58" s="869" t="s">
        <v>460</v>
      </c>
      <c r="B58" s="869" t="s">
        <v>1879</v>
      </c>
      <c r="C58" s="886" t="s">
        <v>982</v>
      </c>
      <c r="D58" s="885" t="s">
        <v>1095</v>
      </c>
      <c r="E58" s="868"/>
      <c r="F58" s="1871">
        <f>'Expenditures 15-22'!G151</f>
        <v>0</v>
      </c>
      <c r="G58" s="865"/>
    </row>
    <row r="59" spans="1:7" x14ac:dyDescent="0.2">
      <c r="A59" s="893" t="s">
        <v>460</v>
      </c>
      <c r="B59" s="856" t="s">
        <v>1880</v>
      </c>
      <c r="C59" s="894" t="s">
        <v>982</v>
      </c>
      <c r="D59" s="856" t="s">
        <v>291</v>
      </c>
      <c r="F59" s="1872">
        <f>'Expenditures 15-22'!I151</f>
        <v>0</v>
      </c>
      <c r="G59" s="865"/>
    </row>
    <row r="60" spans="1:7" x14ac:dyDescent="0.2">
      <c r="A60" s="893" t="s">
        <v>499</v>
      </c>
      <c r="B60" s="856" t="s">
        <v>1881</v>
      </c>
      <c r="C60" s="894">
        <v>4000</v>
      </c>
      <c r="D60" s="856" t="s">
        <v>312</v>
      </c>
      <c r="F60" s="1870">
        <f>'Expenditures 15-22'!K160</f>
        <v>0</v>
      </c>
      <c r="G60" s="865"/>
    </row>
    <row r="61" spans="1:7" x14ac:dyDescent="0.2">
      <c r="A61" s="895" t="s">
        <v>499</v>
      </c>
      <c r="B61" s="895" t="s">
        <v>1882</v>
      </c>
      <c r="C61" s="896" t="str">
        <f>'Expenditures 15-22'!B170</f>
        <v>5300</v>
      </c>
      <c r="D61" s="897" t="s">
        <v>311</v>
      </c>
      <c r="E61" s="879"/>
      <c r="F61" s="1869">
        <f>'Expenditures 15-22'!K170</f>
        <v>455000</v>
      </c>
      <c r="G61" s="865"/>
    </row>
    <row r="62" spans="1:7" x14ac:dyDescent="0.2">
      <c r="A62" s="869" t="s">
        <v>461</v>
      </c>
      <c r="B62" s="869" t="s">
        <v>1883</v>
      </c>
      <c r="C62" s="886">
        <f>'Expenditures 15-22'!B185</f>
        <v>3000</v>
      </c>
      <c r="D62" s="876" t="s">
        <v>449</v>
      </c>
      <c r="E62" s="868"/>
      <c r="F62" s="1869">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869">
        <f>'Expenditures 15-22'!K196</f>
        <v>0</v>
      </c>
      <c r="G63" s="865"/>
    </row>
    <row r="64" spans="1:7" x14ac:dyDescent="0.2">
      <c r="A64" s="895" t="s">
        <v>461</v>
      </c>
      <c r="B64" s="895" t="s">
        <v>1885</v>
      </c>
      <c r="C64" s="896" t="str">
        <f>'Expenditures 15-22'!B206</f>
        <v>5300</v>
      </c>
      <c r="D64" s="892" t="s">
        <v>311</v>
      </c>
      <c r="E64" s="868"/>
      <c r="F64" s="1869">
        <f>'Expenditures 15-22'!K206</f>
        <v>0</v>
      </c>
      <c r="G64" s="865"/>
    </row>
    <row r="65" spans="1:8" x14ac:dyDescent="0.2">
      <c r="A65" s="869" t="s">
        <v>461</v>
      </c>
      <c r="B65" s="869" t="s">
        <v>1886</v>
      </c>
      <c r="C65" s="886" t="s">
        <v>982</v>
      </c>
      <c r="D65" s="885" t="s">
        <v>1095</v>
      </c>
      <c r="E65" s="868"/>
      <c r="F65" s="1869">
        <f>'Expenditures 15-22'!G210</f>
        <v>0</v>
      </c>
      <c r="G65" s="865"/>
    </row>
    <row r="66" spans="1:8" x14ac:dyDescent="0.2">
      <c r="A66" s="869" t="s">
        <v>461</v>
      </c>
      <c r="B66" s="869" t="s">
        <v>1887</v>
      </c>
      <c r="C66" s="886" t="s">
        <v>982</v>
      </c>
      <c r="D66" s="885" t="s">
        <v>291</v>
      </c>
      <c r="E66" s="868"/>
      <c r="F66" s="1869">
        <f>'Expenditures 15-22'!I210</f>
        <v>0</v>
      </c>
      <c r="G66" s="865"/>
    </row>
    <row r="67" spans="1:8" x14ac:dyDescent="0.2">
      <c r="A67" s="869" t="s">
        <v>462</v>
      </c>
      <c r="B67" s="869" t="s">
        <v>1888</v>
      </c>
      <c r="C67" s="886" t="str">
        <f>'Expenditures 15-22'!B216</f>
        <v>1125</v>
      </c>
      <c r="D67" s="892" t="str">
        <f>'Expenditures 15-22'!A216</f>
        <v>Pre-K Programs</v>
      </c>
      <c r="E67" s="868"/>
      <c r="F67" s="1869">
        <f>'Expenditures 15-22'!K216</f>
        <v>0</v>
      </c>
      <c r="G67" s="865"/>
    </row>
    <row r="68" spans="1:8" x14ac:dyDescent="0.2">
      <c r="A68" s="869" t="s">
        <v>462</v>
      </c>
      <c r="B68" s="869" t="s">
        <v>1479</v>
      </c>
      <c r="C68" s="886" t="str">
        <f>'Expenditures 15-22'!B218</f>
        <v>1225</v>
      </c>
      <c r="D68" s="892" t="str">
        <f>'Expenditures 15-22'!A218</f>
        <v>Special Education Programs - Pre-K</v>
      </c>
      <c r="E68" s="868"/>
      <c r="F68" s="1869">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869">
        <f>'Expenditures 15-22'!K220</f>
        <v>0</v>
      </c>
      <c r="G69" s="865"/>
    </row>
    <row r="70" spans="1:8" x14ac:dyDescent="0.2">
      <c r="A70" s="869" t="s">
        <v>462</v>
      </c>
      <c r="B70" s="869" t="s">
        <v>1890</v>
      </c>
      <c r="C70" s="886">
        <f>'Expenditures 15-22'!B221</f>
        <v>1300</v>
      </c>
      <c r="D70" s="887" t="str">
        <f>'Expenditures 15-22'!A221</f>
        <v>Adult/Continuing Education Programs</v>
      </c>
      <c r="E70" s="868"/>
      <c r="F70" s="1869">
        <f>'Expenditures 15-22'!K221</f>
        <v>0</v>
      </c>
      <c r="G70" s="865"/>
    </row>
    <row r="71" spans="1:8" x14ac:dyDescent="0.2">
      <c r="A71" s="869" t="s">
        <v>462</v>
      </c>
      <c r="B71" s="869" t="s">
        <v>1891</v>
      </c>
      <c r="C71" s="886">
        <f>'Expenditures 15-22'!B224</f>
        <v>1600</v>
      </c>
      <c r="D71" s="887" t="str">
        <f>'Expenditures 15-22'!A224</f>
        <v>Summer School Programs</v>
      </c>
      <c r="E71" s="868"/>
      <c r="F71" s="1869">
        <f>'Expenditures 15-22'!K224</f>
        <v>0</v>
      </c>
      <c r="G71" s="865"/>
    </row>
    <row r="72" spans="1:8" x14ac:dyDescent="0.2">
      <c r="A72" s="869" t="s">
        <v>462</v>
      </c>
      <c r="B72" s="869" t="s">
        <v>1892</v>
      </c>
      <c r="C72" s="886">
        <f>'Expenditures 15-22'!B280</f>
        <v>3000</v>
      </c>
      <c r="D72" s="876" t="s">
        <v>449</v>
      </c>
      <c r="E72" s="868"/>
      <c r="F72" s="1869">
        <f>'Expenditures 15-22'!K280</f>
        <v>0</v>
      </c>
      <c r="G72" s="865"/>
    </row>
    <row r="73" spans="1:8" x14ac:dyDescent="0.2">
      <c r="A73" s="869" t="s">
        <v>462</v>
      </c>
      <c r="B73" s="869" t="s">
        <v>1893</v>
      </c>
      <c r="C73" s="886" t="str">
        <f>'Expenditures 15-22'!B285</f>
        <v>4000</v>
      </c>
      <c r="D73" s="887" t="str">
        <f>'Expenditures 15-22'!A285</f>
        <v>Total Payments to Other Govt Units</v>
      </c>
      <c r="E73" s="868"/>
      <c r="F73" s="1869">
        <f>'Expenditures 15-22'!K285</f>
        <v>0</v>
      </c>
      <c r="G73" s="865"/>
    </row>
    <row r="74" spans="1:8" x14ac:dyDescent="0.2">
      <c r="A74" s="869" t="s">
        <v>436</v>
      </c>
      <c r="B74" s="869" t="s">
        <v>1894</v>
      </c>
      <c r="C74" s="886" t="s">
        <v>860</v>
      </c>
      <c r="D74" s="887" t="s">
        <v>1487</v>
      </c>
      <c r="E74" s="868"/>
      <c r="F74" s="1873">
        <f>'Expenditures 15-22'!K334</f>
        <v>0</v>
      </c>
      <c r="G74" s="865"/>
    </row>
    <row r="75" spans="1:8" ht="5.25" customHeight="1" x14ac:dyDescent="0.2">
      <c r="A75" s="865"/>
      <c r="B75" s="875"/>
      <c r="C75" s="875"/>
      <c r="D75" s="865"/>
      <c r="E75" s="868"/>
      <c r="F75" s="882"/>
      <c r="G75" s="867"/>
    </row>
    <row r="76" spans="1:8" ht="12" thickBot="1" x14ac:dyDescent="0.25">
      <c r="A76" s="1736"/>
      <c r="B76" s="1742"/>
      <c r="C76" s="1738"/>
      <c r="D76" s="1743" t="s">
        <v>1895</v>
      </c>
      <c r="E76" s="1740" t="s">
        <v>958</v>
      </c>
      <c r="F76" s="1744">
        <f>SUM(F18:F74)</f>
        <v>4043937</v>
      </c>
      <c r="G76" s="865"/>
    </row>
    <row r="77" spans="1:8" s="893" customFormat="1" ht="12" customHeight="1" thickTop="1" thickBot="1" x14ac:dyDescent="0.25">
      <c r="A77" s="1745"/>
      <c r="B77" s="1742"/>
      <c r="C77" s="1738"/>
      <c r="D77" s="1743" t="s">
        <v>1896</v>
      </c>
      <c r="E77" s="1740"/>
      <c r="F77" s="1746">
        <f>(F14-F76)</f>
        <v>12418197</v>
      </c>
      <c r="G77" s="869"/>
    </row>
    <row r="78" spans="1:8" s="893" customFormat="1" ht="12" customHeight="1" thickTop="1" x14ac:dyDescent="0.2">
      <c r="A78" s="1747"/>
      <c r="B78" s="1742"/>
      <c r="C78" s="1738"/>
      <c r="D78" s="1743" t="s">
        <v>2057</v>
      </c>
      <c r="E78" s="1740"/>
      <c r="F78" s="898">
        <v>0</v>
      </c>
      <c r="G78" s="899"/>
      <c r="H78" s="869"/>
    </row>
    <row r="79" spans="1:8" s="893" customFormat="1" ht="12" customHeight="1" thickBot="1" x14ac:dyDescent="0.25">
      <c r="A79" s="1748"/>
      <c r="B79" s="1742"/>
      <c r="C79" s="1738"/>
      <c r="D79" s="1743" t="s">
        <v>1897</v>
      </c>
      <c r="E79" s="1740" t="s">
        <v>958</v>
      </c>
      <c r="F79" s="1749"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98" t="s">
        <v>1105</v>
      </c>
      <c r="B81" s="2299"/>
      <c r="C81" s="2299"/>
      <c r="D81" s="2299"/>
      <c r="E81" s="2299"/>
      <c r="F81" s="230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3">
        <f>'Revenues 9-14'!F42</f>
        <v>0</v>
      </c>
      <c r="G84" s="912"/>
    </row>
    <row r="85" spans="1:7" x14ac:dyDescent="0.2">
      <c r="A85" s="908" t="s">
        <v>461</v>
      </c>
      <c r="B85" s="908" t="s">
        <v>183</v>
      </c>
      <c r="C85" s="913">
        <f>'Revenues 9-14'!B44</f>
        <v>1413</v>
      </c>
      <c r="D85" s="911" t="str">
        <f>'Revenues 9-14'!A44</f>
        <v>Regular - Transp Fees from Other Sources (In State)</v>
      </c>
      <c r="E85" s="906"/>
      <c r="F85" s="175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55">
        <f>'Revenues 9-14'!F45</f>
        <v>0</v>
      </c>
      <c r="G86" s="914"/>
    </row>
    <row r="87" spans="1:7" x14ac:dyDescent="0.2">
      <c r="A87" s="908" t="s">
        <v>461</v>
      </c>
      <c r="B87" s="908" t="s">
        <v>167</v>
      </c>
      <c r="C87" s="910">
        <v>1416</v>
      </c>
      <c r="D87" s="911" t="str">
        <f>'Revenues 9-14'!A46</f>
        <v>Regular Transp Fees from Other Sources (Out of State)</v>
      </c>
      <c r="E87" s="906"/>
      <c r="F87" s="1755">
        <f>'Revenues 9-14'!F46</f>
        <v>0</v>
      </c>
      <c r="G87" s="914"/>
    </row>
    <row r="88" spans="1:7" x14ac:dyDescent="0.2">
      <c r="A88" s="908" t="s">
        <v>461</v>
      </c>
      <c r="B88" s="908" t="s">
        <v>168</v>
      </c>
      <c r="C88" s="910">
        <f>'Revenues 9-14'!B51</f>
        <v>1431</v>
      </c>
      <c r="D88" s="911" t="str">
        <f>'Revenues 9-14'!A51</f>
        <v>CTE - Transp Fees from Pupils or Parents (In State)</v>
      </c>
      <c r="E88" s="906"/>
      <c r="F88" s="1755">
        <f>'Revenues 9-14'!F51</f>
        <v>0</v>
      </c>
      <c r="G88" s="914"/>
    </row>
    <row r="89" spans="1:7" x14ac:dyDescent="0.2">
      <c r="A89" s="908" t="s">
        <v>461</v>
      </c>
      <c r="B89" s="908" t="s">
        <v>169</v>
      </c>
      <c r="C89" s="910">
        <f>'Revenues 9-14'!B53</f>
        <v>1433</v>
      </c>
      <c r="D89" s="911" t="str">
        <f>'Revenues 9-14'!A53</f>
        <v>CTE - Transp Fees from Other Sources (In State)</v>
      </c>
      <c r="E89" s="906"/>
      <c r="F89" s="1755">
        <f>'Revenues 9-14'!F53</f>
        <v>0</v>
      </c>
      <c r="G89" s="914"/>
    </row>
    <row r="90" spans="1:7" x14ac:dyDescent="0.2">
      <c r="A90" s="908" t="s">
        <v>461</v>
      </c>
      <c r="B90" s="908" t="s">
        <v>170</v>
      </c>
      <c r="C90" s="910">
        <f>'Revenues 9-14'!B54</f>
        <v>1434</v>
      </c>
      <c r="D90" s="911" t="str">
        <f>'Revenues 9-14'!A54</f>
        <v>CTE - Transp Fees from Other Sources (Out of State)</v>
      </c>
      <c r="E90" s="906"/>
      <c r="F90" s="1755">
        <f>'Revenues 9-14'!F54</f>
        <v>0</v>
      </c>
      <c r="G90" s="914"/>
    </row>
    <row r="91" spans="1:7" x14ac:dyDescent="0.2">
      <c r="A91" s="908" t="s">
        <v>461</v>
      </c>
      <c r="B91" s="908" t="s">
        <v>171</v>
      </c>
      <c r="C91" s="915">
        <f>'Revenues 9-14'!B55</f>
        <v>1441</v>
      </c>
      <c r="D91" s="911" t="str">
        <f>'Revenues 9-14'!A55</f>
        <v>Special Ed - Transp Fees from Pupils or Parents (In State)</v>
      </c>
      <c r="E91" s="906"/>
      <c r="F91" s="1755">
        <f>'Revenues 9-14'!F55</f>
        <v>0</v>
      </c>
      <c r="G91" s="914"/>
    </row>
    <row r="92" spans="1:7" x14ac:dyDescent="0.2">
      <c r="A92" s="908" t="s">
        <v>461</v>
      </c>
      <c r="B92" s="908" t="s">
        <v>172</v>
      </c>
      <c r="C92" s="910">
        <f>'Revenues 9-14'!B57</f>
        <v>1443</v>
      </c>
      <c r="D92" s="911" t="str">
        <f>'Revenues 9-14'!A57</f>
        <v>Special Ed - Transp Fees from Other Sources (In State)</v>
      </c>
      <c r="E92" s="906"/>
      <c r="F92" s="1755">
        <f>'Revenues 9-14'!F57</f>
        <v>0</v>
      </c>
      <c r="G92" s="916"/>
    </row>
    <row r="93" spans="1:7" x14ac:dyDescent="0.2">
      <c r="A93" s="908" t="s">
        <v>461</v>
      </c>
      <c r="B93" s="908" t="s">
        <v>173</v>
      </c>
      <c r="C93" s="910">
        <f>'Revenues 9-14'!B58</f>
        <v>1444</v>
      </c>
      <c r="D93" s="911" t="str">
        <f>'Revenues 9-14'!A58</f>
        <v>Special Ed - Transp Fees from Other Sources (Out of State)</v>
      </c>
      <c r="E93" s="906"/>
      <c r="F93" s="1755">
        <f>'Revenues 9-14'!F58</f>
        <v>0</v>
      </c>
      <c r="G93" s="916"/>
    </row>
    <row r="94" spans="1:7" x14ac:dyDescent="0.2">
      <c r="A94" s="908" t="s">
        <v>459</v>
      </c>
      <c r="B94" s="908" t="s">
        <v>174</v>
      </c>
      <c r="C94" s="910">
        <v>1600</v>
      </c>
      <c r="D94" s="917" t="str">
        <f>'Revenues 9-14'!A75</f>
        <v>Total Food Service</v>
      </c>
      <c r="E94" s="906"/>
      <c r="F94" s="1755">
        <f>'Revenues 9-14'!C75</f>
        <v>0</v>
      </c>
      <c r="G94" s="912"/>
    </row>
    <row r="95" spans="1:7" x14ac:dyDescent="0.2">
      <c r="A95" s="908" t="s">
        <v>140</v>
      </c>
      <c r="B95" s="908" t="s">
        <v>175</v>
      </c>
      <c r="C95" s="910">
        <v>1700</v>
      </c>
      <c r="D95" s="918" t="str">
        <f>'Revenues 9-14'!A82</f>
        <v>Total District/School Activity Income</v>
      </c>
      <c r="E95" s="906"/>
      <c r="F95" s="1755">
        <f>SUM('Revenues 9-14'!C82,'Revenues 9-14'!D82)</f>
        <v>0</v>
      </c>
      <c r="G95" s="912"/>
    </row>
    <row r="96" spans="1:7" x14ac:dyDescent="0.2">
      <c r="A96" s="908" t="s">
        <v>459</v>
      </c>
      <c r="B96" s="908" t="s">
        <v>176</v>
      </c>
      <c r="C96" s="910">
        <f>'Revenues 9-14'!B84</f>
        <v>1811</v>
      </c>
      <c r="D96" s="911" t="str">
        <f>'Revenues 9-14'!A84</f>
        <v>Rentals - Regular Textbooks</v>
      </c>
      <c r="E96" s="906"/>
      <c r="F96" s="1755">
        <f>'Revenues 9-14'!C84</f>
        <v>0</v>
      </c>
      <c r="G96" s="912"/>
    </row>
    <row r="97" spans="1:7" x14ac:dyDescent="0.2">
      <c r="A97" s="908" t="s">
        <v>459</v>
      </c>
      <c r="B97" s="908" t="s">
        <v>177</v>
      </c>
      <c r="C97" s="910">
        <f>'Revenues 9-14'!B87</f>
        <v>1819</v>
      </c>
      <c r="D97" s="911" t="str">
        <f>'Revenues 9-14'!A87</f>
        <v>Rentals - Other (Describe &amp; Itemize)</v>
      </c>
      <c r="E97" s="906"/>
      <c r="F97" s="1755">
        <f>'Revenues 9-14'!C87</f>
        <v>0</v>
      </c>
      <c r="G97" s="912"/>
    </row>
    <row r="98" spans="1:7" x14ac:dyDescent="0.2">
      <c r="A98" s="908" t="s">
        <v>459</v>
      </c>
      <c r="B98" s="908" t="s">
        <v>178</v>
      </c>
      <c r="C98" s="910">
        <f>'Revenues 9-14'!B88</f>
        <v>1821</v>
      </c>
      <c r="D98" s="911" t="str">
        <f>'Revenues 9-14'!A88</f>
        <v>Sales - Regular Textbooks</v>
      </c>
      <c r="E98" s="906"/>
      <c r="F98" s="1755">
        <f>'Revenues 9-14'!C88</f>
        <v>0</v>
      </c>
      <c r="G98" s="912"/>
    </row>
    <row r="99" spans="1:7" x14ac:dyDescent="0.2">
      <c r="A99" s="908" t="s">
        <v>459</v>
      </c>
      <c r="B99" s="908" t="s">
        <v>179</v>
      </c>
      <c r="C99" s="910">
        <f>'Revenues 9-14'!B91</f>
        <v>1829</v>
      </c>
      <c r="D99" s="911" t="str">
        <f>'Revenues 9-14'!A91</f>
        <v>Sales - Other (Describe &amp; Itemize)</v>
      </c>
      <c r="E99" s="906"/>
      <c r="F99" s="1755">
        <f>'Revenues 9-14'!C91</f>
        <v>0</v>
      </c>
      <c r="G99" s="912"/>
    </row>
    <row r="100" spans="1:7" x14ac:dyDescent="0.2">
      <c r="A100" s="908" t="s">
        <v>459</v>
      </c>
      <c r="B100" s="908" t="s">
        <v>180</v>
      </c>
      <c r="C100" s="910">
        <f>'Revenues 9-14'!B92</f>
        <v>1890</v>
      </c>
      <c r="D100" s="911" t="str">
        <f>'Revenues 9-14'!A92</f>
        <v>Other (Describe &amp; Itemize)</v>
      </c>
      <c r="E100" s="906"/>
      <c r="F100" s="1755">
        <f>'Revenues 9-14'!C92</f>
        <v>0</v>
      </c>
      <c r="G100" s="912"/>
    </row>
    <row r="101" spans="1:7" x14ac:dyDescent="0.2">
      <c r="A101" s="908" t="s">
        <v>140</v>
      </c>
      <c r="B101" s="908" t="s">
        <v>181</v>
      </c>
      <c r="C101" s="910">
        <f>'Revenues 9-14'!B95</f>
        <v>1910</v>
      </c>
      <c r="D101" s="911" t="str">
        <f>'Revenues 9-14'!A95</f>
        <v>Rentals</v>
      </c>
      <c r="E101" s="906"/>
      <c r="F101" s="1755">
        <f>SUM('Revenues 9-14'!C95:D95)</f>
        <v>0</v>
      </c>
      <c r="G101" s="912"/>
    </row>
    <row r="102" spans="1:7" x14ac:dyDescent="0.2">
      <c r="A102" s="908" t="s">
        <v>503</v>
      </c>
      <c r="B102" s="908" t="s">
        <v>182</v>
      </c>
      <c r="C102" s="910">
        <f>'Revenues 9-14'!B98</f>
        <v>1940</v>
      </c>
      <c r="D102" s="911" t="str">
        <f>'Revenues 9-14'!A98</f>
        <v>Services Provided Other Districts</v>
      </c>
      <c r="E102" s="906"/>
      <c r="F102" s="1755">
        <f>SUM('Revenues 9-14'!C98,'Revenues 9-14'!D98,'Revenues 9-14'!F98)</f>
        <v>503044</v>
      </c>
      <c r="G102" s="912"/>
    </row>
    <row r="103" spans="1:7" x14ac:dyDescent="0.2">
      <c r="A103" s="908" t="s">
        <v>1009</v>
      </c>
      <c r="B103" s="908" t="s">
        <v>801</v>
      </c>
      <c r="C103" s="910">
        <f>'Revenues 9-14'!B104</f>
        <v>1991</v>
      </c>
      <c r="D103" s="919" t="str">
        <f>'Revenues 9-14'!A104</f>
        <v>Payment from Other Districts</v>
      </c>
      <c r="E103" s="906"/>
      <c r="F103" s="1755">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55">
        <f>('Revenues 9-14'!C106)</f>
        <v>0</v>
      </c>
      <c r="G104" s="912"/>
    </row>
    <row r="105" spans="1:7" x14ac:dyDescent="0.2">
      <c r="A105" s="908" t="s">
        <v>503</v>
      </c>
      <c r="B105" s="908" t="s">
        <v>1998</v>
      </c>
      <c r="C105" s="913">
        <v>3100</v>
      </c>
      <c r="D105" s="919" t="str">
        <f>'Revenues 9-14'!A132</f>
        <v>Total Special Education</v>
      </c>
      <c r="E105" s="906"/>
      <c r="F105" s="1755">
        <f>SUM('Revenues 9-14'!C132:D132,'Revenues 9-14'!F132)</f>
        <v>0</v>
      </c>
      <c r="G105" s="912"/>
    </row>
    <row r="106" spans="1:7" x14ac:dyDescent="0.2">
      <c r="A106" s="908" t="s">
        <v>673</v>
      </c>
      <c r="B106" s="908" t="s">
        <v>1999</v>
      </c>
      <c r="C106" s="920">
        <v>3200</v>
      </c>
      <c r="D106" s="911" t="str">
        <f>'Revenues 9-14'!A141</f>
        <v>Total Career and Technical Education</v>
      </c>
      <c r="E106" s="906"/>
      <c r="F106" s="1755">
        <f>SUM('Revenues 9-14'!C141,'Revenues 9-14'!D141,'Revenues 9-14'!G141)</f>
        <v>0</v>
      </c>
      <c r="G106" s="912"/>
    </row>
    <row r="107" spans="1:7" x14ac:dyDescent="0.2">
      <c r="A107" s="921" t="s">
        <v>664</v>
      </c>
      <c r="B107" s="908" t="s">
        <v>2000</v>
      </c>
      <c r="C107" s="920">
        <v>3300</v>
      </c>
      <c r="D107" s="911" t="str">
        <f>'Revenues 9-14'!A145</f>
        <v>Total Bilingual Ed</v>
      </c>
      <c r="E107" s="906"/>
      <c r="F107" s="1755">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55">
        <f>'Revenues 9-14'!C146</f>
        <v>4189</v>
      </c>
      <c r="G108" s="912"/>
    </row>
    <row r="109" spans="1:7" x14ac:dyDescent="0.2">
      <c r="A109" s="908" t="s">
        <v>673</v>
      </c>
      <c r="B109" s="908" t="s">
        <v>2002</v>
      </c>
      <c r="C109" s="920">
        <f>'Revenues 9-14'!B147</f>
        <v>3365</v>
      </c>
      <c r="D109" s="911" t="str">
        <f>'Revenues 9-14'!A147</f>
        <v>School Breakfast Initiative</v>
      </c>
      <c r="E109" s="906"/>
      <c r="F109" s="1755">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55">
        <f>SUM('Revenues 9-14'!C148,'Revenues 9-14'!D148)</f>
        <v>0</v>
      </c>
      <c r="G110" s="912"/>
    </row>
    <row r="111" spans="1:7" x14ac:dyDescent="0.2">
      <c r="A111" s="908" t="s">
        <v>668</v>
      </c>
      <c r="B111" s="908" t="s">
        <v>2004</v>
      </c>
      <c r="C111" s="922">
        <v>3500</v>
      </c>
      <c r="D111" s="911" t="str">
        <f>'Revenues 9-14'!A155</f>
        <v>Total Transportation</v>
      </c>
      <c r="E111" s="906"/>
      <c r="F111" s="1755">
        <f>SUM('Revenues 9-14'!C155,'Revenues 9-14'!D155,'Revenues 9-14'!F155,'Revenues 9-14'!G155)</f>
        <v>16018</v>
      </c>
      <c r="G111" s="912"/>
    </row>
    <row r="112" spans="1:7" x14ac:dyDescent="0.2">
      <c r="A112" s="908" t="s">
        <v>459</v>
      </c>
      <c r="B112" s="908" t="s">
        <v>2005</v>
      </c>
      <c r="C112" s="920">
        <f>'Revenues 9-14'!B156</f>
        <v>3610</v>
      </c>
      <c r="D112" s="911" t="str">
        <f>'Revenues 9-14'!A156</f>
        <v>Learning Improvement - Change Grants</v>
      </c>
      <c r="E112" s="906"/>
      <c r="F112" s="1755">
        <f>'Revenues 9-14'!C156</f>
        <v>0</v>
      </c>
      <c r="G112" s="912"/>
    </row>
    <row r="113" spans="1:7" x14ac:dyDescent="0.2">
      <c r="A113" s="908" t="s">
        <v>668</v>
      </c>
      <c r="B113" s="908" t="s">
        <v>2006</v>
      </c>
      <c r="C113" s="920">
        <f>'Revenues 9-14'!B157</f>
        <v>3660</v>
      </c>
      <c r="D113" s="911" t="str">
        <f>'Revenues 9-14'!A157</f>
        <v>Scientific Literacy</v>
      </c>
      <c r="E113" s="906"/>
      <c r="F113" s="1755">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55">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55">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55">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63">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63">
        <f>SUM('Revenues 9-14'!C163:G163)</f>
        <v>0</v>
      </c>
      <c r="G118" s="912"/>
    </row>
    <row r="119" spans="1:7" x14ac:dyDescent="0.2">
      <c r="A119" s="923" t="s">
        <v>504</v>
      </c>
      <c r="B119" s="923" t="s">
        <v>2012</v>
      </c>
      <c r="C119" s="924">
        <f>'Revenues 9-14'!B164</f>
        <v>3815</v>
      </c>
      <c r="D119" s="925" t="str">
        <f>'Revenues 9-14'!A164</f>
        <v>State Charter Schools</v>
      </c>
      <c r="E119" s="906"/>
      <c r="F119" s="1863">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55">
        <f>'Revenues 9-14'!D167</f>
        <v>0</v>
      </c>
      <c r="G120" s="930"/>
    </row>
    <row r="121" spans="1:7" x14ac:dyDescent="0.2">
      <c r="A121" s="927" t="s">
        <v>500</v>
      </c>
      <c r="B121" s="927" t="s">
        <v>2014</v>
      </c>
      <c r="C121" s="928">
        <f>'Revenues 9-14'!B168</f>
        <v>3999</v>
      </c>
      <c r="D121" s="929" t="s">
        <v>543</v>
      </c>
      <c r="E121" s="931"/>
      <c r="F121" s="1755">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55">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55">
        <f>SUM('Revenues 9-14'!C181,'Revenues 9-14'!D181,'Revenues 9-14'!F181,'Revenues 9-14'!G181)</f>
        <v>0</v>
      </c>
      <c r="G123" s="930"/>
    </row>
    <row r="124" spans="1:7" x14ac:dyDescent="0.2">
      <c r="A124" s="927" t="s">
        <v>668</v>
      </c>
      <c r="B124" s="927" t="s">
        <v>2017</v>
      </c>
      <c r="C124" s="932">
        <v>4100</v>
      </c>
      <c r="D124" s="933" t="str">
        <f>'Revenues 9-14'!A188</f>
        <v>Total Title V</v>
      </c>
      <c r="E124" s="906"/>
      <c r="F124" s="1755">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55">
        <f>SUM('Revenues 9-14'!C198,'Revenues 9-14'!G198)</f>
        <v>211563</v>
      </c>
      <c r="G125" s="930"/>
    </row>
    <row r="126" spans="1:7" x14ac:dyDescent="0.2">
      <c r="A126" s="927" t="s">
        <v>668</v>
      </c>
      <c r="B126" s="927" t="s">
        <v>2019</v>
      </c>
      <c r="C126" s="932">
        <v>4300</v>
      </c>
      <c r="D126" s="933" t="str">
        <f>'Revenues 9-14'!A204</f>
        <v>Total Title I</v>
      </c>
      <c r="E126" s="906"/>
      <c r="F126" s="1755">
        <f>SUM('Revenues 9-14'!C204,'Revenues 9-14'!D204,'Revenues 9-14'!F204,'Revenues 9-14'!G204)</f>
        <v>0</v>
      </c>
      <c r="G126" s="930"/>
    </row>
    <row r="127" spans="1:7" x14ac:dyDescent="0.2">
      <c r="A127" s="927" t="s">
        <v>668</v>
      </c>
      <c r="B127" s="927" t="s">
        <v>2020</v>
      </c>
      <c r="C127" s="932">
        <v>4400</v>
      </c>
      <c r="D127" s="933" t="str">
        <f>'Revenues 9-14'!A209</f>
        <v>Total Title IV</v>
      </c>
      <c r="E127" s="906"/>
      <c r="F127" s="1755">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55">
        <f>SUM('Revenues 9-14'!C213:D213,'Revenues 9-14'!F213:G213)</f>
        <v>4325734</v>
      </c>
      <c r="G128" s="930"/>
    </row>
    <row r="129" spans="1:7" x14ac:dyDescent="0.2">
      <c r="A129" s="927" t="s">
        <v>668</v>
      </c>
      <c r="B129" s="927" t="s">
        <v>2022</v>
      </c>
      <c r="C129" s="932">
        <f>'Revenues 9-14'!B214</f>
        <v>4625</v>
      </c>
      <c r="D129" s="933" t="str">
        <f>'Revenues 9-14'!A214</f>
        <v>Fed - Spec Education - IDEA - Room &amp; Board</v>
      </c>
      <c r="E129" s="906"/>
      <c r="F129" s="1755">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5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55">
        <f>SUM('Revenues 9-14'!C216:D216,'Revenues 9-14'!F216:G216)</f>
        <v>0</v>
      </c>
      <c r="G131" s="930"/>
    </row>
    <row r="132" spans="1:7" x14ac:dyDescent="0.2">
      <c r="A132" s="927" t="s">
        <v>673</v>
      </c>
      <c r="B132" s="927" t="s">
        <v>2024</v>
      </c>
      <c r="C132" s="932">
        <v>4700</v>
      </c>
      <c r="D132" s="929" t="str">
        <f>'Revenues 9-14'!A221</f>
        <v>Total CTE - Perkins</v>
      </c>
      <c r="E132" s="906"/>
      <c r="F132" s="1755">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63">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55">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55">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55">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55">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55">
        <v>0</v>
      </c>
      <c r="G138" s="905"/>
    </row>
    <row r="139" spans="1:7" s="867" customFormat="1" hidden="1" x14ac:dyDescent="0.2">
      <c r="A139" s="934" t="s">
        <v>206</v>
      </c>
      <c r="B139" s="934" t="s">
        <v>2031</v>
      </c>
      <c r="C139" s="935" t="s">
        <v>213</v>
      </c>
      <c r="D139" s="936" t="str">
        <f>'Revenues 9-14'!A230</f>
        <v>ARRA - IDEA - Part B - Flow-Through</v>
      </c>
      <c r="E139" s="937"/>
      <c r="F139" s="1755">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55">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55">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5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5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5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55">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55">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55">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5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5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5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55">
        <v>0</v>
      </c>
      <c r="G151" s="905"/>
    </row>
    <row r="152" spans="1:7" s="867" customFormat="1" hidden="1" x14ac:dyDescent="0.2">
      <c r="A152" s="934" t="s">
        <v>206</v>
      </c>
      <c r="B152" s="934" t="s">
        <v>1417</v>
      </c>
      <c r="C152" s="935" t="s">
        <v>233</v>
      </c>
      <c r="D152" s="936" t="str">
        <f>'Revenues 9-14'!A247</f>
        <v>Other ARRA Funds VII</v>
      </c>
      <c r="E152" s="937"/>
      <c r="F152" s="1755">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5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5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5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55">
        <f>SUM('Revenues 9-14'!C251:G251,'Revenues 9-14'!J251)</f>
        <v>0</v>
      </c>
      <c r="G156" s="905"/>
    </row>
    <row r="157" spans="1:7" s="867" customFormat="1" x14ac:dyDescent="0.2">
      <c r="A157" s="938" t="s">
        <v>500</v>
      </c>
      <c r="B157" s="939" t="s">
        <v>2039</v>
      </c>
      <c r="C157" s="940" t="s">
        <v>841</v>
      </c>
      <c r="D157" s="941" t="s">
        <v>777</v>
      </c>
      <c r="E157" s="942"/>
      <c r="F157" s="1755">
        <f>SUM(F133:F156)</f>
        <v>0</v>
      </c>
      <c r="G157" s="905"/>
    </row>
    <row r="158" spans="1:7" s="867" customFormat="1" x14ac:dyDescent="0.2">
      <c r="A158" s="938" t="s">
        <v>459</v>
      </c>
      <c r="B158" s="939" t="s">
        <v>2040</v>
      </c>
      <c r="C158" s="940" t="s">
        <v>1427</v>
      </c>
      <c r="D158" s="941" t="s">
        <v>1428</v>
      </c>
      <c r="E158" s="942"/>
      <c r="F158" s="1755">
        <f>SUM('Revenues 9-14'!C253)</f>
        <v>0</v>
      </c>
      <c r="G158" s="905"/>
    </row>
    <row r="159" spans="1:7" s="867" customFormat="1" x14ac:dyDescent="0.2">
      <c r="A159" s="938" t="s">
        <v>500</v>
      </c>
      <c r="B159" s="939" t="s">
        <v>2041</v>
      </c>
      <c r="C159" s="940" t="s">
        <v>1466</v>
      </c>
      <c r="D159" s="941" t="s">
        <v>1467</v>
      </c>
      <c r="E159" s="942"/>
      <c r="F159" s="1755">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55">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55">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55">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63">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63">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55">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55">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55">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55">
        <f>SUM('Revenues 9-14'!C263:D263,'Revenues 9-14'!F263:G263)</f>
        <v>21242</v>
      </c>
      <c r="G168" s="947">
        <v>6320</v>
      </c>
    </row>
    <row r="169" spans="1:7" x14ac:dyDescent="0.2">
      <c r="A169" s="927" t="s">
        <v>668</v>
      </c>
      <c r="B169" s="927" t="s">
        <v>2049</v>
      </c>
      <c r="C169" s="932">
        <f>'Revenues 9-14'!B264</f>
        <v>4992</v>
      </c>
      <c r="D169" s="933" t="str">
        <f>'Revenues 9-14'!A264</f>
        <v>Medicaid Matching Funds - Fee-for-Service Program</v>
      </c>
      <c r="E169" s="906"/>
      <c r="F169" s="1755">
        <f>SUM('Revenues 9-14'!C264:D264,'Revenues 9-14'!F264:G264)</f>
        <v>302276</v>
      </c>
      <c r="G169" s="947"/>
    </row>
    <row r="170" spans="1:7" x14ac:dyDescent="0.2">
      <c r="A170" s="948" t="s">
        <v>668</v>
      </c>
      <c r="B170" s="944" t="s">
        <v>2050</v>
      </c>
      <c r="C170" s="945">
        <f>'Revenues 9-14'!B265</f>
        <v>4999</v>
      </c>
      <c r="D170" s="946" t="str">
        <f>'Revenues 9-14'!A265</f>
        <v>Other Restricted Revenue from Federal Sources (Describe &amp; Itemize)</v>
      </c>
      <c r="E170" s="906"/>
      <c r="F170" s="1755">
        <f>SUM('Revenues 9-14'!C265:D265,'Revenues 9-14'!F265:G265)</f>
        <v>0</v>
      </c>
      <c r="G170" s="927"/>
    </row>
    <row r="171" spans="1:7" x14ac:dyDescent="0.2">
      <c r="A171" s="1874" t="s">
        <v>5</v>
      </c>
      <c r="B171" s="1875" t="s">
        <v>1916</v>
      </c>
      <c r="C171" s="1876">
        <v>3100</v>
      </c>
      <c r="D171" s="1877" t="s">
        <v>1918</v>
      </c>
      <c r="E171" s="906"/>
      <c r="F171" s="1862"/>
      <c r="G171" s="927"/>
    </row>
    <row r="172" spans="1:7" x14ac:dyDescent="0.2">
      <c r="A172" s="1874" t="s">
        <v>664</v>
      </c>
      <c r="B172" s="1875" t="s">
        <v>1916</v>
      </c>
      <c r="C172" s="1876">
        <v>3300</v>
      </c>
      <c r="D172" s="1877" t="s">
        <v>1919</v>
      </c>
      <c r="E172" s="906"/>
      <c r="F172" s="1862"/>
      <c r="G172" s="927"/>
    </row>
    <row r="173" spans="1:7" ht="6" customHeight="1" x14ac:dyDescent="0.2">
      <c r="A173" s="927"/>
      <c r="B173" s="927"/>
      <c r="C173" s="949"/>
      <c r="D173" s="927"/>
      <c r="E173" s="906"/>
      <c r="F173" s="950"/>
      <c r="G173" s="947"/>
    </row>
    <row r="174" spans="1:7" x14ac:dyDescent="0.2">
      <c r="A174" s="1736"/>
      <c r="B174" s="1750"/>
      <c r="C174" s="1751"/>
      <c r="D174" s="1752" t="s">
        <v>2051</v>
      </c>
      <c r="E174" s="1753" t="s">
        <v>958</v>
      </c>
      <c r="F174" s="1754">
        <f>SUM(F84:F132,F157:F172)</f>
        <v>5384066</v>
      </c>
    </row>
    <row r="175" spans="1:7" ht="12" customHeight="1" x14ac:dyDescent="0.2">
      <c r="A175" s="1736"/>
      <c r="B175" s="1750"/>
      <c r="C175" s="1751"/>
      <c r="D175" s="1752" t="s">
        <v>2052</v>
      </c>
      <c r="E175" s="1753"/>
      <c r="F175" s="1755">
        <f>'PCTC-OEPP 27-28'!F77-F174</f>
        <v>7034131</v>
      </c>
    </row>
    <row r="176" spans="1:7" ht="12" customHeight="1" x14ac:dyDescent="0.2">
      <c r="A176" s="1736"/>
      <c r="B176" s="1750"/>
      <c r="C176" s="1751"/>
      <c r="D176" s="1752" t="s">
        <v>1814</v>
      </c>
      <c r="E176" s="1753"/>
      <c r="F176" s="1755">
        <f>'Cap Outlay Deprec 26'!I18</f>
        <v>198355</v>
      </c>
    </row>
    <row r="177" spans="1:7" ht="12" customHeight="1" x14ac:dyDescent="0.2">
      <c r="A177" s="1736"/>
      <c r="B177" s="1750"/>
      <c r="C177" s="1751"/>
      <c r="D177" s="1752" t="s">
        <v>2053</v>
      </c>
      <c r="E177" s="1753"/>
      <c r="F177" s="1755">
        <f>F175+F176</f>
        <v>7232486</v>
      </c>
    </row>
    <row r="178" spans="1:7" ht="12" customHeight="1" x14ac:dyDescent="0.2">
      <c r="A178" s="1736"/>
      <c r="B178" s="1756"/>
      <c r="C178" s="1751"/>
      <c r="D178" s="1752" t="str">
        <f>D78</f>
        <v>9 Month ADA from District Average Daily Attendance/Prior General State Aid Inquiry 2018-2019</v>
      </c>
      <c r="E178" s="1753"/>
      <c r="F178" s="1757">
        <f>'PCTC-OEPP 27-28'!F78</f>
        <v>0</v>
      </c>
      <c r="G178" s="930"/>
    </row>
    <row r="179" spans="1:7" ht="12" customHeight="1" thickBot="1" x14ac:dyDescent="0.25">
      <c r="A179" s="1736"/>
      <c r="B179" s="1756"/>
      <c r="C179" s="1751"/>
      <c r="D179" s="1752" t="s">
        <v>2054</v>
      </c>
      <c r="E179" s="1753" t="s">
        <v>1545</v>
      </c>
      <c r="F179" s="1758"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878" customFormat="1" ht="12.2" customHeight="1" x14ac:dyDescent="0.2">
      <c r="A182" s="1878" t="s">
        <v>1989</v>
      </c>
      <c r="B182" s="1879"/>
      <c r="C182" s="1880"/>
      <c r="D182" s="1879"/>
      <c r="E182" s="1880"/>
      <c r="F182" s="1879"/>
      <c r="G182" s="1879"/>
    </row>
    <row r="183" spans="1:7" s="1878" customFormat="1" ht="12.2" customHeight="1" x14ac:dyDescent="0.2">
      <c r="A183" s="1881" t="s">
        <v>1991</v>
      </c>
      <c r="C183" s="1880"/>
      <c r="D183" s="1879"/>
      <c r="E183" s="1880"/>
      <c r="F183" s="1879"/>
      <c r="G183" s="1879"/>
    </row>
    <row r="184" spans="1:7" ht="12" customHeight="1" x14ac:dyDescent="0.2">
      <c r="C184" s="949"/>
      <c r="D184" s="930"/>
      <c r="E184" s="949"/>
      <c r="F184" s="930"/>
      <c r="G184" s="930"/>
    </row>
    <row r="185" spans="1:7" x14ac:dyDescent="0.2">
      <c r="A185" s="1882" t="s">
        <v>1921</v>
      </c>
      <c r="B185" s="1883"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1"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14999847407452621"/>
  </sheetPr>
  <dimension ref="A1:I46"/>
  <sheetViews>
    <sheetView showGridLines="0" defaultGridColor="0" colorId="8" zoomScale="110" zoomScaleNormal="110" workbookViewId="0">
      <selection activeCell="A21" sqref="A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1115</v>
      </c>
      <c r="B1" s="1620"/>
      <c r="C1" s="1621"/>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9" t="s">
        <v>1679</v>
      </c>
      <c r="B5" s="2310"/>
      <c r="C5" s="2310"/>
      <c r="D5" s="2310"/>
      <c r="E5" s="2310"/>
      <c r="F5" s="2310"/>
      <c r="G5" s="2311"/>
      <c r="H5" s="252"/>
      <c r="I5" s="609"/>
    </row>
    <row r="6" spans="1:9" s="668" customFormat="1" x14ac:dyDescent="0.2">
      <c r="A6" s="1622"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55036</v>
      </c>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14" t="s">
        <v>1972</v>
      </c>
      <c r="B11" s="2315"/>
      <c r="C11" s="2315"/>
      <c r="D11" s="231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3" t="s">
        <v>532</v>
      </c>
      <c r="E17" s="1624"/>
      <c r="F17" s="1623" t="s">
        <v>433</v>
      </c>
      <c r="G17" s="1625"/>
      <c r="H17" s="162"/>
      <c r="I17" s="162"/>
    </row>
    <row r="18" spans="1:9" s="259" customFormat="1" ht="11.25" x14ac:dyDescent="0.2">
      <c r="A18" s="988"/>
      <c r="C18" s="989" t="s">
        <v>434</v>
      </c>
      <c r="D18" s="1626" t="s">
        <v>435</v>
      </c>
      <c r="E18" s="1626" t="s">
        <v>53</v>
      </c>
      <c r="F18" s="1626" t="s">
        <v>435</v>
      </c>
      <c r="G18" s="1626" t="s">
        <v>53</v>
      </c>
      <c r="H18" s="178"/>
      <c r="I18" s="178"/>
    </row>
    <row r="19" spans="1:9" s="668" customFormat="1" ht="12" customHeight="1" x14ac:dyDescent="0.2">
      <c r="A19" s="990" t="s">
        <v>456</v>
      </c>
      <c r="B19" s="991"/>
      <c r="C19" s="992" t="s">
        <v>570</v>
      </c>
      <c r="D19" s="1759"/>
      <c r="E19" s="1760">
        <f>'Expenditures 15-22'!K33-SUM('Expenditures 15-22'!G33,'Expenditures 15-22'!I33)+'Expenditures 15-22'!D229</f>
        <v>6287555</v>
      </c>
      <c r="F19" s="1759"/>
      <c r="G19" s="1761">
        <f>'Expenditures 15-22'!K33-SUM('Expenditures 15-22'!G33,'Expenditures 15-22'!I33)+'Expenditures 15-22'!D229</f>
        <v>6287555</v>
      </c>
      <c r="H19" s="987"/>
      <c r="I19" s="162"/>
    </row>
    <row r="20" spans="1:9" s="668" customFormat="1" ht="12" customHeight="1" x14ac:dyDescent="0.2">
      <c r="A20" s="990" t="s">
        <v>54</v>
      </c>
      <c r="B20" s="991"/>
      <c r="C20" s="993"/>
      <c r="D20" s="1762"/>
      <c r="E20" s="1762"/>
      <c r="F20" s="1762"/>
      <c r="G20" s="1763"/>
      <c r="H20" s="987"/>
      <c r="I20" s="162"/>
    </row>
    <row r="21" spans="1:9" s="668" customFormat="1" ht="12" customHeight="1" x14ac:dyDescent="0.2">
      <c r="A21" s="994" t="s">
        <v>401</v>
      </c>
      <c r="B21" s="995"/>
      <c r="C21" s="993">
        <v>2100</v>
      </c>
      <c r="D21" s="1762"/>
      <c r="E21" s="1764">
        <f>'Expenditures 15-22'!K42-SUM('Expenditures 15-22'!G42,'Expenditures 15-22'!I42)+'Expenditures 15-22'!K120-SUM('Expenditures 15-22'!G120,'Expenditures 15-22'!I120)+'Expenditures 15-22'!K180-SUM('Expenditures 15-22'!G180,'Expenditures 15-22'!I180)+'Expenditures 15-22'!D238</f>
        <v>3405402</v>
      </c>
      <c r="F21" s="1762"/>
      <c r="G21" s="1765">
        <f>'Expenditures 15-22'!K42-SUM('Expenditures 15-22'!G42,'Expenditures 15-22'!I42)+'Expenditures 15-22'!K120-SUM('Expenditures 15-22'!G120,'Expenditures 15-22'!I120)+'Expenditures 15-22'!K180-SUM('Expenditures 15-22'!G180,'Expenditures 15-22'!I180)+'Expenditures 15-22'!D238</f>
        <v>3405402</v>
      </c>
      <c r="H21" s="987"/>
      <c r="I21" s="162"/>
    </row>
    <row r="22" spans="1:9" s="668" customFormat="1" ht="12" customHeight="1" x14ac:dyDescent="0.2">
      <c r="A22" s="994" t="s">
        <v>564</v>
      </c>
      <c r="B22" s="995"/>
      <c r="C22" s="993">
        <v>2200</v>
      </c>
      <c r="D22" s="1762"/>
      <c r="E22" s="1764">
        <f>'Expenditures 15-22'!K47-SUM('Expenditures 15-22'!G47,'Expenditures 15-22'!I47)+'Expenditures 15-22'!D243</f>
        <v>226644</v>
      </c>
      <c r="F22" s="1762"/>
      <c r="G22" s="1765">
        <f>'Expenditures 15-22'!K47-SUM('Expenditures 15-22'!G47,'Expenditures 15-22'!I47)+'Expenditures 15-22'!D243</f>
        <v>226644</v>
      </c>
      <c r="H22" s="987"/>
      <c r="I22" s="162"/>
    </row>
    <row r="23" spans="1:9" s="668" customFormat="1" ht="12" customHeight="1" x14ac:dyDescent="0.2">
      <c r="A23" s="994" t="s">
        <v>565</v>
      </c>
      <c r="B23" s="995"/>
      <c r="C23" s="993">
        <v>2300</v>
      </c>
      <c r="D23" s="1762"/>
      <c r="E23" s="1764">
        <f>'Expenditures 15-22'!K53-SUM('Expenditures 15-22'!G53,'Expenditures 15-22'!I53)+'Expenditures 15-22'!D257+'Expenditures 15-22'!K330-SUM('Expenditures 15-22'!G330,'Expenditures 15-22'!I330)</f>
        <v>1168170</v>
      </c>
      <c r="F23" s="1762"/>
      <c r="G23" s="1764">
        <f>'Expenditures 15-22'!K53-SUM('Expenditures 15-22'!G53,'Expenditures 15-22'!I53)+'Expenditures 15-22'!D257+'Expenditures 15-22'!K330-SUM('Expenditures 15-22'!G330,'Expenditures 15-22'!I330)</f>
        <v>1168170</v>
      </c>
      <c r="H23" s="987"/>
      <c r="I23" s="162"/>
    </row>
    <row r="24" spans="1:9" s="668" customFormat="1" ht="12" customHeight="1" x14ac:dyDescent="0.2">
      <c r="A24" s="994" t="s">
        <v>566</v>
      </c>
      <c r="B24" s="995"/>
      <c r="C24" s="993">
        <v>2400</v>
      </c>
      <c r="D24" s="1762"/>
      <c r="E24" s="1764">
        <f>'Expenditures 15-22'!K57-SUM('Expenditures 15-22'!G57,'Expenditures 15-22'!I57)+'Expenditures 15-22'!D261</f>
        <v>539437</v>
      </c>
      <c r="F24" s="1762"/>
      <c r="G24" s="1765">
        <f>'Expenditures 15-22'!K57-SUM('Expenditures 15-22'!G57,'Expenditures 15-22'!I57)+'Expenditures 15-22'!D261</f>
        <v>539437</v>
      </c>
      <c r="H24" s="987"/>
      <c r="I24" s="162"/>
    </row>
    <row r="25" spans="1:9" s="668" customFormat="1" ht="12" customHeight="1" x14ac:dyDescent="0.2">
      <c r="A25" s="990" t="s">
        <v>567</v>
      </c>
      <c r="B25" s="996"/>
      <c r="C25" s="993"/>
      <c r="D25" s="1762"/>
      <c r="E25" s="1764"/>
      <c r="F25" s="1762"/>
      <c r="G25" s="1765"/>
      <c r="H25" s="987"/>
      <c r="I25" s="162"/>
    </row>
    <row r="26" spans="1:9" s="668" customFormat="1" ht="12" customHeight="1" x14ac:dyDescent="0.2">
      <c r="A26" s="994" t="s">
        <v>515</v>
      </c>
      <c r="B26" s="997"/>
      <c r="C26" s="993">
        <v>2510</v>
      </c>
      <c r="D26" s="1764">
        <f>'Expenditures 15-22'!K59-SUM('Expenditures 15-22'!G59,'Expenditures 15-22'!I59)+'Expenditures 15-22'!D263-E7</f>
        <v>143498</v>
      </c>
      <c r="E26" s="1764">
        <f>'Expenditures 15-22'!K122-SUM('Expenditures 15-22'!G122,'Expenditures 15-22'!I122)+E7</f>
        <v>0</v>
      </c>
      <c r="F26" s="1764">
        <f>'Expenditures 15-22'!K59-SUM('Expenditures 15-22'!G59,'Expenditures 15-22'!I59)+'Expenditures 15-22'!D263-E7</f>
        <v>143498</v>
      </c>
      <c r="G26" s="1765">
        <f>'Expenditures 15-22'!K122-SUM('Expenditures 15-22'!G122,'Expenditures 15-22'!I122)+E7</f>
        <v>0</v>
      </c>
      <c r="H26" s="987"/>
      <c r="I26" s="162"/>
    </row>
    <row r="27" spans="1:9" s="668" customFormat="1" ht="12" customHeight="1" x14ac:dyDescent="0.2">
      <c r="A27" s="994" t="s">
        <v>463</v>
      </c>
      <c r="B27" s="997"/>
      <c r="C27" s="993">
        <v>2520</v>
      </c>
      <c r="D27" s="1764">
        <f>'Expenditures 15-22'!K60-SUM('Expenditures 15-22'!G60,'Expenditures 15-22'!I60)+'Expenditures 15-22'!D264-E8</f>
        <v>39405</v>
      </c>
      <c r="E27" s="1764">
        <f>E8</f>
        <v>0</v>
      </c>
      <c r="F27" s="1764">
        <f>'Expenditures 15-22'!K60-SUM('Expenditures 15-22'!G60,'Expenditures 15-22'!I60)+'Expenditures 15-22'!D264-E8</f>
        <v>39405</v>
      </c>
      <c r="G27" s="1765">
        <f>E8</f>
        <v>0</v>
      </c>
      <c r="H27" s="987"/>
      <c r="I27" s="162"/>
    </row>
    <row r="28" spans="1:9" s="668" customFormat="1" ht="12" customHeight="1" x14ac:dyDescent="0.2">
      <c r="A28" s="994" t="s">
        <v>516</v>
      </c>
      <c r="B28" s="997"/>
      <c r="C28" s="993">
        <v>2540</v>
      </c>
      <c r="D28" s="1766"/>
      <c r="E28" s="1764">
        <f>'Expenditures 15-22'!K61-SUM('Expenditures 15-22'!G61,'Expenditures 15-22'!I61)+'Expenditures 15-22'!K124-SUM('Expenditures 15-22'!G124,'Expenditures 15-22'!I124)+'Expenditures 15-22'!D266</f>
        <v>175023</v>
      </c>
      <c r="F28" s="1766">
        <f>'Expenditures 15-22'!K61-SUM('Expenditures 15-22'!G61,'Expenditures 15-22'!I61)+'Expenditures 15-22'!K124-SUM('Expenditures 15-22'!G124,'Expenditures 15-22'!I124)+'Expenditures 15-22'!D266-E9</f>
        <v>119987</v>
      </c>
      <c r="G28" s="1765">
        <f>E9</f>
        <v>55036</v>
      </c>
      <c r="H28" s="987"/>
      <c r="I28" s="162"/>
    </row>
    <row r="29" spans="1:9" ht="12" customHeight="1" x14ac:dyDescent="0.2">
      <c r="A29" s="994" t="s">
        <v>517</v>
      </c>
      <c r="B29" s="997"/>
      <c r="C29" s="993">
        <v>2550</v>
      </c>
      <c r="D29" s="1762"/>
      <c r="E29" s="1764">
        <f>'Expenditures 15-22'!K62-SUM('Expenditures 15-22'!G62,'Expenditures 15-22'!I62)+'Expenditures 15-22'!K125-SUM('Expenditures 15-22'!G125,'Expenditures 15-22'!I125)+'Expenditures 15-22'!K182-SUM('Expenditures 15-22'!G182,'Expenditures 15-22'!I182)+'Expenditures 15-22'!D267</f>
        <v>95713</v>
      </c>
      <c r="F29" s="1762"/>
      <c r="G29" s="1765">
        <f>'Expenditures 15-22'!K62-SUM('Expenditures 15-22'!G62,'Expenditures 15-22'!I62)+'Expenditures 15-22'!K125-SUM('Expenditures 15-22'!G125,'Expenditures 15-22'!I125)+'Expenditures 15-22'!K182-SUM('Expenditures 15-22'!G182,'Expenditures 15-22'!I182)+'Expenditures 15-22'!D267</f>
        <v>95713</v>
      </c>
      <c r="H29" s="985"/>
    </row>
    <row r="30" spans="1:9" ht="12" customHeight="1" x14ac:dyDescent="0.2">
      <c r="A30" s="994" t="s">
        <v>100</v>
      </c>
      <c r="B30" s="997"/>
      <c r="C30" s="993">
        <v>2560</v>
      </c>
      <c r="D30" s="1762"/>
      <c r="E30" s="1764">
        <f>'Expenditures 15-22'!K63-SUM('Expenditures 15-22'!G63,'Expenditures 15-22'!I63)+'Expenditures 15-22'!D268-E10</f>
        <v>172918</v>
      </c>
      <c r="F30" s="1762"/>
      <c r="G30" s="1764">
        <f>'Expenditures 15-22'!K63-SUM('Expenditures 15-22'!G63,'Expenditures 15-22'!I63)+'Expenditures 15-22'!D268-E10</f>
        <v>172918</v>
      </c>
    </row>
    <row r="31" spans="1:9" ht="12" customHeight="1" x14ac:dyDescent="0.2">
      <c r="A31" s="994" t="s">
        <v>101</v>
      </c>
      <c r="B31" s="997"/>
      <c r="C31" s="993">
        <v>2570</v>
      </c>
      <c r="D31" s="1764">
        <f>'Expenditures 15-22'!K64-SUM('Expenditures 15-22'!G64,'Expenditures 15-22'!I64)+'Expenditures 15-22'!D269-E12</f>
        <v>0</v>
      </c>
      <c r="E31" s="1764">
        <f>E12</f>
        <v>0</v>
      </c>
      <c r="F31" s="1764">
        <f>'Expenditures 15-22'!K64-SUM('Expenditures 15-22'!G64,'Expenditures 15-22'!I64)+'Expenditures 15-22'!D269-E12</f>
        <v>0</v>
      </c>
      <c r="G31" s="1764">
        <f>E12</f>
        <v>0</v>
      </c>
    </row>
    <row r="32" spans="1:9" ht="12" customHeight="1" x14ac:dyDescent="0.2">
      <c r="A32" s="990" t="s">
        <v>518</v>
      </c>
      <c r="B32" s="996"/>
      <c r="C32" s="993"/>
      <c r="D32" s="1762"/>
      <c r="E32" s="1762"/>
      <c r="F32" s="1762"/>
      <c r="G32" s="1762"/>
    </row>
    <row r="33" spans="1:7" ht="12" customHeight="1" x14ac:dyDescent="0.2">
      <c r="A33" s="994" t="s">
        <v>519</v>
      </c>
      <c r="B33" s="997"/>
      <c r="C33" s="993">
        <v>2610</v>
      </c>
      <c r="D33" s="1762"/>
      <c r="E33" s="1764">
        <f>'Expenditures 15-22'!K67-SUM('Expenditures 15-22'!G67,'Expenditures 15-22'!I67)+'Expenditures 15-22'!D272</f>
        <v>0</v>
      </c>
      <c r="F33" s="1762"/>
      <c r="G33" s="1764">
        <f>'Expenditures 15-22'!K67-SUM('Expenditures 15-22'!G67,'Expenditures 15-22'!I67)+'Expenditures 15-22'!D272</f>
        <v>0</v>
      </c>
    </row>
    <row r="34" spans="1:7" ht="12" customHeight="1" x14ac:dyDescent="0.2">
      <c r="A34" s="994" t="s">
        <v>520</v>
      </c>
      <c r="B34" s="997"/>
      <c r="C34" s="993">
        <v>2620</v>
      </c>
      <c r="D34" s="1762"/>
      <c r="E34" s="1764">
        <f>'Expenditures 15-22'!K68-SUM('Expenditures 15-22'!G68,'Expenditures 15-22'!I68)+'Expenditures 15-22'!D273</f>
        <v>0</v>
      </c>
      <c r="F34" s="1762"/>
      <c r="G34" s="1764">
        <f>'Expenditures 15-22'!K68-SUM('Expenditures 15-22'!G68,'Expenditures 15-22'!I68)+'Expenditures 15-22'!D273</f>
        <v>0</v>
      </c>
    </row>
    <row r="35" spans="1:7" ht="12" customHeight="1" x14ac:dyDescent="0.2">
      <c r="A35" s="994" t="s">
        <v>1061</v>
      </c>
      <c r="B35" s="997"/>
      <c r="C35" s="993">
        <v>2630</v>
      </c>
      <c r="D35" s="1762"/>
      <c r="E35" s="1764">
        <f>'Expenditures 15-22'!K69-SUM('Expenditures 15-22'!G69,'Expenditures 15-22'!I69)+'Expenditures 15-22'!D274</f>
        <v>0</v>
      </c>
      <c r="F35" s="1762"/>
      <c r="G35" s="1764">
        <f>'Expenditures 15-22'!K69-SUM('Expenditures 15-22'!G69,'Expenditures 15-22'!I69)+'Expenditures 15-22'!D274</f>
        <v>0</v>
      </c>
    </row>
    <row r="36" spans="1:7" ht="12" customHeight="1" x14ac:dyDescent="0.2">
      <c r="A36" s="994" t="s">
        <v>403</v>
      </c>
      <c r="B36" s="997"/>
      <c r="C36" s="993">
        <v>2640</v>
      </c>
      <c r="D36" s="1764">
        <f>'Expenditures 15-22'!K70-SUM('Expenditures 15-22'!G70,'Expenditures 15-22'!I70)+'Expenditures 15-22'!D275-E13</f>
        <v>0</v>
      </c>
      <c r="E36" s="1764">
        <f>E13</f>
        <v>0</v>
      </c>
      <c r="F36" s="1764">
        <f>'Expenditures 15-22'!K70-SUM('Expenditures 15-22'!G70,'Expenditures 15-22'!I70)+'Expenditures 15-22'!D275-E13</f>
        <v>0</v>
      </c>
      <c r="G36" s="1764">
        <f>E13</f>
        <v>0</v>
      </c>
    </row>
    <row r="37" spans="1:7" ht="12" customHeight="1" x14ac:dyDescent="0.2">
      <c r="A37" s="994" t="s">
        <v>404</v>
      </c>
      <c r="B37" s="997"/>
      <c r="C37" s="993">
        <v>2660</v>
      </c>
      <c r="D37" s="1764">
        <f>'Expenditures 15-22'!K71-SUM('Expenditures 15-22'!G71,'Expenditures 15-22'!I71)+'Expenditures 15-22'!D276-E14</f>
        <v>63809</v>
      </c>
      <c r="E37" s="1764">
        <f>E14</f>
        <v>0</v>
      </c>
      <c r="F37" s="1764">
        <f>'Expenditures 15-22'!K71-SUM('Expenditures 15-22'!G71,'Expenditures 15-22'!I71)+'Expenditures 15-22'!D276-E14</f>
        <v>63809</v>
      </c>
      <c r="G37" s="1764">
        <f>E14</f>
        <v>0</v>
      </c>
    </row>
    <row r="38" spans="1:7" ht="12" customHeight="1" x14ac:dyDescent="0.2">
      <c r="A38" s="990" t="s">
        <v>521</v>
      </c>
      <c r="B38" s="991"/>
      <c r="C38" s="993">
        <v>2900</v>
      </c>
      <c r="D38" s="1762"/>
      <c r="E38" s="1764">
        <f>'Expenditures 15-22'!K73-SUM('Expenditures 15-22'!G73,'Expenditures 15-22'!I73)+'Expenditures 15-22'!K128-SUM('Expenditures 15-22'!G128,'Expenditures 15-22'!I128)+'Expenditures 15-22'!K183-SUM('Expenditures 15-22'!G183,'Expenditures 15-22'!I183)+'Expenditures 15-22'!D278</f>
        <v>0</v>
      </c>
      <c r="F38" s="1762"/>
      <c r="G38" s="176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62"/>
      <c r="E39" s="1764">
        <f>'Expenditures 15-22'!K75-SUM('Expenditures 15-22'!G75,'Expenditures 15-22'!I75)+'Expenditures 15-22'!K130-SUM('Expenditures 15-22'!G130,'Expenditures 15-22'!I130)+'Expenditures 15-22'!K185-SUM('Expenditures 15-22'!G185,'Expenditures 15-22'!I185)+'Expenditures 15-22'!D280</f>
        <v>0</v>
      </c>
      <c r="F39" s="1762"/>
      <c r="G39" s="176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762"/>
      <c r="E40" s="1766">
        <f>-'Contracts Paid in CY 29'!G142</f>
        <v>-1263575.9999999998</v>
      </c>
      <c r="F40" s="1762"/>
      <c r="G40" s="1766">
        <f>-'Contracts Paid in CY 29'!G142</f>
        <v>-1263575.9999999998</v>
      </c>
    </row>
    <row r="41" spans="1:7" ht="12" customHeight="1" x14ac:dyDescent="0.2">
      <c r="A41" s="998" t="s">
        <v>156</v>
      </c>
      <c r="B41" s="999"/>
      <c r="C41" s="1000"/>
      <c r="D41" s="1766">
        <f>SUM(D19:D39)</f>
        <v>246712</v>
      </c>
      <c r="E41" s="1766">
        <f>SUM(E19:E40)</f>
        <v>10807286</v>
      </c>
      <c r="F41" s="1766">
        <f>SUM(F19:F39)</f>
        <v>366699</v>
      </c>
      <c r="G41" s="1766">
        <f>SUM(G19:G40)</f>
        <v>10687299</v>
      </c>
    </row>
    <row r="42" spans="1:7" x14ac:dyDescent="0.2">
      <c r="A42" s="987"/>
      <c r="B42" s="162"/>
      <c r="C42" s="1001"/>
      <c r="D42" s="2312" t="s">
        <v>522</v>
      </c>
      <c r="E42" s="2313"/>
      <c r="F42" s="1002" t="s">
        <v>523</v>
      </c>
      <c r="G42" s="1003"/>
    </row>
    <row r="43" spans="1:7" ht="12" customHeight="1" x14ac:dyDescent="0.2">
      <c r="A43" s="987"/>
      <c r="B43" s="162"/>
      <c r="C43" s="1001"/>
      <c r="D43" s="1767" t="s">
        <v>473</v>
      </c>
      <c r="E43" s="1768">
        <f>D41</f>
        <v>246712</v>
      </c>
      <c r="F43" s="1767" t="s">
        <v>473</v>
      </c>
      <c r="G43" s="1768">
        <f>F41</f>
        <v>366699</v>
      </c>
    </row>
    <row r="44" spans="1:7" ht="12" customHeight="1" x14ac:dyDescent="0.2">
      <c r="A44" s="987"/>
      <c r="B44" s="162"/>
      <c r="C44" s="1001"/>
      <c r="D44" s="1767" t="s">
        <v>474</v>
      </c>
      <c r="E44" s="1768">
        <f>E41</f>
        <v>10807286</v>
      </c>
      <c r="F44" s="1767" t="s">
        <v>474</v>
      </c>
      <c r="G44" s="1768">
        <f>G41</f>
        <v>10687299</v>
      </c>
    </row>
    <row r="45" spans="1:7" ht="12" customHeight="1" x14ac:dyDescent="0.2">
      <c r="A45" s="987"/>
      <c r="B45" s="162"/>
      <c r="C45" s="162"/>
      <c r="D45" s="1769" t="s">
        <v>1006</v>
      </c>
      <c r="E45" s="1770">
        <f>(E43/E44)</f>
        <v>2.2828303054069264E-2</v>
      </c>
      <c r="F45" s="1769" t="s">
        <v>1006</v>
      </c>
      <c r="G45" s="1770">
        <f>(G43/G44)</f>
        <v>3.4311662843904717E-2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14999847407452621"/>
    <pageSetUpPr fitToPage="1"/>
  </sheetPr>
  <dimension ref="A1:L97"/>
  <sheetViews>
    <sheetView showGridLines="0" zoomScale="110" zoomScaleNormal="110" workbookViewId="0">
      <pane ySplit="4" topLeftCell="A20" activePane="bottomLeft" state="frozen"/>
      <selection activeCell="A47" sqref="A47"/>
      <selection pane="bottomLeft" sqref="A1:F43"/>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320" t="s">
        <v>1379</v>
      </c>
      <c r="B1" s="2320"/>
      <c r="C1" s="2320"/>
      <c r="D1" s="2320"/>
      <c r="E1" s="2320"/>
      <c r="F1" s="2320"/>
    </row>
    <row r="2" spans="1:10" x14ac:dyDescent="0.2">
      <c r="A2" s="1843" t="s">
        <v>1908</v>
      </c>
      <c r="B2" s="1804"/>
      <c r="C2" s="1843"/>
      <c r="D2" s="1804"/>
      <c r="E2" s="1804"/>
      <c r="F2" s="1805"/>
    </row>
    <row r="3" spans="1:10" x14ac:dyDescent="0.2">
      <c r="A3" s="1843" t="s">
        <v>1973</v>
      </c>
      <c r="B3" s="1804"/>
      <c r="C3" s="1843"/>
      <c r="D3" s="1804"/>
      <c r="E3" s="1804"/>
      <c r="F3" s="1805"/>
    </row>
    <row r="4" spans="1:10" ht="3.75" customHeight="1" x14ac:dyDescent="0.2">
      <c r="A4" s="1804"/>
      <c r="B4" s="1804"/>
      <c r="C4" s="1804"/>
      <c r="D4" s="1804"/>
      <c r="E4" s="1804"/>
      <c r="F4" s="1805"/>
    </row>
    <row r="5" spans="1:10" ht="15" x14ac:dyDescent="0.25">
      <c r="A5" s="2321" t="s">
        <v>1546</v>
      </c>
      <c r="B5" s="2322"/>
      <c r="C5" s="2323"/>
      <c r="D5" s="2323"/>
      <c r="E5" s="2323"/>
      <c r="F5" s="2323"/>
    </row>
    <row r="6" spans="1:10" ht="12" customHeight="1" x14ac:dyDescent="0.25">
      <c r="A6" s="1806"/>
      <c r="B6" s="1807"/>
      <c r="C6" s="2324" t="str">
        <f>COVER!A17</f>
        <v>Eisenhower Cooperative</v>
      </c>
      <c r="D6" s="2324"/>
      <c r="E6" s="2324"/>
      <c r="F6" s="1808"/>
    </row>
    <row r="7" spans="1:10" ht="11.25" customHeight="1" thickBot="1" x14ac:dyDescent="0.3">
      <c r="A7" s="1806"/>
      <c r="B7" s="1807"/>
      <c r="C7" s="2325">
        <f>COVER!A13</f>
        <v>7016127561</v>
      </c>
      <c r="D7" s="2325"/>
      <c r="E7" s="2325"/>
      <c r="F7" s="1808"/>
    </row>
    <row r="8" spans="1:10" ht="25.5" customHeight="1" thickBot="1" x14ac:dyDescent="0.25">
      <c r="A8" s="1849" t="s">
        <v>1904</v>
      </c>
      <c r="B8" s="1809"/>
      <c r="C8" s="1845" t="s">
        <v>1681</v>
      </c>
      <c r="D8" s="1844" t="s">
        <v>1682</v>
      </c>
      <c r="E8" s="1846" t="s">
        <v>1380</v>
      </c>
      <c r="F8" s="1844" t="s">
        <v>1683</v>
      </c>
      <c r="H8" s="1810" t="b">
        <v>0</v>
      </c>
    </row>
    <row r="9" spans="1:10" ht="15.75" customHeight="1" x14ac:dyDescent="0.2">
      <c r="A9" s="1811" t="s">
        <v>1542</v>
      </c>
      <c r="B9" s="1812"/>
      <c r="C9" s="1813"/>
      <c r="D9" s="1813"/>
      <c r="E9" s="1814"/>
      <c r="F9" s="1815"/>
    </row>
    <row r="10" spans="1:10" ht="27.75" customHeight="1" x14ac:dyDescent="0.2">
      <c r="A10" s="1816" t="s">
        <v>1680</v>
      </c>
      <c r="B10" s="1817"/>
      <c r="C10" s="1818"/>
      <c r="D10" s="1818"/>
      <c r="E10" s="1847" t="s">
        <v>1381</v>
      </c>
      <c r="F10" s="1848" t="s">
        <v>1382</v>
      </c>
    </row>
    <row r="11" spans="1:10" ht="12" customHeight="1" x14ac:dyDescent="0.2">
      <c r="A11" s="1819" t="s">
        <v>1383</v>
      </c>
      <c r="B11" s="1820"/>
      <c r="C11" s="1821"/>
      <c r="D11" s="1821"/>
      <c r="E11" s="1822"/>
      <c r="F11" s="1823"/>
      <c r="H11" s="1834">
        <f>IF(C11="X",5,0)</f>
        <v>0</v>
      </c>
      <c r="I11" s="1834">
        <f>IF(D11="X",5,0)</f>
        <v>0</v>
      </c>
      <c r="J11" s="1834">
        <f>IF(E11="X",5,0)</f>
        <v>0</v>
      </c>
    </row>
    <row r="12" spans="1:10" ht="12" customHeight="1" x14ac:dyDescent="0.2">
      <c r="A12" s="1819" t="s">
        <v>1384</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1385</v>
      </c>
      <c r="B13" s="1820"/>
      <c r="C13" s="1821"/>
      <c r="D13" s="1821"/>
      <c r="E13" s="1824"/>
      <c r="F13" s="1823"/>
      <c r="H13" s="1834">
        <f t="shared" si="0"/>
        <v>0</v>
      </c>
      <c r="I13" s="1834">
        <f t="shared" si="1"/>
        <v>0</v>
      </c>
      <c r="J13" s="1834">
        <f t="shared" si="2"/>
        <v>0</v>
      </c>
    </row>
    <row r="14" spans="1:10" ht="12" customHeight="1" x14ac:dyDescent="0.2">
      <c r="A14" s="1819" t="s">
        <v>1386</v>
      </c>
      <c r="B14" s="1820"/>
      <c r="C14" s="1821"/>
      <c r="D14" s="1821"/>
      <c r="E14" s="1824"/>
      <c r="F14" s="1823"/>
      <c r="H14" s="1834">
        <f t="shared" si="0"/>
        <v>0</v>
      </c>
      <c r="I14" s="1834">
        <f t="shared" si="1"/>
        <v>0</v>
      </c>
      <c r="J14" s="1834">
        <f t="shared" si="2"/>
        <v>0</v>
      </c>
    </row>
    <row r="15" spans="1:10" ht="12" customHeight="1" x14ac:dyDescent="0.2">
      <c r="A15" s="1819" t="s">
        <v>1387</v>
      </c>
      <c r="B15" s="1820"/>
      <c r="C15" s="1821"/>
      <c r="D15" s="1821"/>
      <c r="E15" s="1824"/>
      <c r="F15" s="1823"/>
      <c r="H15" s="1834">
        <f t="shared" si="0"/>
        <v>0</v>
      </c>
      <c r="I15" s="1834">
        <f t="shared" si="1"/>
        <v>0</v>
      </c>
      <c r="J15" s="1834">
        <f t="shared" si="2"/>
        <v>0</v>
      </c>
    </row>
    <row r="16" spans="1:10" ht="12" customHeight="1" x14ac:dyDescent="0.2">
      <c r="A16" s="1819" t="s">
        <v>1388</v>
      </c>
      <c r="B16" s="1820"/>
      <c r="C16" s="1821"/>
      <c r="D16" s="1821"/>
      <c r="E16" s="1824"/>
      <c r="F16" s="1823"/>
      <c r="H16" s="1834">
        <f t="shared" si="0"/>
        <v>0</v>
      </c>
      <c r="I16" s="1834">
        <f t="shared" si="1"/>
        <v>0</v>
      </c>
      <c r="J16" s="1834">
        <f t="shared" si="2"/>
        <v>0</v>
      </c>
    </row>
    <row r="17" spans="1:12" ht="12" customHeight="1" x14ac:dyDescent="0.2">
      <c r="A17" s="1819" t="s">
        <v>1389</v>
      </c>
      <c r="B17" s="1820"/>
      <c r="C17" s="1821"/>
      <c r="D17" s="1821"/>
      <c r="E17" s="1824"/>
      <c r="F17" s="1823"/>
      <c r="H17" s="1834">
        <f t="shared" si="0"/>
        <v>0</v>
      </c>
      <c r="I17" s="1834">
        <f t="shared" si="1"/>
        <v>0</v>
      </c>
      <c r="J17" s="1834">
        <f t="shared" si="2"/>
        <v>0</v>
      </c>
    </row>
    <row r="18" spans="1:12" ht="12" customHeight="1" x14ac:dyDescent="0.2">
      <c r="A18" s="1819" t="s">
        <v>1390</v>
      </c>
      <c r="B18" s="1820"/>
      <c r="C18" s="1821"/>
      <c r="D18" s="1821"/>
      <c r="E18" s="1824"/>
      <c r="F18" s="1823"/>
      <c r="H18" s="1834">
        <f t="shared" si="0"/>
        <v>0</v>
      </c>
      <c r="I18" s="1834">
        <f t="shared" si="1"/>
        <v>0</v>
      </c>
      <c r="J18" s="1834">
        <f t="shared" si="2"/>
        <v>0</v>
      </c>
    </row>
    <row r="19" spans="1:12" ht="12" customHeight="1" x14ac:dyDescent="0.2">
      <c r="A19" s="1819" t="s">
        <v>1527</v>
      </c>
      <c r="B19" s="1820"/>
      <c r="C19" s="1821"/>
      <c r="D19" s="1821"/>
      <c r="E19" s="1824"/>
      <c r="F19" s="1823"/>
      <c r="H19" s="1834">
        <f t="shared" si="0"/>
        <v>0</v>
      </c>
      <c r="I19" s="1834">
        <f t="shared" si="1"/>
        <v>0</v>
      </c>
      <c r="J19" s="1834">
        <f t="shared" si="2"/>
        <v>0</v>
      </c>
    </row>
    <row r="20" spans="1:12" ht="12" customHeight="1" x14ac:dyDescent="0.2">
      <c r="A20" s="1819" t="s">
        <v>1528</v>
      </c>
      <c r="B20" s="1820"/>
      <c r="C20" s="1821" t="s">
        <v>2062</v>
      </c>
      <c r="D20" s="1821" t="s">
        <v>2062</v>
      </c>
      <c r="E20" s="1824"/>
      <c r="F20" s="1823" t="s">
        <v>2091</v>
      </c>
      <c r="H20" s="1834">
        <f t="shared" si="0"/>
        <v>5</v>
      </c>
      <c r="I20" s="1834">
        <f t="shared" si="1"/>
        <v>5</v>
      </c>
      <c r="J20" s="1834">
        <f t="shared" si="2"/>
        <v>0</v>
      </c>
    </row>
    <row r="21" spans="1:12" ht="12" customHeight="1" x14ac:dyDescent="0.2">
      <c r="A21" s="1819" t="s">
        <v>1529</v>
      </c>
      <c r="B21" s="1820"/>
      <c r="C21" s="1821"/>
      <c r="D21" s="1821"/>
      <c r="E21" s="1824"/>
      <c r="F21" s="1823"/>
      <c r="H21" s="1834">
        <f t="shared" si="0"/>
        <v>0</v>
      </c>
      <c r="I21" s="1834">
        <f t="shared" si="1"/>
        <v>0</v>
      </c>
      <c r="J21" s="1834">
        <f t="shared" si="2"/>
        <v>0</v>
      </c>
    </row>
    <row r="22" spans="1:12" ht="12" customHeight="1" x14ac:dyDescent="0.2">
      <c r="A22" s="1819" t="s">
        <v>1530</v>
      </c>
      <c r="B22" s="1820"/>
      <c r="C22" s="1821"/>
      <c r="D22" s="1821"/>
      <c r="E22" s="1824"/>
      <c r="F22" s="1823"/>
      <c r="H22" s="1834">
        <f t="shared" si="0"/>
        <v>0</v>
      </c>
      <c r="I22" s="1834">
        <f t="shared" si="1"/>
        <v>0</v>
      </c>
      <c r="J22" s="1834">
        <f t="shared" si="2"/>
        <v>0</v>
      </c>
    </row>
    <row r="23" spans="1:12" ht="12" customHeight="1" x14ac:dyDescent="0.2">
      <c r="A23" s="1819" t="s">
        <v>1531</v>
      </c>
      <c r="B23" s="1820"/>
      <c r="C23" s="1821"/>
      <c r="D23" s="1821"/>
      <c r="E23" s="1824"/>
      <c r="F23" s="1823"/>
      <c r="H23" s="1834">
        <f t="shared" si="0"/>
        <v>0</v>
      </c>
      <c r="I23" s="1834">
        <f t="shared" si="1"/>
        <v>0</v>
      </c>
      <c r="J23" s="1834">
        <f t="shared" si="2"/>
        <v>0</v>
      </c>
    </row>
    <row r="24" spans="1:12" ht="12" customHeight="1" x14ac:dyDescent="0.2">
      <c r="A24" s="1819" t="s">
        <v>1532</v>
      </c>
      <c r="B24" s="1820"/>
      <c r="C24" s="1821"/>
      <c r="D24" s="1821"/>
      <c r="E24" s="1824"/>
      <c r="F24" s="1823"/>
      <c r="H24" s="1834">
        <f t="shared" si="0"/>
        <v>0</v>
      </c>
      <c r="I24" s="1834">
        <f t="shared" si="1"/>
        <v>0</v>
      </c>
      <c r="J24" s="1834">
        <f t="shared" si="2"/>
        <v>0</v>
      </c>
    </row>
    <row r="25" spans="1:12" ht="12" customHeight="1" x14ac:dyDescent="0.2">
      <c r="A25" s="1819" t="s">
        <v>1533</v>
      </c>
      <c r="B25" s="1820"/>
      <c r="C25" s="1821"/>
      <c r="D25" s="1821"/>
      <c r="E25" s="1824"/>
      <c r="F25" s="1823"/>
      <c r="H25" s="1834">
        <f t="shared" si="0"/>
        <v>0</v>
      </c>
      <c r="I25" s="1834">
        <f t="shared" si="1"/>
        <v>0</v>
      </c>
      <c r="J25" s="1834">
        <f t="shared" si="2"/>
        <v>0</v>
      </c>
    </row>
    <row r="26" spans="1:12" ht="12" customHeight="1" x14ac:dyDescent="0.2">
      <c r="A26" s="1819" t="s">
        <v>1534</v>
      </c>
      <c r="B26" s="1820"/>
      <c r="C26" s="1821"/>
      <c r="D26" s="1821"/>
      <c r="E26" s="1824"/>
      <c r="F26" s="1823"/>
      <c r="H26" s="1834">
        <f t="shared" si="0"/>
        <v>0</v>
      </c>
      <c r="I26" s="1834">
        <f t="shared" si="1"/>
        <v>0</v>
      </c>
      <c r="J26" s="1834">
        <f t="shared" si="2"/>
        <v>0</v>
      </c>
    </row>
    <row r="27" spans="1:12" ht="18.75" x14ac:dyDescent="0.2">
      <c r="A27" s="1819" t="s">
        <v>1535</v>
      </c>
      <c r="B27" s="1820"/>
      <c r="C27" s="1821"/>
      <c r="D27" s="1821"/>
      <c r="E27" s="1824"/>
      <c r="F27" s="1823"/>
      <c r="H27" s="1834">
        <f t="shared" si="0"/>
        <v>0</v>
      </c>
      <c r="I27" s="1834">
        <f t="shared" si="1"/>
        <v>0</v>
      </c>
      <c r="J27" s="1834">
        <f t="shared" si="2"/>
        <v>0</v>
      </c>
    </row>
    <row r="28" spans="1:12" ht="12" customHeight="1" x14ac:dyDescent="0.2">
      <c r="A28" s="1819" t="s">
        <v>1536</v>
      </c>
      <c r="B28" s="1820"/>
      <c r="C28" s="1821"/>
      <c r="D28" s="1821"/>
      <c r="E28" s="1824"/>
      <c r="F28" s="1823"/>
      <c r="H28" s="1834">
        <f t="shared" si="0"/>
        <v>0</v>
      </c>
      <c r="I28" s="1834">
        <f t="shared" si="1"/>
        <v>0</v>
      </c>
      <c r="J28" s="1834">
        <f t="shared" si="2"/>
        <v>0</v>
      </c>
    </row>
    <row r="29" spans="1:12" ht="12" customHeight="1" x14ac:dyDescent="0.2">
      <c r="A29" s="1819" t="s">
        <v>1537</v>
      </c>
      <c r="B29" s="1820"/>
      <c r="C29" s="1821"/>
      <c r="D29" s="1821"/>
      <c r="E29" s="1824"/>
      <c r="F29" s="1823"/>
      <c r="H29" s="1834">
        <f t="shared" si="0"/>
        <v>0</v>
      </c>
      <c r="I29" s="1834">
        <f t="shared" si="1"/>
        <v>0</v>
      </c>
      <c r="J29" s="1834">
        <f t="shared" si="2"/>
        <v>0</v>
      </c>
    </row>
    <row r="30" spans="1:12" ht="12" customHeight="1" x14ac:dyDescent="0.2">
      <c r="A30" s="1819" t="s">
        <v>1538</v>
      </c>
      <c r="B30" s="1820"/>
      <c r="C30" s="1821"/>
      <c r="D30" s="1821"/>
      <c r="E30" s="1824"/>
      <c r="F30" s="1823"/>
      <c r="H30" s="1834">
        <f t="shared" si="0"/>
        <v>0</v>
      </c>
      <c r="I30" s="1834">
        <f t="shared" si="1"/>
        <v>0</v>
      </c>
      <c r="J30" s="1834">
        <f t="shared" si="2"/>
        <v>0</v>
      </c>
    </row>
    <row r="31" spans="1:12" ht="12" customHeight="1" x14ac:dyDescent="0.2">
      <c r="A31" s="1819" t="s">
        <v>1539</v>
      </c>
      <c r="B31" s="1820"/>
      <c r="C31" s="1821"/>
      <c r="D31" s="1821"/>
      <c r="E31" s="1824"/>
      <c r="F31" s="1823"/>
      <c r="H31" s="1834">
        <f t="shared" si="0"/>
        <v>0</v>
      </c>
      <c r="I31" s="1834">
        <f t="shared" si="1"/>
        <v>0</v>
      </c>
      <c r="J31" s="1834">
        <f t="shared" si="2"/>
        <v>0</v>
      </c>
      <c r="L31" s="1825"/>
    </row>
    <row r="32" spans="1:12" ht="12" customHeight="1" x14ac:dyDescent="0.2">
      <c r="A32" s="1819" t="s">
        <v>1540</v>
      </c>
      <c r="B32" s="1820"/>
      <c r="C32" s="1821"/>
      <c r="D32" s="1821"/>
      <c r="E32" s="1824"/>
      <c r="F32" s="1823"/>
      <c r="H32" s="1834">
        <f t="shared" si="0"/>
        <v>0</v>
      </c>
      <c r="I32" s="1834">
        <f t="shared" si="1"/>
        <v>0</v>
      </c>
      <c r="J32" s="1834">
        <f t="shared" si="2"/>
        <v>0</v>
      </c>
    </row>
    <row r="33" spans="1:11" ht="12" customHeight="1" x14ac:dyDescent="0.2">
      <c r="A33" s="1819" t="s">
        <v>1541</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5</v>
      </c>
      <c r="I34" s="1834">
        <f>SUM(I11:I32)</f>
        <v>5</v>
      </c>
      <c r="J34" s="1834">
        <f>SUM(J11:J32)</f>
        <v>0</v>
      </c>
      <c r="K34" s="1834">
        <f>SUM(H34:J34)</f>
        <v>10</v>
      </c>
    </row>
    <row r="35" spans="1:11" ht="12" customHeight="1" x14ac:dyDescent="0.2">
      <c r="A35" s="1827" t="s">
        <v>1392</v>
      </c>
      <c r="B35" s="1828"/>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29"/>
      <c r="B39" s="1829"/>
      <c r="C39" s="1829"/>
      <c r="D39" s="1829"/>
      <c r="E39" s="1829"/>
      <c r="F39" s="1829"/>
    </row>
    <row r="40" spans="1:11" s="1826" customFormat="1" ht="12" customHeight="1" x14ac:dyDescent="0.25">
      <c r="A40" s="1830" t="s">
        <v>1391</v>
      </c>
      <c r="B40" s="1831"/>
      <c r="C40" s="2334"/>
      <c r="D40" s="2334"/>
      <c r="E40" s="2334"/>
      <c r="F40" s="2335"/>
      <c r="H40" s="1835"/>
      <c r="I40" s="1835"/>
      <c r="J40" s="1835"/>
      <c r="K40" s="1835"/>
    </row>
    <row r="41" spans="1:11" s="1826" customFormat="1" ht="12" customHeight="1" x14ac:dyDescent="0.25">
      <c r="A41" s="2336"/>
      <c r="B41" s="2337"/>
      <c r="C41" s="2337"/>
      <c r="D41" s="2337"/>
      <c r="E41" s="2337"/>
      <c r="F41" s="2338"/>
      <c r="H41" s="1835"/>
      <c r="I41" s="1835"/>
      <c r="J41" s="1835"/>
      <c r="K41" s="1835"/>
    </row>
    <row r="42" spans="1:11" s="1826" customFormat="1" ht="12" customHeight="1" x14ac:dyDescent="0.25">
      <c r="A42" s="2336"/>
      <c r="B42" s="2337"/>
      <c r="C42" s="2337"/>
      <c r="D42" s="2337"/>
      <c r="E42" s="2337"/>
      <c r="F42" s="2338"/>
      <c r="H42" s="1835"/>
      <c r="I42" s="1835"/>
      <c r="J42" s="1835"/>
      <c r="K42" s="1835"/>
    </row>
    <row r="43" spans="1:11" s="1826" customFormat="1" ht="15" x14ac:dyDescent="0.25">
      <c r="A43" s="2328"/>
      <c r="B43" s="2329"/>
      <c r="C43" s="2329"/>
      <c r="D43" s="2329"/>
      <c r="E43" s="2329"/>
      <c r="F43" s="2330"/>
      <c r="H43" s="1835"/>
      <c r="I43" s="1835"/>
      <c r="J43" s="1835"/>
      <c r="K43" s="1835"/>
    </row>
    <row r="44" spans="1:11" s="1826" customFormat="1" ht="12" hidden="1" customHeight="1" x14ac:dyDescent="0.25">
      <c r="A44" s="2328"/>
      <c r="B44" s="2329"/>
      <c r="C44" s="2329"/>
      <c r="D44" s="2329"/>
      <c r="E44" s="2329"/>
      <c r="F44" s="2330"/>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0" tint="-0.14999847407452621"/>
    <pageSetUpPr fitToPage="1"/>
  </sheetPr>
  <dimension ref="A1:Q40"/>
  <sheetViews>
    <sheetView showGridLines="0" defaultGridColor="0" colorId="8" zoomScale="110" zoomScaleNormal="110" workbookViewId="0">
      <selection activeCell="G11" sqref="G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50" t="s">
        <v>672</v>
      </c>
      <c r="B6" s="1627"/>
      <c r="C6" s="1627"/>
      <c r="D6" s="1627"/>
      <c r="E6" s="1628"/>
      <c r="F6" s="1015"/>
      <c r="G6" s="1009"/>
      <c r="H6" s="1016" t="s">
        <v>1028</v>
      </c>
      <c r="I6" s="2344" t="str">
        <f>COVER!A17</f>
        <v>Eisenhower Cooperative</v>
      </c>
      <c r="J6" s="2345"/>
      <c r="Q6" s="1632"/>
    </row>
    <row r="7" spans="1:17" x14ac:dyDescent="0.2">
      <c r="A7" s="2346" t="s">
        <v>869</v>
      </c>
      <c r="B7" s="2347"/>
      <c r="C7" s="2347"/>
      <c r="D7" s="2347"/>
      <c r="E7" s="2348"/>
      <c r="F7" s="1017"/>
      <c r="G7" s="1009"/>
      <c r="H7" s="1016" t="s">
        <v>372</v>
      </c>
      <c r="I7" s="2349">
        <f>COVER!A13</f>
        <v>7016127561</v>
      </c>
      <c r="J7" s="2349"/>
    </row>
    <row r="8" spans="1:17" ht="8.25" customHeight="1" x14ac:dyDescent="0.2">
      <c r="A8" s="1629"/>
      <c r="B8" s="1630"/>
      <c r="C8" s="1630"/>
      <c r="D8" s="1630"/>
      <c r="E8" s="1631"/>
      <c r="F8" s="1018"/>
      <c r="G8" s="1019"/>
      <c r="H8" s="1019"/>
      <c r="I8" s="1019"/>
      <c r="J8" s="1019"/>
    </row>
    <row r="9" spans="1:17" ht="13.5" customHeight="1" x14ac:dyDescent="0.2">
      <c r="A9" s="1020"/>
      <c r="B9" s="1021"/>
      <c r="C9" s="1021"/>
      <c r="D9" s="1022"/>
      <c r="E9" s="1851" t="s">
        <v>1974</v>
      </c>
      <c r="F9" s="1023"/>
      <c r="G9" s="1023"/>
      <c r="H9" s="1852"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0" t="s">
        <v>481</v>
      </c>
      <c r="B11" s="2351"/>
      <c r="C11" s="235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71">
        <f>'Expenditures 15-22'!K50</f>
        <v>1175557</v>
      </c>
      <c r="F12" s="1039"/>
      <c r="G12" s="1771">
        <f t="shared" ref="G12:G18" si="0">SUM(E12:F12)</f>
        <v>1175557</v>
      </c>
      <c r="H12" s="1040">
        <v>1068330</v>
      </c>
      <c r="I12" s="1039"/>
      <c r="J12" s="1771">
        <f t="shared" ref="J12:J18" si="1">SUM(H12:I12)</f>
        <v>1068330</v>
      </c>
    </row>
    <row r="13" spans="1:17" ht="15" customHeight="1" x14ac:dyDescent="0.2">
      <c r="A13" s="1035">
        <v>2</v>
      </c>
      <c r="B13" s="1036" t="s">
        <v>42</v>
      </c>
      <c r="C13" s="1037"/>
      <c r="D13" s="1038">
        <v>2330</v>
      </c>
      <c r="E13" s="1771">
        <f>'Expenditures 15-22'!K51</f>
        <v>0</v>
      </c>
      <c r="F13" s="1039"/>
      <c r="G13" s="1771">
        <f t="shared" si="0"/>
        <v>0</v>
      </c>
      <c r="H13" s="1040">
        <v>0</v>
      </c>
      <c r="I13" s="1039"/>
      <c r="J13" s="1771">
        <f t="shared" si="1"/>
        <v>0</v>
      </c>
    </row>
    <row r="14" spans="1:17" ht="15" customHeight="1" x14ac:dyDescent="0.2">
      <c r="A14" s="1035">
        <v>3</v>
      </c>
      <c r="B14" s="1036" t="s">
        <v>43</v>
      </c>
      <c r="C14" s="1037"/>
      <c r="D14" s="1041">
        <v>2490</v>
      </c>
      <c r="E14" s="1771">
        <f>'Expenditures 15-22'!K56</f>
        <v>0</v>
      </c>
      <c r="F14" s="1039"/>
      <c r="G14" s="1771">
        <f t="shared" si="0"/>
        <v>0</v>
      </c>
      <c r="H14" s="1040">
        <v>0</v>
      </c>
      <c r="I14" s="1039"/>
      <c r="J14" s="1771">
        <f t="shared" si="1"/>
        <v>0</v>
      </c>
    </row>
    <row r="15" spans="1:17" ht="15" customHeight="1" x14ac:dyDescent="0.2">
      <c r="A15" s="1035">
        <v>4</v>
      </c>
      <c r="B15" s="1036" t="s">
        <v>1068</v>
      </c>
      <c r="C15" s="1037"/>
      <c r="D15" s="1038">
        <v>2510</v>
      </c>
      <c r="E15" s="1771">
        <f>'Expenditures 15-22'!K59</f>
        <v>143498</v>
      </c>
      <c r="F15" s="1771">
        <f>'Expenditures 15-22'!K122</f>
        <v>0</v>
      </c>
      <c r="G15" s="1771">
        <f t="shared" si="0"/>
        <v>143498</v>
      </c>
      <c r="H15" s="1040">
        <v>149887</v>
      </c>
      <c r="I15" s="1040">
        <v>0</v>
      </c>
      <c r="J15" s="1771">
        <f t="shared" si="1"/>
        <v>149887</v>
      </c>
    </row>
    <row r="16" spans="1:17" ht="15" customHeight="1" x14ac:dyDescent="0.2">
      <c r="A16" s="1035">
        <v>5</v>
      </c>
      <c r="B16" s="1036" t="s">
        <v>101</v>
      </c>
      <c r="C16" s="1037"/>
      <c r="D16" s="1038">
        <v>2570</v>
      </c>
      <c r="E16" s="1771">
        <f>'Expenditures 15-22'!K64</f>
        <v>0</v>
      </c>
      <c r="F16" s="1039"/>
      <c r="G16" s="1771">
        <f t="shared" si="0"/>
        <v>0</v>
      </c>
      <c r="H16" s="1040">
        <v>0</v>
      </c>
      <c r="I16" s="1039"/>
      <c r="J16" s="1771">
        <f t="shared" si="1"/>
        <v>0</v>
      </c>
    </row>
    <row r="17" spans="1:10" ht="15" customHeight="1" x14ac:dyDescent="0.2">
      <c r="A17" s="1035">
        <v>6</v>
      </c>
      <c r="B17" s="1036" t="s">
        <v>1060</v>
      </c>
      <c r="C17" s="1037"/>
      <c r="D17" s="1038">
        <v>2610</v>
      </c>
      <c r="E17" s="1771">
        <f>'Expenditures 15-22'!K67</f>
        <v>0</v>
      </c>
      <c r="F17" s="1039"/>
      <c r="G17" s="1771">
        <f t="shared" si="0"/>
        <v>0</v>
      </c>
      <c r="H17" s="1040">
        <v>0</v>
      </c>
      <c r="I17" s="1039"/>
      <c r="J17" s="1771">
        <f t="shared" si="1"/>
        <v>0</v>
      </c>
    </row>
    <row r="18" spans="1:10" ht="22.5" customHeight="1" x14ac:dyDescent="0.2">
      <c r="A18" s="1042">
        <v>7</v>
      </c>
      <c r="B18" s="2353" t="s">
        <v>7</v>
      </c>
      <c r="C18" s="2354"/>
      <c r="D18" s="2355"/>
      <c r="E18" s="1043"/>
      <c r="F18" s="1043"/>
      <c r="G18" s="1772">
        <f t="shared" si="0"/>
        <v>0</v>
      </c>
      <c r="H18" s="1040">
        <v>0</v>
      </c>
      <c r="I18" s="1040">
        <v>0</v>
      </c>
      <c r="J18" s="1771">
        <f t="shared" si="1"/>
        <v>0</v>
      </c>
    </row>
    <row r="19" spans="1:10" ht="12.75" customHeight="1" thickBot="1" x14ac:dyDescent="0.25">
      <c r="A19" s="1035">
        <v>8</v>
      </c>
      <c r="B19" s="1044" t="s">
        <v>1161</v>
      </c>
      <c r="D19" s="1045"/>
      <c r="E19" s="1773">
        <f t="shared" ref="E19:J19" si="2">SUM(E12:E17)-E18</f>
        <v>1319055</v>
      </c>
      <c r="F19" s="1773">
        <f t="shared" si="2"/>
        <v>0</v>
      </c>
      <c r="G19" s="1773">
        <f t="shared" si="2"/>
        <v>1319055</v>
      </c>
      <c r="H19" s="1773">
        <f t="shared" si="2"/>
        <v>1218217</v>
      </c>
      <c r="I19" s="1773">
        <f t="shared" si="2"/>
        <v>0</v>
      </c>
      <c r="J19" s="1773">
        <f t="shared" si="2"/>
        <v>1218217</v>
      </c>
    </row>
    <row r="20" spans="1:10" ht="13.5" thickTop="1" x14ac:dyDescent="0.2">
      <c r="A20" s="1035">
        <v>9</v>
      </c>
      <c r="B20" s="2356" t="s">
        <v>1976</v>
      </c>
      <c r="C20" s="2356"/>
      <c r="D20" s="2357"/>
      <c r="E20" s="1046"/>
      <c r="F20" s="1046"/>
      <c r="G20" s="1046"/>
      <c r="H20" s="1046"/>
      <c r="I20" s="1046"/>
      <c r="J20" s="1774">
        <f>IF(AND(G19&gt;0,J19&gt;0),(((J19-G19)/G19)),"Enter Budget Data")</f>
        <v>-7.644715345455648E-2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62"/>
      <c r="D26" s="2362"/>
      <c r="E26" s="1050"/>
      <c r="F26" s="2361">
        <v>43819</v>
      </c>
      <c r="G26" s="2361"/>
    </row>
    <row r="27" spans="1:10" x14ac:dyDescent="0.2">
      <c r="B27" s="1047"/>
      <c r="C27" s="1051" t="s">
        <v>1033</v>
      </c>
      <c r="D27" s="1052"/>
      <c r="E27" s="1053"/>
      <c r="F27" s="2358" t="s">
        <v>1509</v>
      </c>
      <c r="G27" s="2358"/>
    </row>
    <row r="28" spans="1:10" ht="28.5" customHeight="1" x14ac:dyDescent="0.2">
      <c r="B28" s="1047"/>
      <c r="C28" s="2360"/>
      <c r="D28" s="2360"/>
      <c r="E28" s="1054"/>
      <c r="F28" s="2360"/>
      <c r="G28" s="2360"/>
    </row>
    <row r="29" spans="1:10" x14ac:dyDescent="0.2">
      <c r="B29" s="1047"/>
      <c r="C29" s="1055" t="s">
        <v>1561</v>
      </c>
      <c r="E29" s="1056"/>
      <c r="F29" s="2359" t="s">
        <v>1510</v>
      </c>
      <c r="G29" s="235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1" t="s">
        <v>132</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2"/>
    </row>
    <row r="36" spans="1:10" ht="13.5" customHeight="1" x14ac:dyDescent="0.2">
      <c r="B36" s="1061"/>
      <c r="C36" s="2343" t="s">
        <v>1978</v>
      </c>
      <c r="D36" s="2342"/>
      <c r="E36" s="2342"/>
      <c r="F36" s="2342"/>
      <c r="G36" s="2342"/>
      <c r="H36" s="2342"/>
      <c r="I36" s="2342"/>
      <c r="J36" s="1063"/>
    </row>
    <row r="37" spans="1:10" ht="22.5" customHeight="1" x14ac:dyDescent="0.2">
      <c r="C37" s="2342"/>
      <c r="D37" s="2342"/>
      <c r="E37" s="2342"/>
      <c r="F37" s="2342"/>
      <c r="G37" s="2342"/>
      <c r="H37" s="2342"/>
      <c r="I37" s="2342"/>
      <c r="J37" s="1063"/>
    </row>
    <row r="38" spans="1:10" ht="7.5" customHeight="1" x14ac:dyDescent="0.2">
      <c r="C38" s="1062"/>
      <c r="D38" s="1064"/>
      <c r="E38" s="1065"/>
      <c r="F38" s="1066"/>
      <c r="G38" s="1065"/>
    </row>
    <row r="39" spans="1:10" ht="13.5" customHeight="1" x14ac:dyDescent="0.2">
      <c r="B39" s="1061"/>
      <c r="C39" s="2339" t="s">
        <v>882</v>
      </c>
      <c r="D39" s="2340"/>
      <c r="E39" s="2340"/>
      <c r="F39" s="2340"/>
      <c r="G39" s="2340"/>
      <c r="H39" s="2340"/>
      <c r="I39" s="234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14999847407452621"/>
  </sheetPr>
  <dimension ref="A2:B65"/>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66" t="s">
        <v>2092</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Eisenhower Cooperative</v>
      </c>
    </row>
    <row r="65" spans="2:2" x14ac:dyDescent="0.2">
      <c r="B65" s="1070">
        <f>COVER!A13</f>
        <v>7016127561</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I84"/>
  <sheetViews>
    <sheetView showGridLines="0" topLeftCell="A18" zoomScale="110" zoomScaleNormal="110" workbookViewId="0">
      <selection activeCell="B54" sqref="B5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796" t="s">
        <v>1611</v>
      </c>
    </row>
    <row r="23" spans="1:5" x14ac:dyDescent="0.2">
      <c r="A23" s="168"/>
      <c r="B23" s="162" t="s">
        <v>1853</v>
      </c>
      <c r="D23" s="167" t="s">
        <v>637</v>
      </c>
      <c r="E23" s="179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0" t="s">
        <v>1065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691</v>
      </c>
      <c r="B40" s="2077"/>
      <c r="C40" s="2077"/>
      <c r="D40" s="2077"/>
      <c r="E40" s="2077"/>
    </row>
    <row r="41" spans="1:5" x14ac:dyDescent="0.2">
      <c r="A41" s="2078" t="s">
        <v>1608</v>
      </c>
      <c r="B41" s="2078"/>
      <c r="C41" s="2078"/>
      <c r="D41" s="2078"/>
      <c r="E41" s="2078"/>
    </row>
    <row r="42" spans="1:5" ht="12.75" customHeight="1" x14ac:dyDescent="0.2">
      <c r="A42" s="2079" t="s">
        <v>1022</v>
      </c>
      <c r="B42" s="2079"/>
      <c r="C42" s="2079"/>
      <c r="D42" s="2079"/>
      <c r="E42" s="207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14999847407452621"/>
  </sheetPr>
  <dimension ref="A1:D19"/>
  <sheetViews>
    <sheetView showGridLines="0" defaultGridColor="0" colorId="8" zoomScale="110" zoomScaleNormal="110" workbookViewId="0">
      <selection activeCell="G11" sqref="G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14999847407452621"/>
  </sheetPr>
  <dimension ref="A1:F27"/>
  <sheetViews>
    <sheetView showGridLines="0" zoomScale="110" zoomScaleNormal="110" workbookViewId="0">
      <selection activeCell="I15" sqref="I15"/>
    </sheetView>
  </sheetViews>
  <sheetFormatPr defaultColWidth="9.140625" defaultRowHeight="12.75" x14ac:dyDescent="0.2"/>
  <cols>
    <col min="1" max="1" width="1.85546875" style="329" customWidth="1"/>
    <col min="2" max="2" width="59.7109375" style="329" customWidth="1"/>
    <col min="3" max="16384" width="9.140625" style="329"/>
  </cols>
  <sheetData>
    <row r="1" spans="2:2" x14ac:dyDescent="0.2">
      <c r="B1" s="1967"/>
    </row>
    <row r="2" spans="2:2" x14ac:dyDescent="0.2">
      <c r="B2" s="1967" t="s">
        <v>2206</v>
      </c>
    </row>
    <row r="3" spans="2:2" x14ac:dyDescent="0.2">
      <c r="B3" s="1967"/>
    </row>
    <row r="4" spans="2:2" x14ac:dyDescent="0.2">
      <c r="B4" s="1967"/>
    </row>
    <row r="5" spans="2:2" x14ac:dyDescent="0.2">
      <c r="B5" s="1967"/>
    </row>
    <row r="6" spans="2:2" x14ac:dyDescent="0.2">
      <c r="B6" s="1967" t="s">
        <v>2207</v>
      </c>
    </row>
    <row r="7" spans="2:2" x14ac:dyDescent="0.2">
      <c r="B7" s="1967"/>
    </row>
    <row r="8" spans="2:2" x14ac:dyDescent="0.2">
      <c r="B8" s="1967"/>
    </row>
    <row r="9" spans="2:2" x14ac:dyDescent="0.2">
      <c r="B9" s="1967"/>
    </row>
    <row r="10" spans="2:2" x14ac:dyDescent="0.2">
      <c r="B10" s="1967"/>
    </row>
    <row r="11" spans="2:2" x14ac:dyDescent="0.2">
      <c r="B11" s="1967" t="s">
        <v>2208</v>
      </c>
    </row>
    <row r="12" spans="2:2" x14ac:dyDescent="0.2">
      <c r="B12" s="1967"/>
    </row>
    <row r="13" spans="2:2" x14ac:dyDescent="0.2">
      <c r="B13" s="1967"/>
    </row>
    <row r="14" spans="2:2" x14ac:dyDescent="0.2">
      <c r="B14" s="1967"/>
    </row>
    <row r="15" spans="2:2" x14ac:dyDescent="0.2">
      <c r="B15" s="1967"/>
    </row>
    <row r="16" spans="2:2" x14ac:dyDescent="0.2">
      <c r="B16" s="1967" t="s">
        <v>2209</v>
      </c>
    </row>
    <row r="17" spans="1:6" x14ac:dyDescent="0.2">
      <c r="B17" s="1967"/>
    </row>
    <row r="18" spans="1:6" x14ac:dyDescent="0.2">
      <c r="B18" s="1967"/>
    </row>
    <row r="19" spans="1:6" x14ac:dyDescent="0.2">
      <c r="B19" s="1967"/>
    </row>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63" t="s">
        <v>1685</v>
      </c>
      <c r="B27" s="2363"/>
    </row>
  </sheetData>
  <sheetProtection selectLockedCells="1"/>
  <mergeCells count="1">
    <mergeCell ref="A27:B27"/>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0</xdr:col>
                <xdr:colOff>0</xdr:colOff>
                <xdr:row>10</xdr:row>
                <xdr:rowOff>0</xdr:rowOff>
              </from>
              <to>
                <xdr:col>1</xdr:col>
                <xdr:colOff>790575</xdr:colOff>
                <xdr:row>14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0</xdr:col>
                <xdr:colOff>0</xdr:colOff>
                <xdr:row>15</xdr:row>
                <xdr:rowOff>0</xdr:rowOff>
              </from>
              <to>
                <xdr:col>1</xdr:col>
                <xdr:colOff>790575</xdr:colOff>
                <xdr:row>19</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14999847407452621"/>
    <pageSetUpPr fitToPage="1"/>
  </sheetPr>
  <dimension ref="A1:H48"/>
  <sheetViews>
    <sheetView showGridLines="0" showZeros="0" topLeftCell="A2" zoomScale="110" zoomScaleNormal="110" workbookViewId="0">
      <selection activeCell="G11" sqref="G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1690</v>
      </c>
      <c r="B1" s="2365"/>
      <c r="C1" s="2365"/>
      <c r="D1" s="2365"/>
      <c r="E1" s="2365"/>
      <c r="F1" s="2366"/>
    </row>
    <row r="2" spans="1:8" ht="45" customHeight="1" x14ac:dyDescent="0.2">
      <c r="A2" s="2374" t="s">
        <v>1982</v>
      </c>
      <c r="B2" s="2375"/>
      <c r="C2" s="2375"/>
      <c r="D2" s="2375"/>
      <c r="E2" s="2375"/>
      <c r="F2" s="2376"/>
      <c r="G2" s="1074"/>
      <c r="H2" s="1074"/>
    </row>
    <row r="3" spans="1:8" ht="57" customHeight="1" x14ac:dyDescent="0.2">
      <c r="A3" s="2377" t="s">
        <v>1686</v>
      </c>
      <c r="B3" s="2378"/>
      <c r="C3" s="2378"/>
      <c r="D3" s="2378"/>
      <c r="E3" s="2378"/>
      <c r="F3" s="2379"/>
      <c r="G3" s="1074"/>
      <c r="H3" s="1074"/>
    </row>
    <row r="4" spans="1:8" ht="14.25" customHeight="1" x14ac:dyDescent="0.2">
      <c r="A4" s="2383" t="s">
        <v>1983</v>
      </c>
      <c r="B4" s="2384"/>
      <c r="C4" s="2384"/>
      <c r="D4" s="2384"/>
      <c r="E4" s="2384"/>
      <c r="F4" s="2385"/>
      <c r="G4" s="1074"/>
      <c r="H4" s="1074"/>
    </row>
    <row r="5" spans="1:8" ht="14.25" customHeight="1" x14ac:dyDescent="0.2">
      <c r="A5" s="2386" t="s">
        <v>1979</v>
      </c>
      <c r="B5" s="2387"/>
      <c r="C5" s="2387"/>
      <c r="D5" s="2387"/>
      <c r="E5" s="2387"/>
      <c r="F5" s="2388"/>
      <c r="G5" s="1074"/>
      <c r="H5" s="1074"/>
    </row>
    <row r="6" spans="1:8" s="1075" customFormat="1" ht="41.25" customHeight="1" x14ac:dyDescent="0.2">
      <c r="A6" s="2380" t="s">
        <v>1691</v>
      </c>
      <c r="B6" s="2381"/>
      <c r="C6" s="2381"/>
      <c r="D6" s="2381"/>
      <c r="E6" s="2381"/>
      <c r="F6" s="238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75">
        <f>'Acct Summary 7-8'!C8</f>
        <v>15205720</v>
      </c>
      <c r="C8" s="1775">
        <f>'Acct Summary 7-8'!D8</f>
        <v>0</v>
      </c>
      <c r="D8" s="1775">
        <f>'Acct Summary 7-8'!F8</f>
        <v>42492</v>
      </c>
      <c r="E8" s="1775">
        <f>'Acct Summary 7-8'!I8</f>
        <v>0</v>
      </c>
      <c r="F8" s="1775">
        <f>SUM(B8:E8)</f>
        <v>15248212</v>
      </c>
    </row>
    <row r="9" spans="1:8" s="1079" customFormat="1" ht="14.25" customHeight="1" thickBot="1" x14ac:dyDescent="0.25">
      <c r="A9" s="1078" t="s">
        <v>1369</v>
      </c>
      <c r="B9" s="1776">
        <f>'Acct Summary 7-8'!C17</f>
        <v>15906511</v>
      </c>
      <c r="C9" s="1776">
        <f>'Acct Summary 7-8'!D17</f>
        <v>0</v>
      </c>
      <c r="D9" s="1776">
        <f>'Acct Summary 7-8'!F17</f>
        <v>0</v>
      </c>
      <c r="E9" s="1775"/>
      <c r="F9" s="1775">
        <f>SUM(B9:E9)</f>
        <v>15906511</v>
      </c>
    </row>
    <row r="10" spans="1:8" s="1079" customFormat="1" ht="14.25" thickTop="1" thickBot="1" x14ac:dyDescent="0.25">
      <c r="A10" s="1080" t="s">
        <v>1370</v>
      </c>
      <c r="B10" s="1777">
        <f>(B8-B9)</f>
        <v>-700791</v>
      </c>
      <c r="C10" s="1777">
        <f>(C8-C9)</f>
        <v>0</v>
      </c>
      <c r="D10" s="1777">
        <f>(D8-D9)</f>
        <v>42492</v>
      </c>
      <c r="E10" s="1776">
        <f>(E8-E9)</f>
        <v>0</v>
      </c>
      <c r="F10" s="1778">
        <f>SUM(F8-F9)</f>
        <v>-658299</v>
      </c>
    </row>
    <row r="11" spans="1:8" s="1079" customFormat="1" ht="14.25" thickTop="1" thickBot="1" x14ac:dyDescent="0.25">
      <c r="A11" s="1081" t="s">
        <v>1980</v>
      </c>
      <c r="B11" s="1779">
        <f>'Acct Summary 7-8'!C81</f>
        <v>1971844</v>
      </c>
      <c r="C11" s="1779">
        <f>'Acct Summary 7-8'!D81</f>
        <v>0</v>
      </c>
      <c r="D11" s="1779">
        <f>'Acct Summary 7-8'!F81</f>
        <v>1051614</v>
      </c>
      <c r="E11" s="1779">
        <f>'Acct Summary 7-8'!I81</f>
        <v>0</v>
      </c>
      <c r="F11" s="1780">
        <f>SUM(B11:E11)</f>
        <v>3023458</v>
      </c>
    </row>
    <row r="12" spans="1:8" ht="16.5" customHeight="1" thickTop="1" x14ac:dyDescent="0.2">
      <c r="A12" s="1082"/>
      <c r="B12" s="1083"/>
      <c r="C12" s="2368" t="str">
        <f>IF(AND(F10&lt;0,F11&gt;=0,ABS(F10*3)&gt;ABS(F11)),A16,IF(AND(F10&lt;0,F11&gt;0,ABS(F10*3)&lt;=ABS(F11)),A17,IF(AND(F10&lt;0,F11&lt;0),A16,IF(F11=0,A19,A18))))</f>
        <v>Unbalanced -  however, a deficit reduction plan is not required at this time.</v>
      </c>
      <c r="D12" s="2369"/>
      <c r="E12" s="2369"/>
      <c r="F12" s="2370"/>
    </row>
    <row r="13" spans="1:8" ht="19.5" customHeight="1" x14ac:dyDescent="0.2">
      <c r="A13" s="1084"/>
      <c r="B13" s="1085"/>
      <c r="C13" s="2368"/>
      <c r="D13" s="2369"/>
      <c r="E13" s="2369"/>
      <c r="F13" s="2370"/>
      <c r="H13" s="1074"/>
    </row>
    <row r="14" spans="1:8" ht="19.5" customHeight="1" x14ac:dyDescent="0.2">
      <c r="A14" s="1084"/>
      <c r="B14" s="1085"/>
      <c r="C14" s="2368"/>
      <c r="D14" s="2369"/>
      <c r="E14" s="2369"/>
      <c r="F14" s="2370"/>
      <c r="H14" s="1074"/>
    </row>
    <row r="15" spans="1:8" ht="17.25" customHeight="1" x14ac:dyDescent="0.2">
      <c r="A15" s="1084"/>
      <c r="B15" s="1085"/>
      <c r="C15" s="2371"/>
      <c r="D15" s="2372"/>
      <c r="E15" s="2372"/>
      <c r="F15" s="2373"/>
      <c r="H15" s="1074"/>
    </row>
    <row r="16" spans="1:8" s="310" customFormat="1" ht="51.75" hidden="1" customHeight="1" x14ac:dyDescent="0.2">
      <c r="A16" s="2367" t="s">
        <v>1687</v>
      </c>
      <c r="B16" s="2367"/>
      <c r="C16" s="2367"/>
      <c r="D16" s="2367"/>
      <c r="E16" s="236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11" sqref="G1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3"/>
      <c r="B2" s="1854"/>
      <c r="C2" s="1855"/>
      <c r="D2" s="1856"/>
    </row>
    <row r="3" spans="1:4" ht="36" customHeight="1" x14ac:dyDescent="0.2">
      <c r="A3" s="2389" t="s">
        <v>665</v>
      </c>
      <c r="B3" s="2390"/>
      <c r="C3" s="2390"/>
      <c r="D3" s="239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0" t="s">
        <v>1504</v>
      </c>
      <c r="D7" s="240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92" t="s">
        <v>1008</v>
      </c>
      <c r="B15" s="2393"/>
      <c r="C15" s="2393"/>
      <c r="D15" s="2394"/>
    </row>
    <row r="16" spans="1:4" s="668" customFormat="1" ht="24" customHeight="1" x14ac:dyDescent="0.2">
      <c r="A16" s="2395" t="s">
        <v>663</v>
      </c>
      <c r="B16" s="2396"/>
      <c r="C16" s="2396"/>
      <c r="D16" s="239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04" t="s">
        <v>314</v>
      </c>
      <c r="D21" s="2405"/>
    </row>
    <row r="22" spans="1:10" ht="12.75" x14ac:dyDescent="0.2">
      <c r="A22" s="1139"/>
      <c r="B22" s="1140">
        <v>2</v>
      </c>
      <c r="C22" s="2402" t="s">
        <v>1524</v>
      </c>
      <c r="D22" s="240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6" t="s">
        <v>536</v>
      </c>
      <c r="D43" s="240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8" t="s">
        <v>784</v>
      </c>
      <c r="D56" s="239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98" t="s">
        <v>1696</v>
      </c>
      <c r="D70" s="239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7016127561</v>
      </c>
    </row>
    <row r="3" spans="1:2" x14ac:dyDescent="0.2">
      <c r="A3" t="s">
        <v>956</v>
      </c>
      <c r="B3" s="138" t="str">
        <f>COVER!A15</f>
        <v>Cook</v>
      </c>
    </row>
    <row r="4" spans="1:2" x14ac:dyDescent="0.2">
      <c r="A4" t="s">
        <v>1007</v>
      </c>
      <c r="B4" s="138" t="str">
        <f>COVER!A17</f>
        <v>Eisenhower Cooperative</v>
      </c>
    </row>
    <row r="5" spans="1:2" x14ac:dyDescent="0.2">
      <c r="A5" t="s">
        <v>704</v>
      </c>
      <c r="B5" s="138" t="str">
        <f>COVER!A38</f>
        <v>Angela Zajac</v>
      </c>
    </row>
    <row r="6" spans="1:2" x14ac:dyDescent="0.2">
      <c r="A6" t="s">
        <v>709</v>
      </c>
      <c r="B6" s="138">
        <f>COVER!P35</f>
        <v>0</v>
      </c>
    </row>
    <row r="7" spans="1:2" x14ac:dyDescent="0.2">
      <c r="A7" t="s">
        <v>705</v>
      </c>
      <c r="B7" s="138" t="str">
        <f>COVER!I38</f>
        <v>Terry LaBella</v>
      </c>
    </row>
    <row r="8" spans="1:2" x14ac:dyDescent="0.2">
      <c r="A8" t="s">
        <v>706</v>
      </c>
      <c r="B8" s="138" t="str">
        <f>COVER!T38</f>
        <v>Dr. Vanessa Kinder</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066-003346</v>
      </c>
    </row>
    <row r="16" spans="1:2" x14ac:dyDescent="0.2">
      <c r="A16" t="s">
        <v>422</v>
      </c>
      <c r="B16" s="138" t="str">
        <f>COVER!T13</f>
        <v>RSM US LLP</v>
      </c>
    </row>
    <row r="17" spans="1:2" x14ac:dyDescent="0.2">
      <c r="A17" t="s">
        <v>884</v>
      </c>
      <c r="B17" s="138" t="str">
        <f>COVER!T15</f>
        <v>Mandy Pittman</v>
      </c>
    </row>
    <row r="18" spans="1:2" x14ac:dyDescent="0.2">
      <c r="A18" t="s">
        <v>1150</v>
      </c>
      <c r="B18" s="138" t="str">
        <f>COVER!T17</f>
        <v>One South Wacker Drive</v>
      </c>
    </row>
    <row r="19" spans="1:2" x14ac:dyDescent="0.2">
      <c r="A19" t="s">
        <v>886</v>
      </c>
      <c r="B19" s="138" t="str">
        <f>COVER!T25</f>
        <v>mandy.pittman@rsmus.com</v>
      </c>
    </row>
    <row r="20" spans="1:2" x14ac:dyDescent="0.2">
      <c r="A20" t="s">
        <v>887</v>
      </c>
      <c r="B20" s="138" t="str">
        <f>COVER!T19</f>
        <v>Chicago</v>
      </c>
    </row>
    <row r="21" spans="1:2" x14ac:dyDescent="0.2">
      <c r="A21" t="s">
        <v>479</v>
      </c>
      <c r="B21" s="138" t="str">
        <f>COVER!X19</f>
        <v>IL</v>
      </c>
    </row>
    <row r="22" spans="1:2" x14ac:dyDescent="0.2">
      <c r="A22" t="s">
        <v>888</v>
      </c>
      <c r="B22" s="138" t="str">
        <f>COVER!Z19</f>
        <v>60616-1615</v>
      </c>
    </row>
    <row r="23" spans="1:2" x14ac:dyDescent="0.2">
      <c r="A23" t="s">
        <v>1152</v>
      </c>
      <c r="B23" s="138" t="str">
        <f>COVER!T21</f>
        <v>312-634-3400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2020504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48660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48660</v>
      </c>
      <c r="C91" s="2" t="s">
        <v>573</v>
      </c>
      <c r="D91" s="2" t="str">
        <f t="shared" si="0"/>
        <v>Error?</v>
      </c>
    </row>
    <row r="92" spans="1:4" x14ac:dyDescent="0.2">
      <c r="A92" s="5">
        <v>31</v>
      </c>
      <c r="B92" s="138">
        <f>'Assets-Liab 5-6'!C39</f>
        <v>1964536</v>
      </c>
      <c r="D92" s="2" t="str">
        <f t="shared" si="0"/>
        <v>Error?</v>
      </c>
    </row>
    <row r="93" spans="1:4" x14ac:dyDescent="0.2">
      <c r="A93" s="5">
        <v>32</v>
      </c>
      <c r="B93" s="138">
        <f>'Assets-Liab 5-6'!C41</f>
        <v>2020504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1051614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1051614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4904733</v>
      </c>
      <c r="D274" s="2" t="str">
        <f t="shared" si="3"/>
        <v>Error?</v>
      </c>
    </row>
    <row r="275" spans="1:4" x14ac:dyDescent="0.2">
      <c r="A275" s="5">
        <v>214</v>
      </c>
      <c r="B275" s="138">
        <f>'Assets-Liab 5-6'!M18</f>
        <v>0</v>
      </c>
      <c r="D275" s="2" t="str">
        <f t="shared" si="3"/>
        <v>Error?</v>
      </c>
    </row>
    <row r="276" spans="1:4" x14ac:dyDescent="0.2">
      <c r="A276" s="5">
        <v>215</v>
      </c>
      <c r="B276" s="138">
        <f>'Assets-Liab 5-6'!M19</f>
        <v>138597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5043330</v>
      </c>
      <c r="C279" s="2" t="s">
        <v>573</v>
      </c>
      <c r="D279" s="2" t="str">
        <f t="shared" si="3"/>
        <v>Error?</v>
      </c>
    </row>
    <row r="280" spans="1:4" x14ac:dyDescent="0.2">
      <c r="A280" s="5">
        <v>219</v>
      </c>
      <c r="B280" s="138">
        <f>'Assets-Liab 5-6'!M40</f>
        <v>5043330</v>
      </c>
      <c r="D280" s="2" t="str">
        <f t="shared" si="3"/>
        <v>Error?</v>
      </c>
    </row>
    <row r="281" spans="1:4" x14ac:dyDescent="0.2">
      <c r="A281" s="5">
        <v>220</v>
      </c>
      <c r="B281" s="138">
        <f>'Assets-Liab 5-6'!M41</f>
        <v>5043330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1850000</v>
      </c>
      <c r="D283" s="2" t="str">
        <f t="shared" si="3"/>
        <v>Error?</v>
      </c>
    </row>
    <row r="284" spans="1:4" x14ac:dyDescent="0.2">
      <c r="A284" s="5">
        <v>223</v>
      </c>
      <c r="B284" s="138">
        <f>'Assets-Liab 5-6'!N23</f>
        <v>1850000</v>
      </c>
      <c r="C284" s="2" t="s">
        <v>573</v>
      </c>
      <c r="D284" s="2" t="str">
        <f t="shared" si="3"/>
        <v>Error?</v>
      </c>
    </row>
    <row r="285" spans="1:4" x14ac:dyDescent="0.2">
      <c r="A285" s="5">
        <v>224</v>
      </c>
      <c r="B285" s="138">
        <f>'Assets-Liab 5-6'!N36</f>
        <v>1850000</v>
      </c>
      <c r="D285" s="2" t="str">
        <f t="shared" si="3"/>
        <v>Error?</v>
      </c>
    </row>
    <row r="286" spans="1:4" x14ac:dyDescent="0.2">
      <c r="A286" s="10">
        <v>225</v>
      </c>
      <c r="D286" s="2" t="str">
        <f t="shared" si="3"/>
        <v>OK</v>
      </c>
    </row>
    <row r="287" spans="1:4" x14ac:dyDescent="0.2">
      <c r="A287" s="5">
        <v>226</v>
      </c>
      <c r="B287" s="138">
        <f>'Assets-Liab 5-6'!N37</f>
        <v>1850000</v>
      </c>
      <c r="C287" s="2" t="s">
        <v>573</v>
      </c>
      <c r="D287" s="2" t="str">
        <f t="shared" si="3"/>
        <v>Error?</v>
      </c>
    </row>
    <row r="288" spans="1:4" x14ac:dyDescent="0.2">
      <c r="A288" s="5">
        <v>227</v>
      </c>
      <c r="B288" s="138">
        <f>'Assets-Liab 5-6'!N41</f>
        <v>1850000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4608478</v>
      </c>
      <c r="C720" s="2" t="s">
        <v>573</v>
      </c>
      <c r="D720" s="2" t="str">
        <f t="shared" si="10"/>
        <v>Error?</v>
      </c>
    </row>
    <row r="721" spans="1:4" x14ac:dyDescent="0.2">
      <c r="A721" s="5">
        <v>660</v>
      </c>
      <c r="B721" s="138">
        <f>'Expenditures 15-22'!C36</f>
        <v>275173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1367613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671120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2313906</v>
      </c>
      <c r="C727" s="2" t="s">
        <v>573</v>
      </c>
      <c r="D727" s="2" t="str">
        <f t="shared" si="10"/>
        <v>Error?</v>
      </c>
    </row>
    <row r="728" spans="1:4" x14ac:dyDescent="0.2">
      <c r="A728" s="5">
        <v>667</v>
      </c>
      <c r="B728" s="138">
        <f>'Expenditures 15-22'!C44</f>
        <v>39397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39397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262808</v>
      </c>
      <c r="D733" s="2" t="str">
        <f t="shared" si="10"/>
        <v>Error?</v>
      </c>
    </row>
    <row r="734" spans="1:4" x14ac:dyDescent="0.2">
      <c r="A734" s="5">
        <v>673</v>
      </c>
      <c r="B734" s="138">
        <f>'Expenditures 15-22'!C53</f>
        <v>262808</v>
      </c>
      <c r="C734" s="2" t="s">
        <v>573</v>
      </c>
      <c r="D734" s="2" t="str">
        <f t="shared" si="10"/>
        <v>Error?</v>
      </c>
    </row>
    <row r="735" spans="1:4" x14ac:dyDescent="0.2">
      <c r="A735" s="5">
        <v>674</v>
      </c>
      <c r="B735" s="138">
        <f>'Expenditures 15-22'!C55</f>
        <v>366874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366874</v>
      </c>
      <c r="C737" s="2" t="s">
        <v>573</v>
      </c>
      <c r="D737" s="2" t="str">
        <f t="shared" si="10"/>
        <v>Error?</v>
      </c>
    </row>
    <row r="738" spans="1:4" x14ac:dyDescent="0.2">
      <c r="A738" s="5">
        <v>677</v>
      </c>
      <c r="B738" s="138">
        <f>'Expenditures 15-22'!C59</f>
        <v>106404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9437</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115841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3098826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7707304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1295508</v>
      </c>
      <c r="C778" s="2" t="s">
        <v>573</v>
      </c>
      <c r="D778" s="2" t="str">
        <f t="shared" si="11"/>
        <v>Error?</v>
      </c>
    </row>
    <row r="779" spans="1:4" x14ac:dyDescent="0.2">
      <c r="A779" s="5">
        <v>718</v>
      </c>
      <c r="B779" s="138">
        <f>'Expenditures 15-22'!D36</f>
        <v>41370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410962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155976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608308</v>
      </c>
      <c r="C785" s="2" t="s">
        <v>573</v>
      </c>
      <c r="D785" s="2" t="str">
        <f t="shared" si="11"/>
        <v>Error?</v>
      </c>
    </row>
    <row r="786" spans="1:4" x14ac:dyDescent="0.2">
      <c r="A786" s="5">
        <v>725</v>
      </c>
      <c r="B786" s="138">
        <f>'Expenditures 15-22'!D44</f>
        <v>7944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7944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96767</v>
      </c>
      <c r="D791" s="2" t="str">
        <f t="shared" si="11"/>
        <v>Error?</v>
      </c>
    </row>
    <row r="792" spans="1:4" x14ac:dyDescent="0.2">
      <c r="A792" s="5">
        <v>731</v>
      </c>
      <c r="B792" s="138">
        <f>'Expenditures 15-22'!D53</f>
        <v>96767</v>
      </c>
      <c r="C792" s="2" t="s">
        <v>573</v>
      </c>
      <c r="D792" s="2" t="str">
        <f t="shared" si="11"/>
        <v>Error?</v>
      </c>
    </row>
    <row r="793" spans="1:4" x14ac:dyDescent="0.2">
      <c r="A793" s="5">
        <v>732</v>
      </c>
      <c r="B793" s="138">
        <f>'Expenditures 15-22'!D55</f>
        <v>163993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163993</v>
      </c>
      <c r="C795" s="2" t="s">
        <v>573</v>
      </c>
      <c r="D795" s="2" t="str">
        <f t="shared" si="11"/>
        <v>Error?</v>
      </c>
    </row>
    <row r="796" spans="1:4" x14ac:dyDescent="0.2">
      <c r="A796" s="5">
        <v>735</v>
      </c>
      <c r="B796" s="138">
        <f>'Expenditures 15-22'!D59</f>
        <v>37094</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3598</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40692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917704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2213212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256925</v>
      </c>
      <c r="C836" s="2" t="s">
        <v>573</v>
      </c>
      <c r="D836" s="2" t="str">
        <f t="shared" si="12"/>
        <v>Error?</v>
      </c>
    </row>
    <row r="837" spans="1:4" x14ac:dyDescent="0.2">
      <c r="A837" s="5">
        <v>776</v>
      </c>
      <c r="B837" s="138">
        <f>'Expenditures 15-22'!E36</f>
        <v>37170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55318</v>
      </c>
      <c r="D839" s="2" t="str">
        <f t="shared" si="12"/>
        <v>Error?</v>
      </c>
    </row>
    <row r="840" spans="1:4" x14ac:dyDescent="0.2">
      <c r="A840" s="5">
        <v>779</v>
      </c>
      <c r="B840" s="138">
        <f>'Expenditures 15-22'!E39</f>
        <v>114183</v>
      </c>
      <c r="D840" s="2" t="str">
        <f t="shared" si="12"/>
        <v>Error?</v>
      </c>
    </row>
    <row r="841" spans="1:4" x14ac:dyDescent="0.2">
      <c r="A841" s="5">
        <v>780</v>
      </c>
      <c r="B841" s="138">
        <f>'Expenditures 15-22'!E40</f>
        <v>251948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458619</v>
      </c>
      <c r="C843" s="2" t="s">
        <v>573</v>
      </c>
      <c r="D843" s="2" t="str">
        <f t="shared" si="12"/>
        <v>Error?</v>
      </c>
    </row>
    <row r="844" spans="1:4" x14ac:dyDescent="0.2">
      <c r="A844" s="5">
        <v>783</v>
      </c>
      <c r="B844" s="138">
        <f>'Expenditures 15-22'!E44</f>
        <v>162817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162817</v>
      </c>
      <c r="C847" s="2" t="s">
        <v>573</v>
      </c>
      <c r="D847" s="2" t="str">
        <f t="shared" si="12"/>
        <v>Error?</v>
      </c>
    </row>
    <row r="848" spans="1:4" x14ac:dyDescent="0.2">
      <c r="A848" s="5">
        <v>787</v>
      </c>
      <c r="B848" s="138">
        <f>'Expenditures 15-22'!E49</f>
        <v>48891</v>
      </c>
      <c r="D848" s="2" t="str">
        <f t="shared" si="12"/>
        <v>Error?</v>
      </c>
    </row>
    <row r="849" spans="1:4" x14ac:dyDescent="0.2">
      <c r="A849" s="5">
        <v>788</v>
      </c>
      <c r="B849" s="138">
        <f>'Expenditures 15-22'!E50</f>
        <v>720449</v>
      </c>
      <c r="D849" s="2" t="str">
        <f t="shared" si="12"/>
        <v>Error?</v>
      </c>
    </row>
    <row r="850" spans="1:4" x14ac:dyDescent="0.2">
      <c r="A850" s="5">
        <v>789</v>
      </c>
      <c r="B850" s="138">
        <f>'Expenditures 15-22'!E53</f>
        <v>769340</v>
      </c>
      <c r="C850" s="2" t="s">
        <v>573</v>
      </c>
      <c r="D850" s="2" t="str">
        <f t="shared" si="12"/>
        <v>Error?</v>
      </c>
    </row>
    <row r="851" spans="1:4" x14ac:dyDescent="0.2">
      <c r="A851" s="5">
        <v>790</v>
      </c>
      <c r="B851" s="138">
        <f>'Expenditures 15-22'!E55</f>
        <v>1650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39405</v>
      </c>
      <c r="D855" s="2" t="str">
        <f t="shared" si="12"/>
        <v>Error?</v>
      </c>
    </row>
    <row r="856" spans="1:4" x14ac:dyDescent="0.2">
      <c r="A856" s="5">
        <v>795</v>
      </c>
      <c r="B856" s="138">
        <f>'Expenditures 15-22'!E61</f>
        <v>128948</v>
      </c>
      <c r="D856" s="2" t="str">
        <f t="shared" si="12"/>
        <v>Error?</v>
      </c>
    </row>
    <row r="857" spans="1:4" x14ac:dyDescent="0.2">
      <c r="A857" s="5">
        <v>796</v>
      </c>
      <c r="B857" s="138">
        <f>'Expenditures 15-22'!E62</f>
        <v>82678</v>
      </c>
      <c r="D857" s="2" t="str">
        <f t="shared" si="12"/>
        <v>Error?</v>
      </c>
    </row>
    <row r="858" spans="1:4" x14ac:dyDescent="0.2">
      <c r="A858" s="5">
        <v>797</v>
      </c>
      <c r="B858" s="138">
        <f>'Expenditures 15-22'!E63</f>
        <v>172918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423949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63809</v>
      </c>
      <c r="D867" s="2" t="str">
        <f t="shared" si="12"/>
        <v>Error?</v>
      </c>
    </row>
    <row r="868" spans="1:4" x14ac:dyDescent="0.2">
      <c r="A868" s="10">
        <v>807</v>
      </c>
      <c r="D868" s="2" t="str">
        <f t="shared" si="12"/>
        <v>OK</v>
      </c>
    </row>
    <row r="869" spans="1:4" x14ac:dyDescent="0.2">
      <c r="A869" s="5">
        <v>808</v>
      </c>
      <c r="B869" s="138">
        <f>'Expenditures 15-22'!E72</f>
        <v>63809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1880184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2149109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126644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20417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20417</v>
      </c>
      <c r="C901" s="2" t="s">
        <v>573</v>
      </c>
      <c r="D901" s="2" t="str">
        <f t="shared" si="13"/>
        <v>Error?</v>
      </c>
    </row>
    <row r="902" spans="1:4" x14ac:dyDescent="0.2">
      <c r="A902" s="5">
        <v>841</v>
      </c>
      <c r="B902" s="138">
        <f>'Expenditures 15-22'!F44</f>
        <v>8844</v>
      </c>
      <c r="D902" s="2" t="str">
        <f t="shared" si="13"/>
        <v>Error?</v>
      </c>
    </row>
    <row r="903" spans="1:4" x14ac:dyDescent="0.2">
      <c r="A903" s="5">
        <v>842</v>
      </c>
      <c r="B903" s="138">
        <f>'Expenditures 15-22'!F45</f>
        <v>2856</v>
      </c>
      <c r="D903" s="2" t="str">
        <f t="shared" si="13"/>
        <v>Error?</v>
      </c>
    </row>
    <row r="904" spans="1:4" x14ac:dyDescent="0.2">
      <c r="A904" s="5">
        <v>843</v>
      </c>
      <c r="B904" s="138">
        <f>'Expenditures 15-22'!F46</f>
        <v>4786</v>
      </c>
      <c r="D904" s="2" t="str">
        <f t="shared" si="13"/>
        <v>Error?</v>
      </c>
    </row>
    <row r="905" spans="1:4" x14ac:dyDescent="0.2">
      <c r="A905" s="5">
        <v>844</v>
      </c>
      <c r="B905" s="138">
        <f>'Expenditures 15-22'!F47</f>
        <v>16486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34958</v>
      </c>
      <c r="D907" s="2" t="str">
        <f t="shared" si="13"/>
        <v>Error?</v>
      </c>
    </row>
    <row r="908" spans="1:4" x14ac:dyDescent="0.2">
      <c r="A908" s="5">
        <v>847</v>
      </c>
      <c r="B908" s="138">
        <f>'Expenditures 15-22'!F53</f>
        <v>34958</v>
      </c>
      <c r="C908" s="2" t="s">
        <v>573</v>
      </c>
      <c r="D908" s="2" t="str">
        <f t="shared" si="13"/>
        <v>Error?</v>
      </c>
    </row>
    <row r="909" spans="1:4" x14ac:dyDescent="0.2">
      <c r="A909" s="5">
        <v>848</v>
      </c>
      <c r="B909" s="138">
        <f>'Expenditures 15-22'!F55</f>
        <v>6920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6920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46075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46075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124856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251500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125958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25874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25874</v>
      </c>
      <c r="C959" s="2" t="s">
        <v>573</v>
      </c>
      <c r="D959" s="2" t="str">
        <f t="shared" ref="D959:D1022" si="14">IF(ISBLANK(B959),"OK",IF(A959-B959=0,"OK","Error?"))</f>
        <v>Error?</v>
      </c>
    </row>
    <row r="960" spans="1:4" x14ac:dyDescent="0.2">
      <c r="A960" s="5">
        <v>899</v>
      </c>
      <c r="B960" s="138">
        <f>'Expenditures 15-22'!G44</f>
        <v>929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929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56278</v>
      </c>
      <c r="D965" s="2" t="str">
        <f t="shared" si="14"/>
        <v>Error?</v>
      </c>
    </row>
    <row r="966" spans="1:4" x14ac:dyDescent="0.2">
      <c r="A966" s="5">
        <v>905</v>
      </c>
      <c r="B966" s="138">
        <f>'Expenditures 15-22'!G53</f>
        <v>56278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55036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55036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138117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264075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4152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4152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4297</v>
      </c>
      <c r="D1023" s="2" t="str">
        <f t="shared" ref="D1023:D1086" si="15">IF(ISBLANK(B1023),"OK",IF(A1023-B1023=0,"OK","Error?"))</f>
        <v>Error?</v>
      </c>
    </row>
    <row r="1024" spans="1:4" x14ac:dyDescent="0.2">
      <c r="A1024" s="5">
        <v>963</v>
      </c>
      <c r="B1024" s="138">
        <f>'Expenditures 15-22'!H53</f>
        <v>4297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8449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3312862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3321311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6413513</v>
      </c>
      <c r="C1108" s="2" t="s">
        <v>573</v>
      </c>
      <c r="D1108" s="2" t="str">
        <f t="shared" si="16"/>
        <v>Error?</v>
      </c>
    </row>
    <row r="1109" spans="1:4" x14ac:dyDescent="0.2">
      <c r="A1109" s="5">
        <v>1048</v>
      </c>
      <c r="B1109" s="138">
        <f>'Expenditures 15-22'!K36</f>
        <v>353713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1884336</v>
      </c>
      <c r="C1111" s="2" t="s">
        <v>573</v>
      </c>
      <c r="D1111" s="2" t="str">
        <f t="shared" si="16"/>
        <v>Error?</v>
      </c>
    </row>
    <row r="1112" spans="1:4" x14ac:dyDescent="0.2">
      <c r="A1112" s="5">
        <v>1051</v>
      </c>
      <c r="B1112" s="138">
        <f>'Expenditures 15-22'!K39</f>
        <v>114183</v>
      </c>
      <c r="C1112" s="2" t="s">
        <v>573</v>
      </c>
      <c r="D1112" s="2" t="str">
        <f t="shared" si="16"/>
        <v>Error?</v>
      </c>
    </row>
    <row r="1113" spans="1:4" x14ac:dyDescent="0.2">
      <c r="A1113" s="5">
        <v>1052</v>
      </c>
      <c r="B1113" s="138">
        <f>'Expenditures 15-22'!K40</f>
        <v>1079044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3431276</v>
      </c>
      <c r="C1115" s="2" t="s">
        <v>573</v>
      </c>
      <c r="D1115" s="2" t="str">
        <f t="shared" si="16"/>
        <v>Error?</v>
      </c>
    </row>
    <row r="1116" spans="1:4" x14ac:dyDescent="0.2">
      <c r="A1116" s="5">
        <v>1055</v>
      </c>
      <c r="B1116" s="138">
        <f>'Expenditures 15-22'!K44</f>
        <v>219931</v>
      </c>
      <c r="C1116" s="2" t="s">
        <v>573</v>
      </c>
      <c r="D1116" s="2" t="str">
        <f t="shared" si="16"/>
        <v>Error?</v>
      </c>
    </row>
    <row r="1117" spans="1:4" x14ac:dyDescent="0.2">
      <c r="A1117" s="5">
        <v>1056</v>
      </c>
      <c r="B1117" s="138">
        <f>'Expenditures 15-22'!K45</f>
        <v>2856</v>
      </c>
      <c r="C1117" s="2" t="s">
        <v>573</v>
      </c>
      <c r="D1117" s="2" t="str">
        <f t="shared" si="16"/>
        <v>Error?</v>
      </c>
    </row>
    <row r="1118" spans="1:4" x14ac:dyDescent="0.2">
      <c r="A1118" s="5">
        <v>1057</v>
      </c>
      <c r="B1118" s="138">
        <f>'Expenditures 15-22'!K46</f>
        <v>4786</v>
      </c>
      <c r="C1118" s="2" t="s">
        <v>573</v>
      </c>
      <c r="D1118" s="2" t="str">
        <f t="shared" si="16"/>
        <v>Error?</v>
      </c>
    </row>
    <row r="1119" spans="1:4" x14ac:dyDescent="0.2">
      <c r="A1119" s="5">
        <v>1058</v>
      </c>
      <c r="B1119" s="138">
        <f>'Expenditures 15-22'!K47</f>
        <v>227573</v>
      </c>
      <c r="C1119" s="2" t="s">
        <v>573</v>
      </c>
      <c r="D1119" s="2" t="str">
        <f t="shared" si="16"/>
        <v>Error?</v>
      </c>
    </row>
    <row r="1120" spans="1:4" x14ac:dyDescent="0.2">
      <c r="A1120" s="5">
        <v>1059</v>
      </c>
      <c r="B1120" s="138">
        <f>'Expenditures 15-22'!K49</f>
        <v>48891</v>
      </c>
      <c r="C1120" s="2" t="s">
        <v>573</v>
      </c>
      <c r="D1120" s="2" t="str">
        <f t="shared" si="16"/>
        <v>Error?</v>
      </c>
    </row>
    <row r="1121" spans="1:4" x14ac:dyDescent="0.2">
      <c r="A1121" s="5">
        <v>1060</v>
      </c>
      <c r="B1121" s="138">
        <f>'Expenditures 15-22'!K50</f>
        <v>1175557</v>
      </c>
      <c r="C1121" s="2" t="s">
        <v>573</v>
      </c>
      <c r="D1121" s="2" t="str">
        <f t="shared" si="16"/>
        <v>Error?</v>
      </c>
    </row>
    <row r="1122" spans="1:4" x14ac:dyDescent="0.2">
      <c r="A1122" s="5">
        <v>1061</v>
      </c>
      <c r="B1122" s="138">
        <f>'Expenditures 15-22'!K53</f>
        <v>1224448</v>
      </c>
      <c r="C1122" s="2" t="s">
        <v>573</v>
      </c>
      <c r="D1122" s="2" t="str">
        <f t="shared" si="16"/>
        <v>Error?</v>
      </c>
    </row>
    <row r="1123" spans="1:4" x14ac:dyDescent="0.2">
      <c r="A1123" s="5">
        <v>1062</v>
      </c>
      <c r="B1123" s="138">
        <f>'Expenditures 15-22'!K55</f>
        <v>539437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539437</v>
      </c>
      <c r="C1125" s="2" t="s">
        <v>573</v>
      </c>
      <c r="D1125" s="2" t="str">
        <f t="shared" si="16"/>
        <v>Error?</v>
      </c>
    </row>
    <row r="1126" spans="1:4" x14ac:dyDescent="0.2">
      <c r="A1126" s="5">
        <v>1065</v>
      </c>
      <c r="B1126" s="138">
        <f>'Expenditures 15-22'!K59</f>
        <v>143498</v>
      </c>
      <c r="C1126" s="2" t="s">
        <v>573</v>
      </c>
      <c r="D1126" s="2" t="str">
        <f t="shared" si="16"/>
        <v>Error?</v>
      </c>
    </row>
    <row r="1127" spans="1:4" x14ac:dyDescent="0.2">
      <c r="A1127" s="5">
        <v>1066</v>
      </c>
      <c r="B1127" s="138">
        <f>'Expenditures 15-22'!K60</f>
        <v>39405</v>
      </c>
      <c r="C1127" s="2" t="s">
        <v>573</v>
      </c>
      <c r="D1127" s="2" t="str">
        <f t="shared" si="16"/>
        <v>Error?</v>
      </c>
    </row>
    <row r="1128" spans="1:4" x14ac:dyDescent="0.2">
      <c r="A1128" s="5">
        <v>1067</v>
      </c>
      <c r="B1128" s="138">
        <f>'Expenditures 15-22'!K61</f>
        <v>230059</v>
      </c>
      <c r="C1128" s="2" t="s">
        <v>573</v>
      </c>
      <c r="D1128" s="2" t="str">
        <f t="shared" si="16"/>
        <v>Error?</v>
      </c>
    </row>
    <row r="1129" spans="1:4" x14ac:dyDescent="0.2">
      <c r="A1129" s="5">
        <v>1068</v>
      </c>
      <c r="B1129" s="138">
        <f>'Expenditures 15-22'!K62</f>
        <v>95713</v>
      </c>
      <c r="C1129" s="2" t="s">
        <v>573</v>
      </c>
      <c r="D1129" s="2" t="str">
        <f t="shared" si="16"/>
        <v>Error?</v>
      </c>
    </row>
    <row r="1130" spans="1:4" x14ac:dyDescent="0.2">
      <c r="A1130" s="5">
        <v>1069</v>
      </c>
      <c r="B1130" s="138">
        <f>'Expenditures 15-22'!K63</f>
        <v>172918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681593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63809</v>
      </c>
      <c r="C1139" s="2" t="s">
        <v>573</v>
      </c>
      <c r="D1139" s="2" t="str">
        <f t="shared" si="16"/>
        <v>Error?</v>
      </c>
    </row>
    <row r="1140" spans="1:4" x14ac:dyDescent="0.2">
      <c r="A1140" s="10">
        <v>1079</v>
      </c>
      <c r="D1140" s="2" t="str">
        <f t="shared" si="16"/>
        <v>OK</v>
      </c>
    </row>
    <row r="1141" spans="1:4" x14ac:dyDescent="0.2">
      <c r="A1141" s="5">
        <v>1080</v>
      </c>
      <c r="B1141" s="138">
        <f>'Expenditures 15-22'!K72</f>
        <v>63809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6168136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3324862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15906511</v>
      </c>
      <c r="C1152" s="2" t="s">
        <v>573</v>
      </c>
      <c r="D1152" s="2" t="str">
        <f t="shared" si="17"/>
        <v>Error?</v>
      </c>
    </row>
    <row r="1153" spans="1:4" x14ac:dyDescent="0.2">
      <c r="A1153" s="5">
        <v>1092</v>
      </c>
      <c r="B1153" s="138">
        <f>'Expenditures 15-22'!K115</f>
        <v>-700791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100623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555623</v>
      </c>
      <c r="C1317" s="2" t="s">
        <v>573</v>
      </c>
      <c r="D1317" s="2" t="str">
        <f t="shared" si="19"/>
        <v>Error?</v>
      </c>
    </row>
    <row r="1318" spans="1:4" x14ac:dyDescent="0.2">
      <c r="A1318" s="5">
        <v>1257</v>
      </c>
      <c r="B1318" s="138">
        <f>'Expenditures 15-22'!H174</f>
        <v>555623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100623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555623</v>
      </c>
      <c r="C1331" s="2" t="s">
        <v>573</v>
      </c>
      <c r="D1331" s="2" t="str">
        <f t="shared" si="19"/>
        <v>Error?</v>
      </c>
    </row>
    <row r="1332" spans="1:4" x14ac:dyDescent="0.2">
      <c r="A1332" s="5">
        <v>1271</v>
      </c>
      <c r="B1332" s="138">
        <f>'Expenditures 15-22'!K174</f>
        <v>555623</v>
      </c>
      <c r="C1332" s="2" t="s">
        <v>573</v>
      </c>
      <c r="D1332" s="2" t="str">
        <f t="shared" si="19"/>
        <v>Error?</v>
      </c>
    </row>
    <row r="1333" spans="1:4" x14ac:dyDescent="0.2">
      <c r="A1333" s="5">
        <v>1272</v>
      </c>
      <c r="B1333" s="138">
        <f>'Expenditures 15-22'!K175</f>
        <v>-555623</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42492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3228258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1971844</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1009122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1051614</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2305000</v>
      </c>
      <c r="C1939" s="2" t="s">
        <v>573</v>
      </c>
      <c r="D1939" s="2" t="str">
        <f t="shared" si="29"/>
        <v>Error?</v>
      </c>
    </row>
    <row r="1940" spans="1:5" x14ac:dyDescent="0.2">
      <c r="A1940" s="5">
        <v>1879</v>
      </c>
      <c r="B1940" s="138">
        <f>'Short-Term Long-Term Debt 24'!F49</f>
        <v>2305000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6650484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388152</v>
      </c>
      <c r="D2012" s="2" t="str">
        <f t="shared" si="30"/>
        <v>Error?</v>
      </c>
    </row>
    <row r="2013" spans="1:4" x14ac:dyDescent="0.2">
      <c r="A2013" s="5">
        <v>1952</v>
      </c>
      <c r="B2013" s="138">
        <f>'Cap Outlay Deprec 26'!C16</f>
        <v>7038636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63809</v>
      </c>
      <c r="D2018" s="2" t="str">
        <f t="shared" si="30"/>
        <v>Error?</v>
      </c>
    </row>
    <row r="2019" spans="1:4" x14ac:dyDescent="0.2">
      <c r="A2019" s="5">
        <v>1958</v>
      </c>
      <c r="B2019" s="138">
        <f>'Cap Outlay Deprec 26'!D16</f>
        <v>63809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8204</v>
      </c>
      <c r="D2024" s="2" t="str">
        <f t="shared" si="30"/>
        <v>Error?</v>
      </c>
    </row>
    <row r="2025" spans="1:4" x14ac:dyDescent="0.2">
      <c r="A2025" s="5">
        <v>1964</v>
      </c>
      <c r="B2025" s="138">
        <f>'Cap Outlay Deprec 26'!E16</f>
        <v>8204</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6650484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443757</v>
      </c>
      <c r="C2030" s="2" t="s">
        <v>573</v>
      </c>
      <c r="D2030" s="2" t="str">
        <f t="shared" si="30"/>
        <v>Error?</v>
      </c>
    </row>
    <row r="2031" spans="1:4" x14ac:dyDescent="0.2">
      <c r="A2031" s="5">
        <v>1970</v>
      </c>
      <c r="B2031" s="138">
        <f>'Cap Outlay Deprec 26'!F16</f>
        <v>7094241</v>
      </c>
      <c r="C2031" s="2" t="s">
        <v>573</v>
      </c>
      <c r="D2031" s="2" t="str">
        <f t="shared" si="30"/>
        <v>Error?</v>
      </c>
    </row>
    <row r="2032" spans="1:4" x14ac:dyDescent="0.2">
      <c r="A2032" s="10">
        <v>1971</v>
      </c>
      <c r="D2032" s="2" t="str">
        <f t="shared" si="30"/>
        <v>OK</v>
      </c>
    </row>
    <row r="2033" spans="1:4" x14ac:dyDescent="0.2">
      <c r="A2033" s="5">
        <v>1972</v>
      </c>
      <c r="B2033" s="138">
        <f>'Cap Outlay Deprec 26'!H8</f>
        <v>1579489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281271</v>
      </c>
      <c r="D2036" s="2" t="str">
        <f t="shared" si="30"/>
        <v>Error?</v>
      </c>
    </row>
    <row r="2037" spans="1:4" x14ac:dyDescent="0.2">
      <c r="A2037" s="5">
        <v>1976</v>
      </c>
      <c r="B2037" s="138">
        <f>'Cap Outlay Deprec 26'!H16</f>
        <v>1860760</v>
      </c>
      <c r="C2037" s="2" t="s">
        <v>573</v>
      </c>
      <c r="D2037" s="2" t="str">
        <f t="shared" si="30"/>
        <v>Error?</v>
      </c>
    </row>
    <row r="2038" spans="1:4" x14ac:dyDescent="0.2">
      <c r="A2038" s="10">
        <v>1977</v>
      </c>
      <c r="D2038" s="2" t="str">
        <f t="shared" si="30"/>
        <v>OK</v>
      </c>
    </row>
    <row r="2039" spans="1:4" x14ac:dyDescent="0.2">
      <c r="A2039" s="5">
        <v>1978</v>
      </c>
      <c r="B2039" s="138">
        <f>'Cap Outlay Deprec 26'!I8</f>
        <v>166262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32093</v>
      </c>
      <c r="D2042" s="2" t="str">
        <f t="shared" si="30"/>
        <v>Error?</v>
      </c>
    </row>
    <row r="2043" spans="1:4" x14ac:dyDescent="0.2">
      <c r="A2043" s="5">
        <v>1982</v>
      </c>
      <c r="B2043" s="138">
        <f>'Cap Outlay Deprec 26'!I16</f>
        <v>198355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8204</v>
      </c>
      <c r="D2048" s="2" t="str">
        <f t="shared" si="31"/>
        <v>Error?</v>
      </c>
    </row>
    <row r="2049" spans="1:4" x14ac:dyDescent="0.2">
      <c r="A2049" s="5">
        <v>1988</v>
      </c>
      <c r="B2049" s="138">
        <f>'Cap Outlay Deprec 26'!J16</f>
        <v>8204</v>
      </c>
      <c r="C2049" s="2" t="s">
        <v>573</v>
      </c>
      <c r="D2049" s="2" t="str">
        <f t="shared" si="31"/>
        <v>Error?</v>
      </c>
    </row>
    <row r="2050" spans="1:4" x14ac:dyDescent="0.2">
      <c r="A2050" s="10">
        <v>1989</v>
      </c>
      <c r="D2050" s="2" t="str">
        <f t="shared" si="31"/>
        <v>OK</v>
      </c>
    </row>
    <row r="2051" spans="1:4" x14ac:dyDescent="0.2">
      <c r="A2051" s="5">
        <v>1990</v>
      </c>
      <c r="B2051" s="138">
        <f>'Cap Outlay Deprec 26'!K8</f>
        <v>1745751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305160</v>
      </c>
      <c r="C2054" s="2" t="s">
        <v>573</v>
      </c>
      <c r="D2054" s="2" t="str">
        <f t="shared" si="31"/>
        <v>Error?</v>
      </c>
    </row>
    <row r="2055" spans="1:4" x14ac:dyDescent="0.2">
      <c r="A2055" s="5">
        <v>1994</v>
      </c>
      <c r="B2055" s="138">
        <f>'Cap Outlay Deprec 26'!K16</f>
        <v>2050911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4904733</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138597</v>
      </c>
      <c r="C2060" s="2" t="s">
        <v>573</v>
      </c>
      <c r="D2060" s="2" t="str">
        <f t="shared" si="31"/>
        <v>Error?</v>
      </c>
    </row>
    <row r="2061" spans="1:4" x14ac:dyDescent="0.2">
      <c r="A2061" s="5">
        <v>2000</v>
      </c>
      <c r="B2061" s="138">
        <f>'Cap Outlay Deprec 26'!L16</f>
        <v>5043330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3312862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3324862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7308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1051614</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9185561</v>
      </c>
      <c r="C2551" s="2" t="s">
        <v>573</v>
      </c>
      <c r="D2551" s="2" t="str">
        <f t="shared" si="38"/>
        <v>Error?</v>
      </c>
    </row>
    <row r="2552" spans="1:4" x14ac:dyDescent="0.2">
      <c r="A2552" s="10">
        <v>2491</v>
      </c>
      <c r="D2552" s="2" t="str">
        <f t="shared" si="38"/>
        <v>OK</v>
      </c>
    </row>
    <row r="2553" spans="1:4" x14ac:dyDescent="0.2">
      <c r="A2553" s="5">
        <v>2492</v>
      </c>
      <c r="B2553" s="138">
        <f>'Acct Summary 7-8'!C6</f>
        <v>1052621</v>
      </c>
      <c r="C2553" s="2" t="s">
        <v>573</v>
      </c>
      <c r="D2553" s="2" t="str">
        <f t="shared" si="38"/>
        <v>Error?</v>
      </c>
    </row>
    <row r="2554" spans="1:4" x14ac:dyDescent="0.2">
      <c r="A2554" s="5">
        <v>2493</v>
      </c>
      <c r="B2554" s="138">
        <f>'Acct Summary 7-8'!C7</f>
        <v>4967538</v>
      </c>
      <c r="C2554" s="2" t="s">
        <v>573</v>
      </c>
      <c r="D2554" s="2" t="str">
        <f t="shared" si="38"/>
        <v>Error?</v>
      </c>
    </row>
    <row r="2555" spans="1:4" x14ac:dyDescent="0.2">
      <c r="A2555" s="5">
        <v>2494</v>
      </c>
      <c r="B2555" s="138">
        <f>'Acct Summary 7-8'!C8</f>
        <v>15205720</v>
      </c>
      <c r="C2555" s="2" t="s">
        <v>573</v>
      </c>
      <c r="D2555" s="2" t="str">
        <f t="shared" si="38"/>
        <v>Error?</v>
      </c>
    </row>
    <row r="2556" spans="1:4" x14ac:dyDescent="0.2">
      <c r="A2556" s="5">
        <v>2495</v>
      </c>
      <c r="B2556" s="138">
        <f>'Acct Summary 7-8'!C12</f>
        <v>6413513</v>
      </c>
      <c r="C2556" s="2" t="s">
        <v>573</v>
      </c>
      <c r="D2556" s="2" t="str">
        <f t="shared" si="38"/>
        <v>Error?</v>
      </c>
    </row>
    <row r="2557" spans="1:4" x14ac:dyDescent="0.2">
      <c r="A2557" s="5">
        <v>2496</v>
      </c>
      <c r="B2557" s="138">
        <f>'Acct Summary 7-8'!C13</f>
        <v>6168136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3324862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15906511</v>
      </c>
      <c r="C2561" s="2" t="s">
        <v>573</v>
      </c>
      <c r="D2561" s="2" t="str">
        <f t="shared" si="39"/>
        <v>Error?</v>
      </c>
    </row>
    <row r="2562" spans="1:4" x14ac:dyDescent="0.2">
      <c r="A2562" s="5">
        <v>2501</v>
      </c>
      <c r="B2562" s="138">
        <f>'Acct Summary 7-8'!C20</f>
        <v>-700791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26474</v>
      </c>
      <c r="C2591" s="2" t="s">
        <v>573</v>
      </c>
      <c r="D2591" s="2" t="str">
        <f t="shared" si="39"/>
        <v>Error?</v>
      </c>
    </row>
    <row r="2592" spans="1:4" x14ac:dyDescent="0.2">
      <c r="A2592" s="10">
        <v>2531</v>
      </c>
      <c r="D2592" s="2" t="str">
        <f t="shared" si="39"/>
        <v>OK</v>
      </c>
    </row>
    <row r="2593" spans="1:4" x14ac:dyDescent="0.2">
      <c r="A2593" s="5">
        <v>2532</v>
      </c>
      <c r="B2593" s="138">
        <f>'Acct Summary 7-8'!F6</f>
        <v>16018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42492</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42492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555623</v>
      </c>
      <c r="C2634" s="2" t="s">
        <v>573</v>
      </c>
      <c r="D2634" s="2" t="str">
        <f t="shared" si="40"/>
        <v>Error?</v>
      </c>
    </row>
    <row r="2635" spans="1:4" x14ac:dyDescent="0.2">
      <c r="A2635" s="5">
        <v>2574</v>
      </c>
      <c r="B2635" s="138">
        <f>'Acct Summary 7-8'!E17</f>
        <v>555623</v>
      </c>
      <c r="C2635" s="2" t="s">
        <v>573</v>
      </c>
      <c r="D2635" s="2" t="str">
        <f t="shared" si="40"/>
        <v>Error?</v>
      </c>
    </row>
    <row r="2636" spans="1:4" x14ac:dyDescent="0.2">
      <c r="A2636" s="5">
        <v>2575</v>
      </c>
      <c r="B2636" s="138">
        <f>'Acct Summary 7-8'!E20</f>
        <v>-555623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12000</v>
      </c>
      <c r="C2789" s="2" t="s">
        <v>573</v>
      </c>
      <c r="D2789" s="2" t="str">
        <f t="shared" si="42"/>
        <v>Error?</v>
      </c>
    </row>
    <row r="2790" spans="1:4" x14ac:dyDescent="0.2">
      <c r="A2790" s="5">
        <v>2729</v>
      </c>
      <c r="B2790" s="138">
        <f>'Expenditures 15-22'!E102</f>
        <v>12000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55036</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3312862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3324862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2305000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555623</v>
      </c>
      <c r="D3230" s="2" t="str">
        <f t="shared" si="49"/>
        <v>Error?</v>
      </c>
    </row>
    <row r="3231" spans="1:4" x14ac:dyDescent="0.2">
      <c r="A3231" s="5">
        <v>3170</v>
      </c>
      <c r="B3231" s="138">
        <f>'Acct Summary 7-8'!C76</f>
        <v>555623</v>
      </c>
      <c r="C3231" s="2" t="s">
        <v>573</v>
      </c>
      <c r="D3231" s="2" t="str">
        <f t="shared" si="49"/>
        <v>Error?</v>
      </c>
    </row>
    <row r="3232" spans="1:4" x14ac:dyDescent="0.2">
      <c r="A3232" s="5">
        <v>3171</v>
      </c>
      <c r="B3232" s="138">
        <f>'Acct Summary 7-8'!C77</f>
        <v>-555623</v>
      </c>
      <c r="C3232" s="2" t="s">
        <v>573</v>
      </c>
      <c r="D3232" s="2" t="str">
        <f t="shared" si="49"/>
        <v>Error?</v>
      </c>
    </row>
    <row r="3233" spans="1:4" x14ac:dyDescent="0.2">
      <c r="A3233" s="5">
        <v>3172</v>
      </c>
      <c r="B3233" s="138">
        <f>'Acct Summary 7-8'!C78</f>
        <v>-1256414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42492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555623</v>
      </c>
      <c r="D3273" s="2" t="str">
        <f t="shared" si="50"/>
        <v>Error?</v>
      </c>
    </row>
    <row r="3274" spans="1:4" x14ac:dyDescent="0.2">
      <c r="A3274" s="5">
        <v>3213</v>
      </c>
      <c r="B3274" s="138">
        <f>'Acct Summary 7-8'!E44</f>
        <v>2860623</v>
      </c>
      <c r="C3274" s="2" t="s">
        <v>573</v>
      </c>
      <c r="D3274" s="2" t="str">
        <f t="shared" si="50"/>
        <v>Error?</v>
      </c>
    </row>
    <row r="3275" spans="1:4" x14ac:dyDescent="0.2">
      <c r="A3275" s="5">
        <v>3214</v>
      </c>
      <c r="B3275" s="138">
        <f>'Acct Summary 7-8'!E75</f>
        <v>2305000</v>
      </c>
      <c r="D3275" s="2" t="str">
        <f t="shared" si="50"/>
        <v>Error?</v>
      </c>
    </row>
    <row r="3276" spans="1:4" x14ac:dyDescent="0.2">
      <c r="A3276" s="5">
        <v>3215</v>
      </c>
      <c r="B3276" s="138">
        <f>'Acct Summary 7-8'!E76</f>
        <v>2305000</v>
      </c>
      <c r="C3276" s="2" t="s">
        <v>573</v>
      </c>
      <c r="D3276" s="2" t="str">
        <f t="shared" si="50"/>
        <v>Error?</v>
      </c>
    </row>
    <row r="3277" spans="1:4" x14ac:dyDescent="0.2">
      <c r="A3277" s="5">
        <v>3216</v>
      </c>
      <c r="B3277" s="138">
        <f>'Acct Summary 7-8'!E77</f>
        <v>555623</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4608478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1295508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256925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126644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125958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6413513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2013196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1051614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3231830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18437550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42492</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3231830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19138341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555623</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1850000</v>
      </c>
      <c r="C4171" s="2" t="s">
        <v>573</v>
      </c>
      <c r="D4171" s="2" t="str">
        <f t="shared" si="64"/>
        <v>Error?</v>
      </c>
    </row>
    <row r="4172" spans="1:4" x14ac:dyDescent="0.2">
      <c r="A4172" s="5">
        <v>4111</v>
      </c>
      <c r="B4172" s="138">
        <f>'Short-Term Long-Term Debt 24'!J49</f>
        <v>1850000</v>
      </c>
      <c r="C4172" s="2" t="s">
        <v>573</v>
      </c>
      <c r="D4172" s="2" t="str">
        <f t="shared" si="64"/>
        <v>Error?</v>
      </c>
    </row>
    <row r="4173" spans="1:4" x14ac:dyDescent="0.2">
      <c r="A4173" s="5">
        <v>4112</v>
      </c>
      <c r="B4173" s="138">
        <f>'Short-Term Long-Term Debt 24'!H49</f>
        <v>455000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-2305000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3023458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21242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302276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1850000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8519681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8519681</v>
      </c>
      <c r="C5087" s="2" t="s">
        <v>573</v>
      </c>
      <c r="D5087" s="2" t="str">
        <f t="shared" si="78"/>
        <v>Error?</v>
      </c>
    </row>
    <row r="5088" spans="1:4" x14ac:dyDescent="0.2">
      <c r="A5088" s="5">
        <v>5027</v>
      </c>
      <c r="B5088" s="138">
        <f>'Revenues 9-14'!C65</f>
        <v>115391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115391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503044</v>
      </c>
      <c r="D5115" s="2" t="str">
        <f t="shared" si="78"/>
        <v>Error?</v>
      </c>
    </row>
    <row r="5116" spans="1:4" x14ac:dyDescent="0.2">
      <c r="A5116" s="5">
        <v>5055</v>
      </c>
      <c r="B5116" s="138">
        <f>'Revenues 9-14'!C99</f>
        <v>1344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46101</v>
      </c>
      <c r="D5119" s="2" t="str">
        <f t="shared" ref="D5119:D5182" si="79">IF(ISBLANK(B5119),"OK",IF(A5119-B5119=0,"OK","Error?"))</f>
        <v>Error?</v>
      </c>
    </row>
    <row r="5120" spans="1:4" x14ac:dyDescent="0.2">
      <c r="A5120" s="5">
        <v>5059</v>
      </c>
      <c r="B5120" s="138">
        <f>'Revenues 9-14'!C108</f>
        <v>550489</v>
      </c>
      <c r="C5120" s="2" t="s">
        <v>573</v>
      </c>
      <c r="D5120" s="2" t="str">
        <f t="shared" si="79"/>
        <v>Error?</v>
      </c>
    </row>
    <row r="5121" spans="1:4" x14ac:dyDescent="0.2">
      <c r="A5121" s="5">
        <v>5060</v>
      </c>
      <c r="B5121" s="138">
        <f>'Revenues 9-14'!C109</f>
        <v>9185561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1048432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1048432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4189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1052621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125488</v>
      </c>
      <c r="D5239" s="2" t="str">
        <f t="shared" si="80"/>
        <v>Error?</v>
      </c>
    </row>
    <row r="5240" spans="1:4" x14ac:dyDescent="0.2">
      <c r="A5240" s="5">
        <v>5179</v>
      </c>
      <c r="B5240" s="138">
        <f>'Revenues 9-14'!C192</f>
        <v>279</v>
      </c>
      <c r="D5240" s="2" t="str">
        <f t="shared" si="80"/>
        <v>Error?</v>
      </c>
    </row>
    <row r="5241" spans="1:4" x14ac:dyDescent="0.2">
      <c r="A5241" s="5">
        <v>5180</v>
      </c>
      <c r="B5241" s="138">
        <f>'Revenues 9-14'!C193</f>
        <v>85796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211563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106723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4325734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4432457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4967538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4967538</v>
      </c>
      <c r="C5326" s="2" t="s">
        <v>573</v>
      </c>
      <c r="D5326" s="2" t="str">
        <f t="shared" si="82"/>
        <v>Error?</v>
      </c>
    </row>
    <row r="5327" spans="1:5" x14ac:dyDescent="0.2">
      <c r="A5327" s="5">
        <v>5266</v>
      </c>
      <c r="B5327" s="138">
        <f>'Revenues 9-14'!C268</f>
        <v>15205720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26474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26474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26474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16018</v>
      </c>
      <c r="D5617" s="2" t="str">
        <f t="shared" si="86"/>
        <v>Error?</v>
      </c>
    </row>
    <row r="5618" spans="1:5" x14ac:dyDescent="0.2">
      <c r="A5618" s="5">
        <v>5557</v>
      </c>
      <c r="B5618" s="138">
        <f>'Revenues 9-14'!F155</f>
        <v>16018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16018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16018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42492</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7308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-1256414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42492</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-0.63717718034489546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4.0406460925776946E-2</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198355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1763575.9999999998</v>
      </c>
      <c r="D7797" s="2" t="str">
        <f t="shared" si="127"/>
        <v>Error?</v>
      </c>
      <c r="E7797" s="4" t="s">
        <v>1900</v>
      </c>
    </row>
    <row r="7798" spans="1:5" x14ac:dyDescent="0.2">
      <c r="A7798">
        <v>7737</v>
      </c>
      <c r="B7798" s="138">
        <f>'Contracts Paid in CY 29'!F142</f>
        <v>500000</v>
      </c>
      <c r="D7798" s="2" t="str">
        <f t="shared" si="127"/>
        <v>Error?</v>
      </c>
      <c r="E7798" s="4" t="s">
        <v>1900</v>
      </c>
    </row>
    <row r="7799" spans="1:5" x14ac:dyDescent="0.2">
      <c r="A7799">
        <v>7738</v>
      </c>
      <c r="B7799" s="138">
        <f>'Contracts Paid in CY 29'!G142</f>
        <v>1263575.9999999998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pageSetUpPr fitToPage="1"/>
  </sheetPr>
  <dimension ref="A1:AC59"/>
  <sheetViews>
    <sheetView showGridLines="0" showZeros="0" zoomScale="110" zoomScaleNormal="110" workbookViewId="0">
      <selection activeCell="G11" sqref="G1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439" t="s">
        <v>1190</v>
      </c>
      <c r="B3" s="2439"/>
      <c r="C3" s="2439"/>
      <c r="D3" s="2439"/>
      <c r="E3" s="2439"/>
      <c r="F3" s="2439"/>
      <c r="G3" s="2439"/>
      <c r="H3" s="2439"/>
      <c r="I3" s="2439"/>
      <c r="J3" s="2439"/>
      <c r="K3" s="2439"/>
      <c r="L3" s="2439"/>
    </row>
    <row r="4" spans="1:29" ht="13.5" customHeight="1" x14ac:dyDescent="0.2">
      <c r="A4" s="2408" t="s">
        <v>1984</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30" t="str">
        <f>COVER!A17</f>
        <v>Eisenhower Cooperative</v>
      </c>
      <c r="B7" s="2431"/>
      <c r="C7" s="2431"/>
      <c r="D7" s="2432"/>
      <c r="E7" s="2433">
        <f>COVER!A13</f>
        <v>7016127561</v>
      </c>
      <c r="F7" s="2434"/>
      <c r="G7" s="2440" t="str">
        <f>COVER!T23</f>
        <v>066-003346</v>
      </c>
      <c r="H7" s="2441"/>
      <c r="I7" s="2441"/>
      <c r="J7" s="2441"/>
      <c r="K7" s="2441"/>
      <c r="L7" s="244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43"/>
      <c r="B9" s="2444"/>
      <c r="C9" s="2444"/>
      <c r="D9" s="2444"/>
      <c r="E9" s="2444"/>
      <c r="F9" s="2445"/>
      <c r="G9" s="2414" t="str">
        <f>COVER!T13</f>
        <v>RSM US LLP</v>
      </c>
      <c r="H9" s="2446"/>
      <c r="I9" s="2446"/>
      <c r="J9" s="2446"/>
      <c r="K9" s="2446"/>
      <c r="L9" s="2447"/>
    </row>
    <row r="10" spans="1:29" ht="13.5" customHeight="1" x14ac:dyDescent="0.2">
      <c r="A10" s="2420" t="str">
        <f>COVER!A38</f>
        <v>Angela Zajac</v>
      </c>
      <c r="B10" s="2421"/>
      <c r="C10" s="2421"/>
      <c r="D10" s="2421"/>
      <c r="E10" s="2421"/>
      <c r="F10" s="2422"/>
      <c r="G10" s="2414" t="str">
        <f>COVER!T17</f>
        <v>One South Wacker Drive</v>
      </c>
      <c r="H10" s="2415"/>
      <c r="I10" s="2415"/>
      <c r="J10" s="2415"/>
      <c r="K10" s="2415"/>
      <c r="L10" s="2416"/>
    </row>
    <row r="11" spans="1:29" ht="13.5" customHeight="1" x14ac:dyDescent="0.2">
      <c r="A11" s="1184" t="s">
        <v>1519</v>
      </c>
      <c r="B11" s="1185"/>
      <c r="C11" s="1186"/>
      <c r="D11" s="1191"/>
      <c r="E11" s="1186"/>
      <c r="F11" s="1190"/>
      <c r="G11" s="2414" t="str">
        <f>COVER!T19</f>
        <v>Chicago</v>
      </c>
      <c r="H11" s="2415"/>
      <c r="I11" s="2415"/>
      <c r="J11" s="2415"/>
      <c r="K11" s="2415"/>
      <c r="L11" s="2416"/>
    </row>
    <row r="12" spans="1:29" ht="13.5" customHeight="1" x14ac:dyDescent="0.2">
      <c r="A12" s="2423" t="s">
        <v>1518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1520</v>
      </c>
      <c r="H13" s="2410"/>
      <c r="I13" s="2426" t="str">
        <f>COVER!T25</f>
        <v>mandy.pittman@rsmus.com</v>
      </c>
      <c r="J13" s="2427"/>
      <c r="K13" s="2427"/>
      <c r="L13" s="2428"/>
    </row>
    <row r="14" spans="1:29" ht="13.5" customHeight="1" x14ac:dyDescent="0.2">
      <c r="A14" s="2414" t="str">
        <f>COVER!A19</f>
        <v>5318 West 135th Street</v>
      </c>
      <c r="B14" s="2415"/>
      <c r="C14" s="2415"/>
      <c r="D14" s="2415"/>
      <c r="E14" s="2415"/>
      <c r="F14" s="2416"/>
      <c r="G14" s="1195" t="s">
        <v>1185</v>
      </c>
      <c r="H14" s="1193"/>
      <c r="I14" s="1193"/>
      <c r="J14" s="1193"/>
      <c r="K14" s="1193"/>
      <c r="L14" s="1194"/>
    </row>
    <row r="15" spans="1:29" ht="13.5" customHeight="1" x14ac:dyDescent="0.2">
      <c r="A15" s="2414" t="str">
        <f>COVER!A21</f>
        <v>Crestwood</v>
      </c>
      <c r="B15" s="2415"/>
      <c r="C15" s="2415"/>
      <c r="D15" s="2415"/>
      <c r="E15" s="2415"/>
      <c r="F15" s="2416"/>
      <c r="G15" s="2411" t="str">
        <f>COVER!T15</f>
        <v>Mandy Pittman</v>
      </c>
      <c r="H15" s="2412"/>
      <c r="I15" s="2412"/>
      <c r="J15" s="2412"/>
      <c r="K15" s="2412"/>
      <c r="L15" s="2413"/>
    </row>
    <row r="16" spans="1:29" ht="12.2" customHeight="1" x14ac:dyDescent="0.2">
      <c r="A16" s="2436">
        <f>COVER!A25</f>
        <v>60445</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5" t="s">
        <v>1184</v>
      </c>
      <c r="H17" s="1193"/>
      <c r="I17" s="1193"/>
      <c r="J17" s="1193"/>
      <c r="K17" s="1197" t="s">
        <v>1183</v>
      </c>
      <c r="L17" s="1190"/>
      <c r="M17" s="1183"/>
    </row>
    <row r="18" spans="1:13" ht="12.2" customHeight="1" x14ac:dyDescent="0.2">
      <c r="A18" s="2420"/>
      <c r="B18" s="2421"/>
      <c r="C18" s="2421"/>
      <c r="D18" s="2421"/>
      <c r="E18" s="2421"/>
      <c r="F18" s="2422"/>
      <c r="G18" s="2430" t="str">
        <f>COVER!T21</f>
        <v>312-634-3400</v>
      </c>
      <c r="H18" s="2431"/>
      <c r="I18" s="2431"/>
      <c r="J18" s="2431"/>
      <c r="K18" s="2430" t="str">
        <f>COVER!X21</f>
        <v>312-634-3410</v>
      </c>
      <c r="L18" s="243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88"/>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K127"/>
  <sheetViews>
    <sheetView showGridLines="0" zoomScale="125" zoomScaleNormal="125" workbookViewId="0">
      <selection activeCell="G11" sqref="G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2" t="str">
        <f>'Single Audit Cover'!A7</f>
        <v>Eisenhower Cooperative</v>
      </c>
      <c r="B1" s="2429"/>
      <c r="C1" s="2429"/>
      <c r="D1" s="2429"/>
    </row>
    <row r="2" spans="1:11" s="1212" customFormat="1" ht="12.75" x14ac:dyDescent="0.2">
      <c r="A2" s="2453">
        <f>'Single Audit Cover'!E7</f>
        <v>7016127561</v>
      </c>
      <c r="B2" s="2454"/>
      <c r="C2" s="2454"/>
      <c r="D2" s="2454"/>
    </row>
    <row r="3" spans="1:11" s="1212" customFormat="1" ht="12.75" x14ac:dyDescent="0.2">
      <c r="A3" s="2452"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14999847407452621"/>
  </sheetPr>
  <dimension ref="A1:E49"/>
  <sheetViews>
    <sheetView showGridLines="0" zoomScale="110" zoomScaleNormal="110" zoomScaleSheetLayoutView="100" workbookViewId="0">
      <selection activeCell="G11" sqref="G1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6" t="str">
        <f>'Single Audit Cover'!A7</f>
        <v>Eisenhower Cooperative</v>
      </c>
      <c r="B1" s="2456"/>
      <c r="C1" s="2456"/>
      <c r="D1" s="2456"/>
      <c r="E1" s="2456"/>
    </row>
    <row r="2" spans="1:5" x14ac:dyDescent="0.2">
      <c r="A2" s="2457">
        <f>'Single Audit Cover'!E7</f>
        <v>7016127561</v>
      </c>
      <c r="B2" s="2457"/>
      <c r="C2" s="2457"/>
      <c r="D2" s="2457"/>
      <c r="E2" s="2457"/>
    </row>
    <row r="3" spans="1:5" ht="4.5" customHeight="1" x14ac:dyDescent="0.2"/>
    <row r="4" spans="1:5" x14ac:dyDescent="0.2">
      <c r="A4" s="2456" t="s">
        <v>1245</v>
      </c>
      <c r="B4" s="2456"/>
      <c r="C4" s="2456"/>
      <c r="D4" s="2456"/>
      <c r="E4" s="2456"/>
    </row>
    <row r="5" spans="1:5" x14ac:dyDescent="0.2">
      <c r="A5" s="2459" t="str">
        <f>'Single Audit Cover'!A4</f>
        <v>Year Ending June 30, 2019</v>
      </c>
      <c r="B5" s="2459"/>
      <c r="C5" s="2459"/>
      <c r="D5" s="2459"/>
      <c r="E5" s="2459"/>
    </row>
    <row r="6" spans="1:5" x14ac:dyDescent="0.2">
      <c r="A6" s="2456" t="s">
        <v>1244</v>
      </c>
      <c r="B6" s="2456"/>
      <c r="C6" s="2456"/>
      <c r="D6" s="2456"/>
      <c r="E6" s="2456"/>
    </row>
    <row r="8" spans="1:5" x14ac:dyDescent="0.2">
      <c r="A8" s="1257" t="s">
        <v>1243</v>
      </c>
    </row>
    <row r="10" spans="1:5" x14ac:dyDescent="0.2">
      <c r="A10" s="1258" t="s">
        <v>1242</v>
      </c>
      <c r="B10" s="1259" t="s">
        <v>1241</v>
      </c>
      <c r="C10" s="1259"/>
      <c r="D10" s="1260">
        <f>SUM('Acct Summary 7-8'!C7:K7)</f>
        <v>4967538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-302276</v>
      </c>
    </row>
    <row r="19" spans="1:4" ht="13.5" thickBot="1" x14ac:dyDescent="0.25">
      <c r="A19" s="1262" t="s">
        <v>1235</v>
      </c>
      <c r="D19" s="1263">
        <f>SUM(D10:D17)</f>
        <v>4665262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8"/>
      <c r="B24" s="2458"/>
      <c r="D24" s="1265"/>
    </row>
    <row r="25" spans="1:4" x14ac:dyDescent="0.2">
      <c r="A25" s="2455"/>
      <c r="B25" s="2455"/>
      <c r="D25" s="1265"/>
    </row>
    <row r="26" spans="1:4" x14ac:dyDescent="0.2">
      <c r="A26" s="2455"/>
      <c r="B26" s="2455"/>
      <c r="D26" s="1265"/>
    </row>
    <row r="27" spans="1:4" x14ac:dyDescent="0.2">
      <c r="A27" s="2455"/>
      <c r="B27" s="2455"/>
      <c r="D27" s="1265"/>
    </row>
    <row r="28" spans="1:4" x14ac:dyDescent="0.2">
      <c r="A28" s="2455"/>
      <c r="B28" s="2455"/>
      <c r="D28" s="1265"/>
    </row>
    <row r="29" spans="1:4" x14ac:dyDescent="0.2">
      <c r="A29" s="2455"/>
      <c r="B29" s="2455"/>
      <c r="D29" s="1265"/>
    </row>
    <row r="30" spans="1:4" x14ac:dyDescent="0.2">
      <c r="A30" s="2455"/>
      <c r="B30" s="2455"/>
      <c r="D30" s="1265"/>
    </row>
    <row r="32" spans="1:4" x14ac:dyDescent="0.2">
      <c r="A32" s="1257" t="s">
        <v>1233</v>
      </c>
      <c r="D32" s="1260">
        <f>SUM(D19:D30)</f>
        <v>4665262</v>
      </c>
    </row>
    <row r="33" spans="1:4" x14ac:dyDescent="0.2">
      <c r="D33" s="1266"/>
    </row>
    <row r="34" spans="1:4" x14ac:dyDescent="0.2">
      <c r="A34" s="317" t="s">
        <v>1232</v>
      </c>
    </row>
    <row r="35" spans="1:4" x14ac:dyDescent="0.2">
      <c r="A35" s="317" t="s">
        <v>1231</v>
      </c>
      <c r="B35" s="1255" t="s">
        <v>1230</v>
      </c>
      <c r="D35" s="1267">
        <f>' SEFA'!F113</f>
        <v>4665262</v>
      </c>
    </row>
    <row r="37" spans="1:4" x14ac:dyDescent="0.2">
      <c r="A37" s="1257" t="s">
        <v>1229</v>
      </c>
    </row>
    <row r="39" spans="1:4" ht="13.35" customHeight="1" x14ac:dyDescent="0.2">
      <c r="A39" s="1264" t="s">
        <v>1228</v>
      </c>
    </row>
    <row r="40" spans="1:4" x14ac:dyDescent="0.2">
      <c r="A40" s="2455"/>
      <c r="B40" s="2455"/>
      <c r="D40" s="1265"/>
    </row>
    <row r="41" spans="1:4" x14ac:dyDescent="0.2">
      <c r="A41" s="2455"/>
      <c r="B41" s="2455"/>
      <c r="D41" s="1268"/>
    </row>
    <row r="42" spans="1:4" x14ac:dyDescent="0.2">
      <c r="A42" s="2455"/>
      <c r="B42" s="2455"/>
      <c r="D42" s="1268"/>
    </row>
    <row r="43" spans="1:4" x14ac:dyDescent="0.2">
      <c r="A43" s="2455"/>
      <c r="B43" s="2455"/>
      <c r="D43" s="1268"/>
    </row>
    <row r="44" spans="1:4" x14ac:dyDescent="0.2">
      <c r="A44" s="2455"/>
      <c r="B44" s="2455"/>
      <c r="D44" s="1268"/>
    </row>
    <row r="45" spans="1:4" x14ac:dyDescent="0.2">
      <c r="A45" s="2455"/>
      <c r="B45" s="2455"/>
      <c r="D45" s="1268"/>
    </row>
    <row r="47" spans="1:4" x14ac:dyDescent="0.2">
      <c r="B47" s="1269" t="s">
        <v>1227</v>
      </c>
      <c r="C47" s="1269"/>
      <c r="D47" s="1270">
        <f>SUM(D35:D45)</f>
        <v>4665262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B1:O239"/>
  <sheetViews>
    <sheetView showGridLines="0" zoomScaleNormal="100" workbookViewId="0">
      <pane xSplit="2" ySplit="10" topLeftCell="C11" activePane="bottomRight" state="frozen"/>
      <selection pane="topRight" activeCell="C1" sqref="C1"/>
      <selection pane="bottomLeft" activeCell="A11" sqref="A11"/>
      <selection pane="bottomRight" activeCell="E15" sqref="E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9" t="str">
        <f>'Single Audit Cover'!A7</f>
        <v>Eisenhower Cooperative</v>
      </c>
      <c r="C1" s="2460"/>
      <c r="D1" s="2460"/>
      <c r="E1" s="2460"/>
      <c r="F1" s="2460"/>
      <c r="G1" s="2460"/>
      <c r="H1" s="2460"/>
      <c r="I1" s="2460"/>
      <c r="J1" s="2460"/>
      <c r="K1" s="2460"/>
      <c r="L1" s="2460"/>
      <c r="M1" s="2460"/>
    </row>
    <row r="2" spans="2:14" ht="15" x14ac:dyDescent="0.2">
      <c r="B2" s="2461">
        <f>'Single Audit Cover'!E7</f>
        <v>7016127561</v>
      </c>
      <c r="C2" s="2461"/>
      <c r="D2" s="2461"/>
      <c r="E2" s="2461"/>
      <c r="F2" s="2461"/>
      <c r="G2" s="2461"/>
      <c r="H2" s="2461"/>
      <c r="I2" s="2461"/>
      <c r="J2" s="2461"/>
      <c r="K2" s="2461"/>
      <c r="L2" s="2461"/>
      <c r="M2" s="2461"/>
      <c r="N2" s="1299"/>
    </row>
    <row r="3" spans="2:14" ht="15" x14ac:dyDescent="0.2">
      <c r="B3" s="2462" t="s">
        <v>1219</v>
      </c>
      <c r="C3" s="2462"/>
      <c r="D3" s="2462"/>
      <c r="E3" s="2462"/>
      <c r="F3" s="2462"/>
      <c r="G3" s="2462"/>
      <c r="H3" s="2462"/>
      <c r="I3" s="2462"/>
      <c r="J3" s="2462"/>
      <c r="K3" s="2462"/>
      <c r="L3" s="2462"/>
      <c r="M3" s="2462"/>
      <c r="N3" s="1299"/>
    </row>
    <row r="4" spans="2:14" ht="15" x14ac:dyDescent="0.2">
      <c r="B4" s="2463" t="str">
        <f>'Single Audit Cover'!A4</f>
        <v>Year Ending June 30, 2019</v>
      </c>
      <c r="C4" s="2463"/>
      <c r="D4" s="2463"/>
      <c r="E4" s="2463"/>
      <c r="F4" s="2463"/>
      <c r="G4" s="2463"/>
      <c r="H4" s="2463"/>
      <c r="I4" s="2463"/>
      <c r="J4" s="2463"/>
      <c r="K4" s="2463"/>
      <c r="L4" s="2463"/>
      <c r="M4" s="246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3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2165</v>
      </c>
      <c r="C11" s="1335"/>
      <c r="D11" s="1336"/>
      <c r="E11" s="1337"/>
      <c r="F11" s="1337"/>
      <c r="G11" s="1337"/>
      <c r="H11" s="1916"/>
      <c r="I11" s="1337"/>
      <c r="J11" s="1915"/>
      <c r="K11" s="1337"/>
      <c r="L11" s="1337"/>
      <c r="M11" s="1337"/>
    </row>
    <row r="12" spans="2:14" ht="20.100000000000001" customHeight="1" x14ac:dyDescent="0.2">
      <c r="B12" s="1334" t="s">
        <v>2164</v>
      </c>
      <c r="C12" s="1335"/>
      <c r="D12" s="1336"/>
      <c r="E12" s="1337"/>
      <c r="F12" s="1337"/>
      <c r="G12" s="1337"/>
      <c r="H12" s="1916"/>
      <c r="I12" s="1337"/>
      <c r="J12" s="1915"/>
      <c r="K12" s="1337"/>
      <c r="L12" s="1337"/>
      <c r="M12" s="1337"/>
    </row>
    <row r="13" spans="2:14" ht="20.100000000000001" customHeight="1" x14ac:dyDescent="0.2">
      <c r="B13" s="1334"/>
      <c r="C13" s="1335"/>
      <c r="D13" s="1336"/>
      <c r="E13" s="1337"/>
      <c r="F13" s="1337"/>
      <c r="G13" s="1337"/>
      <c r="H13" s="1916"/>
      <c r="I13" s="1337"/>
      <c r="J13" s="1915"/>
      <c r="K13" s="1337"/>
      <c r="L13" s="1337"/>
      <c r="M13" s="1337"/>
    </row>
    <row r="14" spans="2:14" ht="20.100000000000001" customHeight="1" x14ac:dyDescent="0.2">
      <c r="B14" s="1334" t="s">
        <v>2163</v>
      </c>
      <c r="C14" s="1335"/>
      <c r="D14" s="1336"/>
      <c r="E14" s="1337"/>
      <c r="F14" s="1337"/>
      <c r="G14" s="1337"/>
      <c r="H14" s="1916"/>
      <c r="I14" s="1337"/>
      <c r="J14" s="1915"/>
      <c r="K14" s="1337"/>
      <c r="L14" s="1337"/>
      <c r="M14" s="1337"/>
    </row>
    <row r="15" spans="2:14" ht="20.100000000000001" customHeight="1" x14ac:dyDescent="0.2">
      <c r="B15" s="1334"/>
      <c r="C15" s="1335"/>
      <c r="D15" s="1336"/>
      <c r="E15" s="1337"/>
      <c r="F15" s="1337"/>
      <c r="G15" s="1337"/>
      <c r="H15" s="1916"/>
      <c r="I15" s="1337"/>
      <c r="J15" s="1915"/>
      <c r="K15" s="1337"/>
      <c r="L15" s="1337"/>
      <c r="M15" s="1337"/>
    </row>
    <row r="16" spans="2:14" ht="20.100000000000001" customHeight="1" x14ac:dyDescent="0.2">
      <c r="B16" s="1334" t="s">
        <v>2162</v>
      </c>
      <c r="C16" s="1335"/>
      <c r="D16" s="1336"/>
      <c r="E16" s="1337"/>
      <c r="F16" s="1337"/>
      <c r="G16" s="1337"/>
      <c r="H16" s="1916"/>
      <c r="I16" s="1337"/>
      <c r="J16" s="1915"/>
      <c r="K16" s="1337"/>
      <c r="L16" s="1337"/>
      <c r="M16" s="1337"/>
    </row>
    <row r="17" spans="2:13" ht="20.100000000000001" customHeight="1" x14ac:dyDescent="0.2">
      <c r="B17" s="1334" t="s">
        <v>2161</v>
      </c>
      <c r="C17" s="1335">
        <v>84.173000000000002</v>
      </c>
      <c r="D17" s="1336"/>
      <c r="E17" s="1337"/>
      <c r="F17" s="1337"/>
      <c r="G17" s="1337"/>
      <c r="H17" s="1916"/>
      <c r="I17" s="1337"/>
      <c r="J17" s="1915"/>
      <c r="K17" s="1337"/>
      <c r="L17" s="1337"/>
      <c r="M17" s="1337"/>
    </row>
    <row r="18" spans="2:13" ht="20.100000000000001" customHeight="1" x14ac:dyDescent="0.2">
      <c r="B18" s="1334"/>
      <c r="C18" s="1335"/>
      <c r="D18" s="1336"/>
      <c r="E18" s="1337"/>
      <c r="F18" s="1337"/>
      <c r="G18" s="1337"/>
      <c r="H18" s="1916"/>
      <c r="I18" s="1337"/>
      <c r="J18" s="1915"/>
      <c r="K18" s="1337"/>
      <c r="L18" s="1337"/>
      <c r="M18" s="1337"/>
    </row>
    <row r="19" spans="2:13" ht="20.100000000000001" customHeight="1" x14ac:dyDescent="0.2">
      <c r="B19" s="1334" t="s">
        <v>2151</v>
      </c>
      <c r="C19" s="1335"/>
      <c r="D19" s="1336" t="s">
        <v>2160</v>
      </c>
      <c r="E19" s="1912">
        <v>41078</v>
      </c>
      <c r="F19" s="1912" t="s">
        <v>2103</v>
      </c>
      <c r="G19" s="1912">
        <f>SUM(H20:H21)</f>
        <v>20892</v>
      </c>
      <c r="H19" s="1913"/>
      <c r="I19" s="1912">
        <v>0</v>
      </c>
      <c r="J19" s="1911">
        <v>0</v>
      </c>
      <c r="K19" s="1337"/>
      <c r="L19" s="1337">
        <v>121203</v>
      </c>
      <c r="M19" s="1337">
        <v>159338</v>
      </c>
    </row>
    <row r="20" spans="2:13" ht="20.100000000000001" customHeight="1" x14ac:dyDescent="0.2">
      <c r="B20" s="1334" t="s">
        <v>2145</v>
      </c>
      <c r="C20" s="1335"/>
      <c r="D20" s="1336" t="s">
        <v>2152</v>
      </c>
      <c r="E20" s="1912">
        <v>15490</v>
      </c>
      <c r="F20" s="1912" t="s">
        <v>2103</v>
      </c>
      <c r="G20" s="1912">
        <v>0</v>
      </c>
      <c r="H20" s="1913">
        <v>15490</v>
      </c>
      <c r="I20" s="1912">
        <v>0</v>
      </c>
      <c r="J20" s="1911">
        <v>0</v>
      </c>
      <c r="K20" s="1337"/>
      <c r="L20" s="1337"/>
      <c r="M20" s="1337"/>
    </row>
    <row r="21" spans="2:13" ht="20.100000000000001" customHeight="1" x14ac:dyDescent="0.2">
      <c r="B21" s="1334" t="s">
        <v>2142</v>
      </c>
      <c r="C21" s="1335"/>
      <c r="D21" s="1336" t="s">
        <v>2152</v>
      </c>
      <c r="E21" s="1912">
        <v>5402</v>
      </c>
      <c r="F21" s="1912" t="s">
        <v>2103</v>
      </c>
      <c r="G21" s="1912">
        <v>0</v>
      </c>
      <c r="H21" s="1913">
        <v>5402</v>
      </c>
      <c r="I21" s="1912">
        <v>0</v>
      </c>
      <c r="J21" s="1911">
        <v>0</v>
      </c>
      <c r="K21" s="1337"/>
      <c r="L21" s="1337"/>
      <c r="M21" s="1337"/>
    </row>
    <row r="22" spans="2:13" ht="20.100000000000001" customHeight="1" x14ac:dyDescent="0.2">
      <c r="B22" s="1334"/>
      <c r="C22" s="1335"/>
      <c r="D22" s="1336"/>
      <c r="E22" s="1912"/>
      <c r="F22" s="1912"/>
      <c r="G22" s="1912"/>
      <c r="H22" s="1913"/>
      <c r="I22" s="1912"/>
      <c r="J22" s="1911"/>
      <c r="K22" s="1337"/>
      <c r="L22" s="1337"/>
      <c r="M22" s="1337"/>
    </row>
    <row r="23" spans="2:13" ht="20.100000000000001" customHeight="1" x14ac:dyDescent="0.2">
      <c r="B23" s="1334" t="s">
        <v>2151</v>
      </c>
      <c r="C23" s="1335"/>
      <c r="D23" s="1336" t="s">
        <v>2159</v>
      </c>
      <c r="E23" s="1912">
        <v>-59130</v>
      </c>
      <c r="F23" s="1912">
        <v>74899</v>
      </c>
      <c r="G23" s="1912">
        <f>5472+SUM(H24:H31)</f>
        <v>90261</v>
      </c>
      <c r="H23" s="1913"/>
      <c r="I23" s="1912">
        <f>10297+SUM(J24:J31)</f>
        <v>25632</v>
      </c>
      <c r="J23" s="1911"/>
      <c r="K23" s="1337"/>
      <c r="L23" s="1337">
        <f>+G23+I23+K23</f>
        <v>115893</v>
      </c>
      <c r="M23" s="1337">
        <v>125260</v>
      </c>
    </row>
    <row r="24" spans="2:13" ht="20.100000000000001" customHeight="1" x14ac:dyDescent="0.2">
      <c r="B24" s="1334" t="s">
        <v>2149</v>
      </c>
      <c r="C24" s="1335"/>
      <c r="D24" s="1336" t="s">
        <v>2140</v>
      </c>
      <c r="E24" s="1912">
        <v>5670</v>
      </c>
      <c r="F24" s="1912" t="s">
        <v>2103</v>
      </c>
      <c r="G24" s="1912">
        <v>0</v>
      </c>
      <c r="H24" s="1913">
        <v>5670</v>
      </c>
      <c r="I24" s="1912">
        <v>0</v>
      </c>
      <c r="J24" s="1911">
        <v>0</v>
      </c>
      <c r="K24" s="1337"/>
      <c r="L24" s="1337"/>
      <c r="M24" s="1337"/>
    </row>
    <row r="25" spans="2:13" ht="20.100000000000001" customHeight="1" x14ac:dyDescent="0.2">
      <c r="B25" s="1334" t="s">
        <v>2148</v>
      </c>
      <c r="C25" s="1335"/>
      <c r="D25" s="1336" t="s">
        <v>2140</v>
      </c>
      <c r="E25" s="1912">
        <v>11655</v>
      </c>
      <c r="F25" s="1912" t="s">
        <v>2103</v>
      </c>
      <c r="G25" s="1912">
        <v>0</v>
      </c>
      <c r="H25" s="1913">
        <v>11655</v>
      </c>
      <c r="I25" s="1912">
        <v>0</v>
      </c>
      <c r="J25" s="1911">
        <v>0</v>
      </c>
      <c r="K25" s="1337"/>
      <c r="L25" s="1337"/>
      <c r="M25" s="1337"/>
    </row>
    <row r="26" spans="2:13" ht="20.100000000000001" customHeight="1" x14ac:dyDescent="0.2">
      <c r="B26" s="1334" t="s">
        <v>2147</v>
      </c>
      <c r="C26" s="1335"/>
      <c r="D26" s="1336" t="s">
        <v>2140</v>
      </c>
      <c r="E26" s="1912">
        <v>5351</v>
      </c>
      <c r="F26" s="1912">
        <v>12780</v>
      </c>
      <c r="G26" s="1912">
        <v>0</v>
      </c>
      <c r="H26" s="1913">
        <v>5351</v>
      </c>
      <c r="I26" s="1912">
        <v>0</v>
      </c>
      <c r="J26" s="1911">
        <v>12780</v>
      </c>
      <c r="K26" s="1337"/>
      <c r="L26" s="1337"/>
      <c r="M26" s="1337"/>
    </row>
    <row r="27" spans="2:13" ht="20.100000000000001" customHeight="1" x14ac:dyDescent="0.2">
      <c r="B27" s="1334" t="s">
        <v>2146</v>
      </c>
      <c r="C27" s="1335"/>
      <c r="D27" s="1336" t="s">
        <v>2140</v>
      </c>
      <c r="E27" s="1912">
        <v>14638</v>
      </c>
      <c r="F27" s="1912" t="s">
        <v>2103</v>
      </c>
      <c r="G27" s="1912">
        <v>0</v>
      </c>
      <c r="H27" s="1913">
        <v>14638</v>
      </c>
      <c r="I27" s="1912">
        <v>0</v>
      </c>
      <c r="J27" s="1911" t="s">
        <v>2127</v>
      </c>
      <c r="K27" s="1337"/>
      <c r="L27" s="1337"/>
      <c r="M27" s="1337"/>
    </row>
    <row r="28" spans="2:13" ht="20.100000000000001" customHeight="1" x14ac:dyDescent="0.2">
      <c r="B28" s="1334" t="s">
        <v>2145</v>
      </c>
      <c r="C28" s="1335"/>
      <c r="D28" s="1336" t="s">
        <v>2140</v>
      </c>
      <c r="E28" s="1912">
        <v>28272</v>
      </c>
      <c r="F28" s="1912" t="s">
        <v>2103</v>
      </c>
      <c r="G28" s="1912">
        <v>0</v>
      </c>
      <c r="H28" s="1913">
        <v>28272</v>
      </c>
      <c r="I28" s="1912">
        <v>0</v>
      </c>
      <c r="J28" s="1911" t="s">
        <v>2127</v>
      </c>
      <c r="K28" s="1337"/>
      <c r="L28" s="1337"/>
      <c r="M28" s="1337"/>
    </row>
    <row r="29" spans="2:13" ht="20.100000000000001" customHeight="1" x14ac:dyDescent="0.2">
      <c r="B29" s="1334" t="s">
        <v>2144</v>
      </c>
      <c r="C29" s="1335"/>
      <c r="D29" s="1336" t="s">
        <v>2140</v>
      </c>
      <c r="E29" s="1912">
        <v>5384</v>
      </c>
      <c r="F29" s="1912" t="s">
        <v>2103</v>
      </c>
      <c r="G29" s="1912">
        <v>0</v>
      </c>
      <c r="H29" s="1913">
        <v>5384</v>
      </c>
      <c r="I29" s="1912">
        <v>0</v>
      </c>
      <c r="J29" s="1911" t="s">
        <v>2127</v>
      </c>
      <c r="K29" s="1337"/>
      <c r="L29" s="1337"/>
      <c r="M29" s="1337"/>
    </row>
    <row r="30" spans="2:13" ht="20.100000000000001" customHeight="1" x14ac:dyDescent="0.2">
      <c r="B30" s="1334" t="s">
        <v>2143</v>
      </c>
      <c r="C30" s="1335"/>
      <c r="D30" s="1336" t="s">
        <v>2140</v>
      </c>
      <c r="E30" s="1912">
        <v>8660</v>
      </c>
      <c r="F30" s="1912" t="s">
        <v>2103</v>
      </c>
      <c r="G30" s="1912">
        <v>0</v>
      </c>
      <c r="H30" s="1913">
        <v>8660</v>
      </c>
      <c r="I30" s="1912">
        <v>0</v>
      </c>
      <c r="J30" s="1911" t="s">
        <v>2127</v>
      </c>
      <c r="K30" s="1337"/>
      <c r="L30" s="1337"/>
      <c r="M30" s="1337"/>
    </row>
    <row r="31" spans="2:13" ht="20.100000000000001" customHeight="1" x14ac:dyDescent="0.2">
      <c r="B31" s="1334" t="s">
        <v>2142</v>
      </c>
      <c r="C31" s="1335"/>
      <c r="D31" s="1336" t="s">
        <v>2140</v>
      </c>
      <c r="E31" s="1912">
        <v>5159</v>
      </c>
      <c r="F31" s="1912">
        <v>2555</v>
      </c>
      <c r="G31" s="1912">
        <v>0</v>
      </c>
      <c r="H31" s="1913">
        <v>5159</v>
      </c>
      <c r="I31" s="1912">
        <v>0</v>
      </c>
      <c r="J31" s="1911">
        <v>2555</v>
      </c>
      <c r="K31" s="1337"/>
      <c r="L31" s="1337"/>
      <c r="M31" s="1337"/>
    </row>
    <row r="32" spans="2:13" ht="20.100000000000001" customHeight="1" x14ac:dyDescent="0.2">
      <c r="B32" s="1334"/>
      <c r="C32" s="1335"/>
      <c r="D32" s="1336"/>
      <c r="E32" s="1912"/>
      <c r="F32" s="1912"/>
      <c r="G32" s="1912"/>
      <c r="H32" s="1913"/>
      <c r="I32" s="1912"/>
      <c r="J32" s="1911"/>
      <c r="K32" s="1337"/>
      <c r="L32" s="1337"/>
      <c r="M32" s="1337"/>
    </row>
    <row r="33" spans="2:13" ht="20.100000000000001" customHeight="1" x14ac:dyDescent="0.2">
      <c r="B33" s="1334" t="s">
        <v>2151</v>
      </c>
      <c r="C33" s="1335"/>
      <c r="D33" s="1336" t="s">
        <v>2158</v>
      </c>
      <c r="E33" s="1912" t="s">
        <v>2103</v>
      </c>
      <c r="F33" s="1912">
        <v>-63518</v>
      </c>
      <c r="G33" s="1912">
        <v>0</v>
      </c>
      <c r="H33" s="1913">
        <v>0</v>
      </c>
      <c r="I33" s="1912">
        <f>SUM(J34:J39)</f>
        <v>80007</v>
      </c>
      <c r="J33" s="1911">
        <v>0</v>
      </c>
      <c r="K33" s="1337">
        <v>25549</v>
      </c>
      <c r="L33" s="1337">
        <f>+G33+I33+K33</f>
        <v>105556</v>
      </c>
      <c r="M33" s="1337">
        <v>105556</v>
      </c>
    </row>
    <row r="34" spans="2:13" ht="20.100000000000001" customHeight="1" x14ac:dyDescent="0.2">
      <c r="B34" s="1334" t="s">
        <v>2149</v>
      </c>
      <c r="C34" s="1335"/>
      <c r="D34" s="1336" t="s">
        <v>2128</v>
      </c>
      <c r="E34" s="1912" t="s">
        <v>2103</v>
      </c>
      <c r="F34" s="1912">
        <v>8392</v>
      </c>
      <c r="G34" s="1912">
        <v>0</v>
      </c>
      <c r="H34" s="1913">
        <v>0</v>
      </c>
      <c r="I34" s="1912">
        <v>0</v>
      </c>
      <c r="J34" s="1911">
        <v>8392</v>
      </c>
      <c r="K34" s="1337"/>
      <c r="L34" s="1337"/>
      <c r="M34" s="1337"/>
    </row>
    <row r="35" spans="2:13" ht="20.100000000000001" customHeight="1" x14ac:dyDescent="0.2">
      <c r="B35" s="1334" t="s">
        <v>2148</v>
      </c>
      <c r="C35" s="1335"/>
      <c r="D35" s="1336" t="s">
        <v>2128</v>
      </c>
      <c r="E35" s="1912" t="s">
        <v>2103</v>
      </c>
      <c r="F35" s="1912">
        <v>19259</v>
      </c>
      <c r="G35" s="1912">
        <v>0</v>
      </c>
      <c r="H35" s="1913">
        <v>0</v>
      </c>
      <c r="I35" s="1912">
        <v>0</v>
      </c>
      <c r="J35" s="1911">
        <v>19259</v>
      </c>
      <c r="K35" s="1337"/>
      <c r="L35" s="1337"/>
      <c r="M35" s="1337"/>
    </row>
    <row r="36" spans="2:13" ht="20.100000000000001" customHeight="1" x14ac:dyDescent="0.2">
      <c r="B36" s="1334" t="s">
        <v>2147</v>
      </c>
      <c r="C36" s="1335"/>
      <c r="D36" s="1336" t="s">
        <v>2128</v>
      </c>
      <c r="E36" s="1912" t="s">
        <v>2103</v>
      </c>
      <c r="F36" s="1912">
        <v>1267</v>
      </c>
      <c r="G36" s="1912">
        <v>0</v>
      </c>
      <c r="H36" s="1913">
        <v>0</v>
      </c>
      <c r="I36" s="1912">
        <v>0</v>
      </c>
      <c r="J36" s="1911">
        <v>1267</v>
      </c>
      <c r="K36" s="1337"/>
      <c r="L36" s="1337"/>
      <c r="M36" s="1337"/>
    </row>
    <row r="37" spans="2:13" ht="20.100000000000001" customHeight="1" x14ac:dyDescent="0.2">
      <c r="B37" s="1334" t="s">
        <v>2146</v>
      </c>
      <c r="C37" s="1335"/>
      <c r="D37" s="1336" t="s">
        <v>2128</v>
      </c>
      <c r="E37" s="1912" t="s">
        <v>2103</v>
      </c>
      <c r="F37" s="1912">
        <v>8097</v>
      </c>
      <c r="G37" s="1912">
        <v>0</v>
      </c>
      <c r="H37" s="1913">
        <v>0</v>
      </c>
      <c r="I37" s="1912">
        <v>0</v>
      </c>
      <c r="J37" s="1911">
        <v>8097</v>
      </c>
      <c r="K37" s="1337"/>
      <c r="L37" s="1337"/>
      <c r="M37" s="1337"/>
    </row>
    <row r="38" spans="2:13" ht="20.100000000000001" customHeight="1" x14ac:dyDescent="0.2">
      <c r="B38" s="1334" t="s">
        <v>2145</v>
      </c>
      <c r="C38" s="1335"/>
      <c r="D38" s="1336" t="s">
        <v>2128</v>
      </c>
      <c r="E38" s="1912" t="s">
        <v>2103</v>
      </c>
      <c r="F38" s="1912">
        <v>27829</v>
      </c>
      <c r="G38" s="1912">
        <v>0</v>
      </c>
      <c r="H38" s="1913">
        <v>0</v>
      </c>
      <c r="I38" s="1912">
        <v>0</v>
      </c>
      <c r="J38" s="1911">
        <v>27829</v>
      </c>
      <c r="K38" s="1337"/>
      <c r="L38" s="1337"/>
      <c r="M38" s="1337"/>
    </row>
    <row r="39" spans="2:13" ht="20.100000000000001" customHeight="1" x14ac:dyDescent="0.2">
      <c r="B39" s="1334" t="s">
        <v>2143</v>
      </c>
      <c r="C39" s="1335"/>
      <c r="D39" s="1336" t="s">
        <v>2128</v>
      </c>
      <c r="E39" s="1912" t="s">
        <v>2103</v>
      </c>
      <c r="F39" s="1912">
        <v>15163</v>
      </c>
      <c r="G39" s="1912">
        <v>0</v>
      </c>
      <c r="H39" s="1913">
        <v>0</v>
      </c>
      <c r="I39" s="1912">
        <v>0</v>
      </c>
      <c r="J39" s="1911">
        <v>15163</v>
      </c>
      <c r="K39" s="1337"/>
      <c r="L39" s="1337"/>
      <c r="M39" s="1337"/>
    </row>
    <row r="40" spans="2:13" ht="20.100000000000001" customHeight="1" x14ac:dyDescent="0.2">
      <c r="B40" s="1334"/>
      <c r="C40" s="1335"/>
      <c r="D40" s="1336"/>
      <c r="E40" s="1912"/>
      <c r="F40" s="1912"/>
      <c r="G40" s="1912"/>
      <c r="H40" s="1913"/>
      <c r="I40" s="1912"/>
      <c r="J40" s="1911"/>
      <c r="K40" s="1337"/>
      <c r="L40" s="1337"/>
      <c r="M40" s="1337"/>
    </row>
    <row r="41" spans="2:13" s="1257" customFormat="1" ht="20.100000000000001" customHeight="1" x14ac:dyDescent="0.2">
      <c r="B41" s="1900" t="s">
        <v>2157</v>
      </c>
      <c r="C41" s="1910"/>
      <c r="D41" s="1909"/>
      <c r="E41" s="1907">
        <v>87629</v>
      </c>
      <c r="F41" s="1907">
        <v>106723</v>
      </c>
      <c r="G41" s="1907">
        <v>111153</v>
      </c>
      <c r="H41" s="1908">
        <f>SUM(H11:H40)</f>
        <v>105681</v>
      </c>
      <c r="I41" s="1907">
        <v>105639</v>
      </c>
      <c r="J41" s="1906">
        <f>SUM(J11:J40)</f>
        <v>95342</v>
      </c>
      <c r="K41" s="1894"/>
      <c r="L41" s="1894"/>
      <c r="M41" s="1894"/>
    </row>
    <row r="42" spans="2:13" ht="20.100000000000001" customHeight="1" x14ac:dyDescent="0.2">
      <c r="B42" s="1334"/>
      <c r="C42" s="1335"/>
      <c r="D42" s="1336"/>
      <c r="E42" s="1912"/>
      <c r="F42" s="1912"/>
      <c r="G42" s="1912"/>
      <c r="H42" s="1913"/>
      <c r="I42" s="1912"/>
      <c r="J42" s="1911"/>
      <c r="K42" s="1337"/>
      <c r="L42" s="1337"/>
      <c r="M42" s="1337"/>
    </row>
    <row r="43" spans="2:13" ht="20.100000000000001" customHeight="1" x14ac:dyDescent="0.2">
      <c r="B43" s="1334" t="s">
        <v>2156</v>
      </c>
      <c r="C43" s="1335"/>
      <c r="D43" s="1336"/>
      <c r="E43" s="1912"/>
      <c r="F43" s="1912"/>
      <c r="G43" s="1912"/>
      <c r="H43" s="1913"/>
      <c r="I43" s="1912"/>
      <c r="J43" s="1911"/>
      <c r="K43" s="1337"/>
      <c r="L43" s="1337"/>
      <c r="M43" s="1337"/>
    </row>
    <row r="44" spans="2:13" ht="20.100000000000001" customHeight="1" x14ac:dyDescent="0.2">
      <c r="B44" s="1334" t="s">
        <v>2155</v>
      </c>
      <c r="C44" s="1335">
        <v>84.027000000000001</v>
      </c>
      <c r="D44" s="1336"/>
      <c r="E44" s="1912"/>
      <c r="F44" s="1912"/>
      <c r="G44" s="1912"/>
      <c r="H44" s="1913"/>
      <c r="I44" s="1912"/>
      <c r="J44" s="1911"/>
      <c r="K44" s="1337"/>
      <c r="L44" s="1337"/>
      <c r="M44" s="1337"/>
    </row>
    <row r="45" spans="2:13" ht="20.100000000000001" customHeight="1" x14ac:dyDescent="0.2">
      <c r="B45" s="1334"/>
      <c r="C45" s="1335"/>
      <c r="D45" s="1336"/>
      <c r="E45" s="1912"/>
      <c r="F45" s="1912"/>
      <c r="G45" s="1912"/>
      <c r="H45" s="1913"/>
      <c r="I45" s="1912"/>
      <c r="J45" s="1911"/>
      <c r="K45" s="1337"/>
      <c r="L45" s="1337"/>
      <c r="M45" s="1337"/>
    </row>
    <row r="46" spans="2:13" ht="20.100000000000001" customHeight="1" x14ac:dyDescent="0.2">
      <c r="B46" s="1334" t="s">
        <v>2139</v>
      </c>
      <c r="C46" s="1335"/>
      <c r="D46" s="1336" t="s">
        <v>2154</v>
      </c>
      <c r="E46" s="1912">
        <v>1498915</v>
      </c>
      <c r="F46" s="1912" t="s">
        <v>2103</v>
      </c>
      <c r="G46" s="1912">
        <f>184223+SUM(H47:H49)</f>
        <v>412282</v>
      </c>
      <c r="H46" s="1913">
        <v>0</v>
      </c>
      <c r="I46" s="1912">
        <v>0</v>
      </c>
      <c r="J46" s="1911">
        <v>0</v>
      </c>
      <c r="K46" s="1337"/>
      <c r="L46" s="1337">
        <v>3891674</v>
      </c>
      <c r="M46" s="1337">
        <v>4986615</v>
      </c>
    </row>
    <row r="47" spans="2:13" ht="20.100000000000001" customHeight="1" x14ac:dyDescent="0.2">
      <c r="B47" s="1914" t="s">
        <v>2133</v>
      </c>
      <c r="C47" s="1335"/>
      <c r="D47" s="1336" t="s">
        <v>2152</v>
      </c>
      <c r="E47" s="1912">
        <v>31144</v>
      </c>
      <c r="F47" s="1912" t="s">
        <v>2103</v>
      </c>
      <c r="G47" s="1912">
        <v>0</v>
      </c>
      <c r="H47" s="1913">
        <v>31144</v>
      </c>
      <c r="I47" s="1912" t="s">
        <v>2127</v>
      </c>
      <c r="J47" s="1911">
        <v>0</v>
      </c>
      <c r="K47" s="1337"/>
      <c r="L47" s="1337"/>
      <c r="M47" s="1337"/>
    </row>
    <row r="48" spans="2:13" ht="20.100000000000001" customHeight="1" x14ac:dyDescent="0.2">
      <c r="B48" s="1914" t="s">
        <v>2153</v>
      </c>
      <c r="C48" s="1335"/>
      <c r="D48" s="1336" t="s">
        <v>2152</v>
      </c>
      <c r="E48" s="1912">
        <v>107510</v>
      </c>
      <c r="F48" s="1912" t="s">
        <v>2103</v>
      </c>
      <c r="G48" s="1912">
        <v>0</v>
      </c>
      <c r="H48" s="1913">
        <v>107510</v>
      </c>
      <c r="I48" s="1912" t="s">
        <v>2127</v>
      </c>
      <c r="J48" s="1911">
        <v>0</v>
      </c>
      <c r="K48" s="1337"/>
      <c r="L48" s="1337"/>
      <c r="M48" s="1337"/>
    </row>
    <row r="49" spans="2:13" ht="20.100000000000001" customHeight="1" x14ac:dyDescent="0.2">
      <c r="B49" s="1914" t="s">
        <v>2129</v>
      </c>
      <c r="C49" s="1335"/>
      <c r="D49" s="1336" t="s">
        <v>2152</v>
      </c>
      <c r="E49" s="1912">
        <v>89405</v>
      </c>
      <c r="F49" s="1912" t="s">
        <v>2103</v>
      </c>
      <c r="G49" s="1912">
        <v>0</v>
      </c>
      <c r="H49" s="1913">
        <v>89405</v>
      </c>
      <c r="I49" s="1912" t="s">
        <v>2127</v>
      </c>
      <c r="J49" s="1911">
        <v>0</v>
      </c>
      <c r="K49" s="1337"/>
      <c r="L49" s="1337"/>
      <c r="M49" s="1337"/>
    </row>
    <row r="50" spans="2:13" ht="20.100000000000001" customHeight="1" x14ac:dyDescent="0.2">
      <c r="B50" s="1334"/>
      <c r="C50" s="1338"/>
      <c r="D50" s="1339"/>
      <c r="E50" s="1902"/>
      <c r="F50" s="1902"/>
      <c r="G50" s="1902"/>
      <c r="H50" s="1903"/>
      <c r="I50" s="1902"/>
      <c r="J50" s="1901"/>
      <c r="K50" s="1340"/>
      <c r="L50" s="1337"/>
      <c r="M50" s="1340"/>
    </row>
    <row r="51" spans="2:13" ht="20.100000000000001" customHeight="1" x14ac:dyDescent="0.2">
      <c r="B51" s="1334" t="s">
        <v>2151</v>
      </c>
      <c r="C51" s="1338"/>
      <c r="D51" s="1339" t="s">
        <v>2150</v>
      </c>
      <c r="E51" s="1902">
        <v>-224365</v>
      </c>
      <c r="F51" s="1902">
        <v>2040557</v>
      </c>
      <c r="G51" s="1902">
        <f>1591474+SUM(H52:H60)</f>
        <v>3484717</v>
      </c>
      <c r="H51" s="1903">
        <v>0</v>
      </c>
      <c r="I51" s="1902">
        <f>224718+SUM(J52:J60)</f>
        <v>798725</v>
      </c>
      <c r="J51" s="1901">
        <v>0</v>
      </c>
      <c r="K51" s="1340"/>
      <c r="L51" s="1337">
        <f>+G51+I51+K51</f>
        <v>4283442</v>
      </c>
      <c r="M51" s="1340">
        <v>4884815</v>
      </c>
    </row>
    <row r="52" spans="2:13" ht="20.100000000000001" customHeight="1" x14ac:dyDescent="0.2">
      <c r="B52" s="1334" t="s">
        <v>2149</v>
      </c>
      <c r="C52" s="1338"/>
      <c r="D52" s="1339" t="s">
        <v>2140</v>
      </c>
      <c r="E52" s="1902">
        <v>122320</v>
      </c>
      <c r="F52" s="1902" t="s">
        <v>2103</v>
      </c>
      <c r="G52" s="1902">
        <v>0</v>
      </c>
      <c r="H52" s="1903">
        <v>122320</v>
      </c>
      <c r="I52" s="1902">
        <v>0</v>
      </c>
      <c r="J52" s="1901" t="s">
        <v>2127</v>
      </c>
      <c r="K52" s="1340"/>
      <c r="L52" s="1337"/>
      <c r="M52" s="1340"/>
    </row>
    <row r="53" spans="2:13" ht="20.100000000000001" customHeight="1" x14ac:dyDescent="0.2">
      <c r="B53" s="1334" t="s">
        <v>2148</v>
      </c>
      <c r="C53" s="1338"/>
      <c r="D53" s="1339" t="s">
        <v>2140</v>
      </c>
      <c r="E53" s="1902">
        <v>235840</v>
      </c>
      <c r="F53" s="1902" t="s">
        <v>2103</v>
      </c>
      <c r="G53" s="1902">
        <v>0</v>
      </c>
      <c r="H53" s="1903">
        <v>235840</v>
      </c>
      <c r="I53" s="1902">
        <v>0</v>
      </c>
      <c r="J53" s="1901" t="s">
        <v>2127</v>
      </c>
      <c r="K53" s="1340"/>
      <c r="L53" s="1337"/>
      <c r="M53" s="1340"/>
    </row>
    <row r="54" spans="2:13" ht="20.100000000000001" customHeight="1" x14ac:dyDescent="0.2">
      <c r="B54" s="1334" t="s">
        <v>2147</v>
      </c>
      <c r="C54" s="1338"/>
      <c r="D54" s="1339" t="s">
        <v>2140</v>
      </c>
      <c r="E54" s="1902">
        <v>59173</v>
      </c>
      <c r="F54" s="1902">
        <v>117992</v>
      </c>
      <c r="G54" s="1902">
        <v>0</v>
      </c>
      <c r="H54" s="1903">
        <v>59173</v>
      </c>
      <c r="I54" s="1902">
        <v>0</v>
      </c>
      <c r="J54" s="1901">
        <v>117992</v>
      </c>
      <c r="K54" s="1340"/>
      <c r="L54" s="1337"/>
      <c r="M54" s="1340"/>
    </row>
    <row r="55" spans="2:13" ht="20.100000000000001" customHeight="1" x14ac:dyDescent="0.2">
      <c r="B55" s="1334" t="s">
        <v>2146</v>
      </c>
      <c r="C55" s="1338"/>
      <c r="D55" s="1339" t="s">
        <v>2140</v>
      </c>
      <c r="E55" s="1902">
        <v>209476</v>
      </c>
      <c r="F55" s="1902" t="s">
        <v>2103</v>
      </c>
      <c r="G55" s="1902">
        <v>0</v>
      </c>
      <c r="H55" s="1903">
        <v>209476</v>
      </c>
      <c r="I55" s="1902">
        <v>0</v>
      </c>
      <c r="J55" s="1901" t="s">
        <v>2127</v>
      </c>
      <c r="K55" s="1340"/>
      <c r="L55" s="1337"/>
      <c r="M55" s="1340"/>
    </row>
    <row r="56" spans="2:13" ht="20.100000000000001" customHeight="1" x14ac:dyDescent="0.2">
      <c r="B56" s="1334" t="s">
        <v>2145</v>
      </c>
      <c r="C56" s="1338"/>
      <c r="D56" s="1339" t="s">
        <v>2140</v>
      </c>
      <c r="E56" s="1902">
        <v>542548</v>
      </c>
      <c r="F56" s="1902" t="s">
        <v>2103</v>
      </c>
      <c r="G56" s="1902">
        <v>0</v>
      </c>
      <c r="H56" s="1903">
        <v>542548</v>
      </c>
      <c r="I56" s="1902">
        <v>0</v>
      </c>
      <c r="J56" s="1901" t="s">
        <v>2127</v>
      </c>
      <c r="K56" s="1340"/>
      <c r="L56" s="1337"/>
      <c r="M56" s="1340"/>
    </row>
    <row r="57" spans="2:13" ht="20.100000000000001" customHeight="1" x14ac:dyDescent="0.2">
      <c r="B57" s="1334" t="s">
        <v>2144</v>
      </c>
      <c r="C57" s="1338"/>
      <c r="D57" s="1339" t="s">
        <v>2140</v>
      </c>
      <c r="E57" s="1902">
        <v>115936</v>
      </c>
      <c r="F57" s="1902" t="s">
        <v>2103</v>
      </c>
      <c r="G57" s="1902">
        <v>0</v>
      </c>
      <c r="H57" s="1903">
        <v>115936</v>
      </c>
      <c r="I57" s="1902">
        <v>0</v>
      </c>
      <c r="J57" s="1901" t="s">
        <v>2127</v>
      </c>
      <c r="K57" s="1340"/>
      <c r="L57" s="1337"/>
      <c r="M57" s="1340"/>
    </row>
    <row r="58" spans="2:13" ht="20.100000000000001" customHeight="1" x14ac:dyDescent="0.2">
      <c r="B58" s="1334" t="s">
        <v>2143</v>
      </c>
      <c r="C58" s="1338"/>
      <c r="D58" s="1339" t="s">
        <v>2140</v>
      </c>
      <c r="E58" s="1902">
        <v>274418</v>
      </c>
      <c r="F58" s="1902" t="s">
        <v>2103</v>
      </c>
      <c r="G58" s="1902">
        <v>0</v>
      </c>
      <c r="H58" s="1903">
        <v>274418</v>
      </c>
      <c r="I58" s="1902">
        <v>0</v>
      </c>
      <c r="J58" s="1901" t="s">
        <v>2127</v>
      </c>
      <c r="K58" s="1340"/>
      <c r="L58" s="1337"/>
      <c r="M58" s="1340"/>
    </row>
    <row r="59" spans="2:13" ht="20.100000000000001" customHeight="1" x14ac:dyDescent="0.2">
      <c r="B59" s="1334" t="s">
        <v>2142</v>
      </c>
      <c r="C59" s="1338"/>
      <c r="D59" s="1339" t="s">
        <v>2140</v>
      </c>
      <c r="E59" s="1902">
        <v>102413</v>
      </c>
      <c r="F59" s="1902">
        <v>61095</v>
      </c>
      <c r="G59" s="1902">
        <v>0</v>
      </c>
      <c r="H59" s="1903">
        <v>102413</v>
      </c>
      <c r="I59" s="1902">
        <v>0</v>
      </c>
      <c r="J59" s="1901">
        <v>61095</v>
      </c>
      <c r="K59" s="1340"/>
      <c r="L59" s="1337"/>
      <c r="M59" s="1340"/>
    </row>
    <row r="60" spans="2:13" ht="20.100000000000001" customHeight="1" x14ac:dyDescent="0.2">
      <c r="B60" s="1334" t="s">
        <v>2141</v>
      </c>
      <c r="C60" s="1338"/>
      <c r="D60" s="1339" t="s">
        <v>2140</v>
      </c>
      <c r="E60" s="1902">
        <v>231119</v>
      </c>
      <c r="F60" s="1902">
        <v>394920</v>
      </c>
      <c r="G60" s="1902">
        <v>0</v>
      </c>
      <c r="H60" s="1903">
        <v>231119</v>
      </c>
      <c r="I60" s="1902">
        <v>0</v>
      </c>
      <c r="J60" s="1901">
        <v>394920</v>
      </c>
      <c r="K60" s="1340"/>
      <c r="L60" s="1337"/>
      <c r="M60" s="1340"/>
    </row>
    <row r="61" spans="2:13" ht="20.100000000000001" customHeight="1" x14ac:dyDescent="0.2">
      <c r="B61" s="1334"/>
      <c r="C61" s="1338"/>
      <c r="D61" s="1339"/>
      <c r="E61" s="1902"/>
      <c r="F61" s="1902"/>
      <c r="G61" s="1902"/>
      <c r="H61" s="1903"/>
      <c r="I61" s="1902"/>
      <c r="J61" s="1901"/>
      <c r="K61" s="1340"/>
      <c r="L61" s="1337"/>
      <c r="M61" s="1340"/>
    </row>
    <row r="62" spans="2:13" ht="20.100000000000001" customHeight="1" x14ac:dyDescent="0.2">
      <c r="B62" s="1334" t="s">
        <v>2139</v>
      </c>
      <c r="C62" s="1338"/>
      <c r="D62" s="1339" t="s">
        <v>2138</v>
      </c>
      <c r="E62" s="1902" t="s">
        <v>2103</v>
      </c>
      <c r="F62" s="1902">
        <v>-932343</v>
      </c>
      <c r="G62" s="1902">
        <v>0</v>
      </c>
      <c r="H62" s="1903">
        <v>0</v>
      </c>
      <c r="I62" s="1902">
        <f>1398596+SUM(J63:J71)</f>
        <v>4042109</v>
      </c>
      <c r="J62" s="1901">
        <v>0</v>
      </c>
      <c r="K62" s="1340">
        <v>1969308</v>
      </c>
      <c r="L62" s="1337">
        <f>+G62+I62+K62</f>
        <v>6011417</v>
      </c>
      <c r="M62" s="1340">
        <v>6011417</v>
      </c>
    </row>
    <row r="63" spans="2:13" ht="20.100000000000001" customHeight="1" x14ac:dyDescent="0.2">
      <c r="B63" s="1914" t="s">
        <v>2137</v>
      </c>
      <c r="C63" s="1338"/>
      <c r="D63" s="1339" t="s">
        <v>2128</v>
      </c>
      <c r="E63" s="1902" t="s">
        <v>2103</v>
      </c>
      <c r="F63" s="1902">
        <v>123607</v>
      </c>
      <c r="G63" s="1902" t="s">
        <v>2127</v>
      </c>
      <c r="H63" s="1903" t="s">
        <v>2127</v>
      </c>
      <c r="I63" s="1902">
        <v>0</v>
      </c>
      <c r="J63" s="1901">
        <v>123607</v>
      </c>
      <c r="K63" s="1340"/>
      <c r="L63" s="1337"/>
      <c r="M63" s="1340"/>
    </row>
    <row r="64" spans="2:13" ht="20.100000000000001" customHeight="1" x14ac:dyDescent="0.2">
      <c r="B64" s="1914" t="s">
        <v>2136</v>
      </c>
      <c r="C64" s="1338"/>
      <c r="D64" s="1339" t="s">
        <v>2128</v>
      </c>
      <c r="E64" s="1902" t="s">
        <v>2103</v>
      </c>
      <c r="F64" s="1902">
        <v>292519</v>
      </c>
      <c r="G64" s="1902" t="s">
        <v>2127</v>
      </c>
      <c r="H64" s="1903" t="s">
        <v>2127</v>
      </c>
      <c r="I64" s="1902">
        <v>0</v>
      </c>
      <c r="J64" s="1901">
        <v>292519</v>
      </c>
      <c r="K64" s="1340"/>
      <c r="L64" s="1337"/>
      <c r="M64" s="1340"/>
    </row>
    <row r="65" spans="2:14" ht="20.100000000000001" customHeight="1" x14ac:dyDescent="0.2">
      <c r="B65" s="1914" t="s">
        <v>2135</v>
      </c>
      <c r="C65" s="1338"/>
      <c r="D65" s="1339" t="s">
        <v>2128</v>
      </c>
      <c r="E65" s="1902" t="s">
        <v>2103</v>
      </c>
      <c r="F65" s="1902">
        <v>61437</v>
      </c>
      <c r="G65" s="1902" t="s">
        <v>2127</v>
      </c>
      <c r="H65" s="1903" t="s">
        <v>2127</v>
      </c>
      <c r="I65" s="1902">
        <v>0</v>
      </c>
      <c r="J65" s="1901">
        <v>61437</v>
      </c>
      <c r="K65" s="1340"/>
      <c r="L65" s="1337"/>
      <c r="M65" s="1340"/>
      <c r="N65" s="1341"/>
    </row>
    <row r="66" spans="2:14" ht="20.100000000000001" customHeight="1" x14ac:dyDescent="0.2">
      <c r="B66" s="1914" t="s">
        <v>2134</v>
      </c>
      <c r="C66" s="1335"/>
      <c r="D66" s="1336" t="s">
        <v>2128</v>
      </c>
      <c r="E66" s="1912" t="s">
        <v>2103</v>
      </c>
      <c r="F66" s="1912">
        <v>243935</v>
      </c>
      <c r="G66" s="1912" t="s">
        <v>2127</v>
      </c>
      <c r="H66" s="1913" t="s">
        <v>2127</v>
      </c>
      <c r="I66" s="1912">
        <v>0</v>
      </c>
      <c r="J66" s="1911">
        <v>243935</v>
      </c>
      <c r="K66" s="1337"/>
      <c r="L66" s="1337"/>
      <c r="M66" s="1337"/>
    </row>
    <row r="67" spans="2:14" ht="20.100000000000001" customHeight="1" x14ac:dyDescent="0.2">
      <c r="B67" s="1914" t="s">
        <v>2133</v>
      </c>
      <c r="C67" s="1335"/>
      <c r="D67" s="1336" t="s">
        <v>2128</v>
      </c>
      <c r="E67" s="1912" t="s">
        <v>2103</v>
      </c>
      <c r="F67" s="1912">
        <v>586414</v>
      </c>
      <c r="G67" s="1912" t="s">
        <v>2127</v>
      </c>
      <c r="H67" s="1913" t="s">
        <v>2127</v>
      </c>
      <c r="I67" s="1912">
        <v>0</v>
      </c>
      <c r="J67" s="1911">
        <v>586414</v>
      </c>
      <c r="K67" s="1337"/>
      <c r="L67" s="1337"/>
      <c r="M67" s="1337"/>
    </row>
    <row r="68" spans="2:14" ht="20.100000000000001" customHeight="1" x14ac:dyDescent="0.2">
      <c r="B68" s="1914" t="s">
        <v>2132</v>
      </c>
      <c r="C68" s="1335"/>
      <c r="D68" s="1336" t="s">
        <v>2128</v>
      </c>
      <c r="E68" s="1912" t="s">
        <v>2103</v>
      </c>
      <c r="F68" s="1912">
        <v>210390</v>
      </c>
      <c r="G68" s="1912" t="s">
        <v>2127</v>
      </c>
      <c r="H68" s="1913" t="s">
        <v>2127</v>
      </c>
      <c r="I68" s="1912">
        <v>0</v>
      </c>
      <c r="J68" s="1911">
        <v>210390</v>
      </c>
      <c r="K68" s="1337"/>
      <c r="L68" s="1337"/>
      <c r="M68" s="1337"/>
    </row>
    <row r="69" spans="2:14" ht="20.100000000000001" customHeight="1" x14ac:dyDescent="0.2">
      <c r="B69" s="1914" t="s">
        <v>2131</v>
      </c>
      <c r="C69" s="1335"/>
      <c r="D69" s="1336" t="s">
        <v>2128</v>
      </c>
      <c r="E69" s="1912" t="s">
        <v>2103</v>
      </c>
      <c r="F69" s="1912">
        <v>345861</v>
      </c>
      <c r="G69" s="1912" t="s">
        <v>2127</v>
      </c>
      <c r="H69" s="1913" t="s">
        <v>2127</v>
      </c>
      <c r="I69" s="1912">
        <v>0</v>
      </c>
      <c r="J69" s="1911">
        <v>345861</v>
      </c>
      <c r="K69" s="1337"/>
      <c r="L69" s="1337"/>
      <c r="M69" s="1337"/>
    </row>
    <row r="70" spans="2:14" ht="20.100000000000001" customHeight="1" x14ac:dyDescent="0.2">
      <c r="B70" s="1914" t="s">
        <v>2130</v>
      </c>
      <c r="C70" s="1335"/>
      <c r="D70" s="1336" t="s">
        <v>2128</v>
      </c>
      <c r="E70" s="1912" t="s">
        <v>2103</v>
      </c>
      <c r="F70" s="1912">
        <v>123528</v>
      </c>
      <c r="G70" s="1912" t="s">
        <v>2127</v>
      </c>
      <c r="H70" s="1913" t="s">
        <v>2127</v>
      </c>
      <c r="I70" s="1912">
        <v>0</v>
      </c>
      <c r="J70" s="1911">
        <v>123528</v>
      </c>
      <c r="K70" s="1337"/>
      <c r="L70" s="1337"/>
      <c r="M70" s="1337"/>
    </row>
    <row r="71" spans="2:14" ht="20.100000000000001" customHeight="1" x14ac:dyDescent="0.2">
      <c r="B71" s="1914" t="s">
        <v>2129</v>
      </c>
      <c r="C71" s="1335"/>
      <c r="D71" s="1336" t="s">
        <v>2128</v>
      </c>
      <c r="E71" s="1912" t="s">
        <v>2103</v>
      </c>
      <c r="F71" s="1912">
        <v>655822</v>
      </c>
      <c r="G71" s="1912" t="s">
        <v>2127</v>
      </c>
      <c r="H71" s="1913" t="s">
        <v>2127</v>
      </c>
      <c r="I71" s="1912">
        <v>0</v>
      </c>
      <c r="J71" s="1911">
        <v>655822</v>
      </c>
      <c r="K71" s="1337"/>
      <c r="L71" s="1337"/>
      <c r="M71" s="1337"/>
    </row>
    <row r="72" spans="2:14" ht="20.100000000000001" customHeight="1" x14ac:dyDescent="0.2">
      <c r="B72" s="1334"/>
      <c r="C72" s="1335"/>
      <c r="D72" s="1336"/>
      <c r="E72" s="1912"/>
      <c r="F72" s="1912"/>
      <c r="G72" s="1912"/>
      <c r="H72" s="1913"/>
      <c r="I72" s="1912"/>
      <c r="J72" s="1911"/>
      <c r="K72" s="1337"/>
      <c r="L72" s="1337"/>
      <c r="M72" s="1337"/>
    </row>
    <row r="73" spans="2:14" s="1257" customFormat="1" ht="20.100000000000001" customHeight="1" x14ac:dyDescent="0.2">
      <c r="B73" s="1900" t="s">
        <v>2126</v>
      </c>
      <c r="C73" s="1910"/>
      <c r="D73" s="1909"/>
      <c r="E73" s="1907">
        <v>3395852</v>
      </c>
      <c r="F73" s="1907">
        <v>4325734</v>
      </c>
      <c r="G73" s="1907">
        <v>3896999</v>
      </c>
      <c r="H73" s="1908">
        <f>SUM(H46:H71)</f>
        <v>2121302</v>
      </c>
      <c r="I73" s="1907">
        <v>4840834</v>
      </c>
      <c r="J73" s="1906">
        <f>SUM(J46:J71)</f>
        <v>3217520</v>
      </c>
      <c r="K73" s="1894"/>
      <c r="L73" s="1337" t="s">
        <v>2100</v>
      </c>
      <c r="M73" s="1894"/>
    </row>
    <row r="74" spans="2:14" ht="20.100000000000001" customHeight="1" x14ac:dyDescent="0.2">
      <c r="B74" s="1334"/>
      <c r="C74" s="1335"/>
      <c r="D74" s="1336"/>
      <c r="E74" s="1912"/>
      <c r="F74" s="1912"/>
      <c r="G74" s="1912"/>
      <c r="H74" s="1913"/>
      <c r="I74" s="1912"/>
      <c r="J74" s="1911"/>
      <c r="K74" s="1337"/>
      <c r="L74" s="1337"/>
      <c r="M74" s="1337"/>
    </row>
    <row r="75" spans="2:14" ht="20.100000000000001" customHeight="1" x14ac:dyDescent="0.2">
      <c r="B75" s="1334"/>
      <c r="C75" s="1335"/>
      <c r="D75" s="1336"/>
      <c r="E75" s="1912"/>
      <c r="F75" s="1912"/>
      <c r="G75" s="1912"/>
      <c r="H75" s="1913"/>
      <c r="I75" s="1912"/>
      <c r="J75" s="1911"/>
      <c r="K75" s="1337"/>
      <c r="L75" s="1337"/>
      <c r="M75" s="1337"/>
    </row>
    <row r="76" spans="2:14" ht="20.100000000000001" customHeight="1" x14ac:dyDescent="0.2">
      <c r="B76" s="1900" t="s">
        <v>2125</v>
      </c>
      <c r="C76" s="1335"/>
      <c r="D76" s="1336"/>
      <c r="E76" s="1912"/>
      <c r="F76" s="1912"/>
      <c r="G76" s="1912"/>
      <c r="H76" s="1913"/>
      <c r="I76" s="1912"/>
      <c r="J76" s="1911"/>
      <c r="K76" s="1337"/>
      <c r="L76" s="1337"/>
      <c r="M76" s="1337"/>
    </row>
    <row r="77" spans="2:14" s="1257" customFormat="1" ht="20.100000000000001" customHeight="1" x14ac:dyDescent="0.2">
      <c r="B77" s="1900" t="s">
        <v>2124</v>
      </c>
      <c r="C77" s="1910"/>
      <c r="D77" s="1909"/>
      <c r="E77" s="1907">
        <v>3483481</v>
      </c>
      <c r="F77" s="1907">
        <v>4432457</v>
      </c>
      <c r="G77" s="1907">
        <v>4008152</v>
      </c>
      <c r="H77" s="1908">
        <f>H73+H41</f>
        <v>2226983</v>
      </c>
      <c r="I77" s="1907">
        <v>4946473</v>
      </c>
      <c r="J77" s="1906">
        <f>J73+J41</f>
        <v>3312862</v>
      </c>
      <c r="K77" s="1894"/>
      <c r="L77" s="1337" t="s">
        <v>2100</v>
      </c>
      <c r="M77" s="1894"/>
    </row>
    <row r="78" spans="2:14" ht="20.100000000000001" customHeight="1" x14ac:dyDescent="0.2">
      <c r="B78" s="1334"/>
      <c r="C78" s="1335"/>
      <c r="D78" s="1336"/>
      <c r="E78" s="1912"/>
      <c r="F78" s="1912"/>
      <c r="G78" s="1912"/>
      <c r="H78" s="1913"/>
      <c r="I78" s="1912"/>
      <c r="J78" s="1911"/>
      <c r="K78" s="1337"/>
      <c r="L78" s="1337"/>
      <c r="M78" s="1337"/>
    </row>
    <row r="79" spans="2:14" ht="20.100000000000001" customHeight="1" x14ac:dyDescent="0.2">
      <c r="B79" s="1334"/>
      <c r="C79" s="1335"/>
      <c r="D79" s="1336"/>
      <c r="E79" s="1912"/>
      <c r="F79" s="1912"/>
      <c r="G79" s="1912"/>
      <c r="H79" s="1913"/>
      <c r="I79" s="1912"/>
      <c r="J79" s="1911"/>
      <c r="K79" s="1337"/>
      <c r="L79" s="1337"/>
      <c r="M79" s="1337"/>
    </row>
    <row r="80" spans="2:14" ht="20.100000000000001" customHeight="1" x14ac:dyDescent="0.2">
      <c r="B80" s="1334" t="s">
        <v>2123</v>
      </c>
      <c r="C80" s="1335"/>
      <c r="D80" s="1336"/>
      <c r="E80" s="1912"/>
      <c r="F80" s="1912"/>
      <c r="G80" s="1912"/>
      <c r="H80" s="1913"/>
      <c r="I80" s="1912"/>
      <c r="J80" s="1911"/>
      <c r="K80" s="1337"/>
      <c r="L80" s="1337"/>
      <c r="M80" s="1337"/>
    </row>
    <row r="81" spans="2:13" ht="20.100000000000001" customHeight="1" x14ac:dyDescent="0.2">
      <c r="B81" s="1905" t="s">
        <v>2122</v>
      </c>
      <c r="C81" s="1335"/>
      <c r="D81" s="1336"/>
      <c r="E81" s="1912"/>
      <c r="F81" s="1912"/>
      <c r="G81" s="1912"/>
      <c r="H81" s="1913"/>
      <c r="I81" s="1912"/>
      <c r="J81" s="1911"/>
      <c r="K81" s="1337"/>
      <c r="L81" s="1337"/>
      <c r="M81" s="1337"/>
    </row>
    <row r="82" spans="2:13" ht="20.100000000000001" customHeight="1" x14ac:dyDescent="0.2">
      <c r="B82" s="1905"/>
      <c r="C82" s="1335"/>
      <c r="D82" s="1336"/>
      <c r="E82" s="1912"/>
      <c r="F82" s="1912"/>
      <c r="G82" s="1912"/>
      <c r="H82" s="1913"/>
      <c r="I82" s="1912"/>
      <c r="J82" s="1911"/>
      <c r="K82" s="1337"/>
      <c r="L82" s="1337"/>
      <c r="M82" s="1337"/>
    </row>
    <row r="83" spans="2:13" ht="20.100000000000001" customHeight="1" x14ac:dyDescent="0.2">
      <c r="B83" s="1334" t="s">
        <v>2121</v>
      </c>
      <c r="C83" s="1335"/>
      <c r="D83" s="1336"/>
      <c r="E83" s="1912"/>
      <c r="F83" s="1912"/>
      <c r="G83" s="1912"/>
      <c r="H83" s="1913"/>
      <c r="I83" s="1912"/>
      <c r="J83" s="1911"/>
      <c r="K83" s="1337"/>
      <c r="L83" s="1337"/>
      <c r="M83" s="1337"/>
    </row>
    <row r="84" spans="2:13" ht="20.100000000000001" customHeight="1" x14ac:dyDescent="0.2">
      <c r="B84" s="1334"/>
      <c r="C84" s="1335"/>
      <c r="D84" s="1336"/>
      <c r="E84" s="1912"/>
      <c r="F84" s="1912"/>
      <c r="G84" s="1912"/>
      <c r="H84" s="1913"/>
      <c r="I84" s="1912"/>
      <c r="J84" s="1911"/>
      <c r="K84" s="1337"/>
      <c r="L84" s="1337"/>
      <c r="M84" s="1337"/>
    </row>
    <row r="85" spans="2:13" ht="20.100000000000001" customHeight="1" x14ac:dyDescent="0.2">
      <c r="B85" s="1334" t="s">
        <v>1058</v>
      </c>
      <c r="C85" s="1335">
        <v>10.555</v>
      </c>
      <c r="D85" s="1336" t="s">
        <v>2120</v>
      </c>
      <c r="E85" s="1912">
        <v>17181</v>
      </c>
      <c r="F85" s="1912" t="s">
        <v>2103</v>
      </c>
      <c r="G85" s="1912">
        <v>17181</v>
      </c>
      <c r="H85" s="1913">
        <v>0</v>
      </c>
      <c r="I85" s="1912">
        <v>0</v>
      </c>
      <c r="J85" s="1911">
        <v>0</v>
      </c>
      <c r="K85" s="1337"/>
      <c r="L85" s="1337"/>
      <c r="M85" s="1337"/>
    </row>
    <row r="86" spans="2:13" ht="20.100000000000001" customHeight="1" x14ac:dyDescent="0.2">
      <c r="B86" s="1334"/>
      <c r="C86" s="1335"/>
      <c r="D86" s="1336" t="s">
        <v>2119</v>
      </c>
      <c r="E86" s="1912">
        <v>63439</v>
      </c>
      <c r="F86" s="1912">
        <v>42565</v>
      </c>
      <c r="G86" s="1912">
        <v>63439</v>
      </c>
      <c r="H86" s="1913">
        <v>0</v>
      </c>
      <c r="I86" s="1912">
        <v>42565</v>
      </c>
      <c r="J86" s="1911">
        <v>0</v>
      </c>
      <c r="K86" s="1337"/>
      <c r="L86" s="1337" t="s">
        <v>2100</v>
      </c>
      <c r="M86" s="1337"/>
    </row>
    <row r="87" spans="2:13" ht="20.100000000000001" customHeight="1" x14ac:dyDescent="0.2">
      <c r="B87" s="1334"/>
      <c r="C87" s="1335"/>
      <c r="D87" s="1336" t="s">
        <v>2118</v>
      </c>
      <c r="E87" s="1912" t="s">
        <v>2103</v>
      </c>
      <c r="F87" s="1912">
        <v>82923</v>
      </c>
      <c r="G87" s="1912">
        <v>0</v>
      </c>
      <c r="H87" s="1913">
        <v>0</v>
      </c>
      <c r="I87" s="1912">
        <v>82923</v>
      </c>
      <c r="J87" s="1911">
        <v>0</v>
      </c>
      <c r="K87" s="1337"/>
      <c r="L87" s="1337" t="s">
        <v>2100</v>
      </c>
      <c r="M87" s="1337"/>
    </row>
    <row r="88" spans="2:13" ht="20.100000000000001" customHeight="1" x14ac:dyDescent="0.2">
      <c r="B88" s="1334"/>
      <c r="C88" s="1335"/>
      <c r="D88" s="1336"/>
      <c r="E88" s="1907">
        <v>80620</v>
      </c>
      <c r="F88" s="1907">
        <v>125488</v>
      </c>
      <c r="G88" s="1907">
        <v>80620</v>
      </c>
      <c r="H88" s="1908">
        <v>0</v>
      </c>
      <c r="I88" s="1907">
        <v>125488</v>
      </c>
      <c r="J88" s="1906">
        <v>0</v>
      </c>
      <c r="K88" s="1894"/>
      <c r="L88" s="1337" t="s">
        <v>2100</v>
      </c>
      <c r="M88" s="1894"/>
    </row>
    <row r="89" spans="2:13" ht="20.100000000000001" customHeight="1" x14ac:dyDescent="0.2">
      <c r="B89" s="1334"/>
      <c r="C89" s="1335"/>
      <c r="D89" s="1336"/>
      <c r="E89" s="1912"/>
      <c r="F89" s="1912"/>
      <c r="G89" s="1912"/>
      <c r="H89" s="1913"/>
      <c r="I89" s="1912"/>
      <c r="J89" s="1911"/>
      <c r="K89" s="1337"/>
      <c r="L89" s="1337"/>
      <c r="M89" s="1337"/>
    </row>
    <row r="90" spans="2:13" ht="20.100000000000001" customHeight="1" x14ac:dyDescent="0.2">
      <c r="B90" s="1334"/>
      <c r="C90" s="1335"/>
      <c r="D90" s="1336"/>
      <c r="E90" s="1912"/>
      <c r="F90" s="1912"/>
      <c r="G90" s="1912"/>
      <c r="H90" s="1913"/>
      <c r="I90" s="1912"/>
      <c r="J90" s="1911"/>
      <c r="K90" s="1337"/>
      <c r="L90" s="1337"/>
      <c r="M90" s="1337"/>
    </row>
    <row r="91" spans="2:13" ht="20.100000000000001" customHeight="1" x14ac:dyDescent="0.2">
      <c r="B91" s="1334" t="s">
        <v>1047</v>
      </c>
      <c r="C91" s="1335">
        <v>10.555999999999999</v>
      </c>
      <c r="D91" s="1336" t="s">
        <v>2117</v>
      </c>
      <c r="E91" s="1912">
        <v>26</v>
      </c>
      <c r="F91" s="1912" t="s">
        <v>2103</v>
      </c>
      <c r="G91" s="1912">
        <v>26</v>
      </c>
      <c r="H91" s="1913">
        <v>0</v>
      </c>
      <c r="I91" s="1912">
        <v>0</v>
      </c>
      <c r="J91" s="1911">
        <v>0</v>
      </c>
      <c r="K91" s="1337"/>
      <c r="L91" s="1337" t="s">
        <v>2100</v>
      </c>
      <c r="M91" s="1337"/>
    </row>
    <row r="92" spans="2:13" ht="20.100000000000001" customHeight="1" x14ac:dyDescent="0.2">
      <c r="B92" s="1334"/>
      <c r="C92" s="1335"/>
      <c r="D92" s="1336" t="s">
        <v>2116</v>
      </c>
      <c r="E92" s="1912">
        <v>123</v>
      </c>
      <c r="F92" s="1912">
        <v>95</v>
      </c>
      <c r="G92" s="1912">
        <v>123</v>
      </c>
      <c r="H92" s="1913">
        <v>0</v>
      </c>
      <c r="I92" s="1912">
        <v>95</v>
      </c>
      <c r="J92" s="1911">
        <v>0</v>
      </c>
      <c r="K92" s="1337"/>
      <c r="L92" s="1337" t="s">
        <v>2100</v>
      </c>
      <c r="M92" s="1337"/>
    </row>
    <row r="93" spans="2:13" ht="20.100000000000001" customHeight="1" x14ac:dyDescent="0.2">
      <c r="B93" s="1334"/>
      <c r="C93" s="1335"/>
      <c r="D93" s="1336" t="s">
        <v>2115</v>
      </c>
      <c r="E93" s="1912" t="s">
        <v>2103</v>
      </c>
      <c r="F93" s="1912">
        <v>184</v>
      </c>
      <c r="G93" s="1912">
        <v>0</v>
      </c>
      <c r="H93" s="1913">
        <v>0</v>
      </c>
      <c r="I93" s="1912">
        <v>184</v>
      </c>
      <c r="J93" s="1911">
        <v>0</v>
      </c>
      <c r="K93" s="1337"/>
      <c r="L93" s="1337" t="s">
        <v>2100</v>
      </c>
      <c r="M93" s="1337"/>
    </row>
    <row r="94" spans="2:13" s="1257" customFormat="1" ht="20.100000000000001" customHeight="1" x14ac:dyDescent="0.2">
      <c r="B94" s="1900"/>
      <c r="C94" s="1910"/>
      <c r="D94" s="1909"/>
      <c r="E94" s="1907">
        <v>149</v>
      </c>
      <c r="F94" s="1907">
        <v>279</v>
      </c>
      <c r="G94" s="1907">
        <v>149</v>
      </c>
      <c r="H94" s="1908">
        <v>0</v>
      </c>
      <c r="I94" s="1907">
        <v>279</v>
      </c>
      <c r="J94" s="1906">
        <v>0</v>
      </c>
      <c r="K94" s="1894"/>
      <c r="L94" s="1337" t="s">
        <v>2100</v>
      </c>
      <c r="M94" s="1894"/>
    </row>
    <row r="95" spans="2:13" ht="20.100000000000001" customHeight="1" x14ac:dyDescent="0.2">
      <c r="B95" s="1334"/>
      <c r="C95" s="1335"/>
      <c r="D95" s="1336"/>
      <c r="E95" s="1912"/>
      <c r="F95" s="1912"/>
      <c r="G95" s="1912"/>
      <c r="H95" s="1913"/>
      <c r="I95" s="1912"/>
      <c r="J95" s="1911"/>
      <c r="K95" s="1337"/>
      <c r="L95" s="1337"/>
      <c r="M95" s="1337"/>
    </row>
    <row r="96" spans="2:13" ht="20.100000000000001" customHeight="1" x14ac:dyDescent="0.2">
      <c r="B96" s="1334"/>
      <c r="C96" s="1335"/>
      <c r="D96" s="1336"/>
      <c r="E96" s="1912"/>
      <c r="F96" s="1912"/>
      <c r="G96" s="1912"/>
      <c r="H96" s="1913"/>
      <c r="I96" s="1912"/>
      <c r="J96" s="1911"/>
      <c r="K96" s="1337"/>
      <c r="L96" s="1337"/>
      <c r="M96" s="1337"/>
    </row>
    <row r="97" spans="2:13" ht="20.100000000000001" customHeight="1" x14ac:dyDescent="0.2">
      <c r="B97" s="1334" t="s">
        <v>1059</v>
      </c>
      <c r="C97" s="1335">
        <v>10.553000000000001</v>
      </c>
      <c r="D97" s="1336" t="s">
        <v>2114</v>
      </c>
      <c r="E97" s="1912">
        <v>12152</v>
      </c>
      <c r="F97" s="1912" t="s">
        <v>2103</v>
      </c>
      <c r="G97" s="1912">
        <v>12152</v>
      </c>
      <c r="H97" s="1913">
        <v>0</v>
      </c>
      <c r="I97" s="1912">
        <v>0</v>
      </c>
      <c r="J97" s="1911">
        <v>0</v>
      </c>
      <c r="K97" s="1337"/>
      <c r="L97" s="1337" t="s">
        <v>2100</v>
      </c>
      <c r="M97" s="1337"/>
    </row>
    <row r="98" spans="2:13" ht="20.100000000000001" customHeight="1" x14ac:dyDescent="0.2">
      <c r="B98" s="1334"/>
      <c r="C98" s="1335"/>
      <c r="D98" s="1336" t="s">
        <v>2113</v>
      </c>
      <c r="E98" s="1912">
        <v>41165</v>
      </c>
      <c r="F98" s="1912">
        <v>32820</v>
      </c>
      <c r="G98" s="1912">
        <v>41165</v>
      </c>
      <c r="H98" s="1913">
        <v>0</v>
      </c>
      <c r="I98" s="1912">
        <v>32820</v>
      </c>
      <c r="J98" s="1911">
        <v>0</v>
      </c>
      <c r="K98" s="1337"/>
      <c r="L98" s="1337" t="s">
        <v>2100</v>
      </c>
      <c r="M98" s="1337"/>
    </row>
    <row r="99" spans="2:13" ht="20.100000000000001" customHeight="1" x14ac:dyDescent="0.2">
      <c r="B99" s="1334"/>
      <c r="C99" s="1335"/>
      <c r="D99" s="1336" t="s">
        <v>2112</v>
      </c>
      <c r="E99" s="1912" t="s">
        <v>2103</v>
      </c>
      <c r="F99" s="1912">
        <v>52976</v>
      </c>
      <c r="G99" s="1912">
        <v>0</v>
      </c>
      <c r="H99" s="1913">
        <v>0</v>
      </c>
      <c r="I99" s="1912">
        <v>52976</v>
      </c>
      <c r="J99" s="1911">
        <v>0</v>
      </c>
      <c r="K99" s="1337"/>
      <c r="L99" s="1337" t="s">
        <v>2100</v>
      </c>
      <c r="M99" s="1337"/>
    </row>
    <row r="100" spans="2:13" s="1257" customFormat="1" ht="20.100000000000001" customHeight="1" x14ac:dyDescent="0.2">
      <c r="B100" s="1900"/>
      <c r="C100" s="1910"/>
      <c r="D100" s="1909"/>
      <c r="E100" s="1907">
        <v>53317</v>
      </c>
      <c r="F100" s="1907">
        <v>85796</v>
      </c>
      <c r="G100" s="1907">
        <v>53317</v>
      </c>
      <c r="H100" s="1908">
        <v>0</v>
      </c>
      <c r="I100" s="1907">
        <v>85796</v>
      </c>
      <c r="J100" s="1906">
        <v>0</v>
      </c>
      <c r="K100" s="1894"/>
      <c r="L100" s="1337" t="s">
        <v>2100</v>
      </c>
      <c r="M100" s="1894"/>
    </row>
    <row r="101" spans="2:13" ht="20.100000000000001" customHeight="1" x14ac:dyDescent="0.2">
      <c r="B101" s="1900" t="s">
        <v>2111</v>
      </c>
      <c r="C101" s="1338"/>
      <c r="D101" s="1339"/>
      <c r="E101" s="1902"/>
      <c r="F101" s="1902"/>
      <c r="G101" s="1902"/>
      <c r="H101" s="1903"/>
      <c r="I101" s="1902"/>
      <c r="J101" s="1901"/>
      <c r="K101" s="1340"/>
      <c r="L101" s="1337"/>
      <c r="M101" s="1340"/>
    </row>
    <row r="102" spans="2:13" s="1257" customFormat="1" ht="20.100000000000001" customHeight="1" x14ac:dyDescent="0.2">
      <c r="B102" s="1900" t="s">
        <v>2110</v>
      </c>
      <c r="C102" s="1899"/>
      <c r="D102" s="1898"/>
      <c r="E102" s="1896">
        <v>134086</v>
      </c>
      <c r="F102" s="1896">
        <v>211563</v>
      </c>
      <c r="G102" s="1896">
        <v>134086</v>
      </c>
      <c r="H102" s="1897"/>
      <c r="I102" s="1896">
        <v>211563</v>
      </c>
      <c r="J102" s="1895"/>
      <c r="K102" s="1893"/>
      <c r="L102" s="1337" t="s">
        <v>2100</v>
      </c>
      <c r="M102" s="1893"/>
    </row>
    <row r="103" spans="2:13" ht="20.100000000000001" customHeight="1" x14ac:dyDescent="0.2">
      <c r="B103" s="1334"/>
      <c r="C103" s="1338"/>
      <c r="D103" s="1339"/>
      <c r="E103" s="1902"/>
      <c r="F103" s="1902"/>
      <c r="G103" s="1902"/>
      <c r="H103" s="1903"/>
      <c r="I103" s="1902"/>
      <c r="J103" s="1901"/>
      <c r="K103" s="1340"/>
      <c r="L103" s="1337"/>
      <c r="M103" s="1340"/>
    </row>
    <row r="104" spans="2:13" ht="20.100000000000001" customHeight="1" x14ac:dyDescent="0.2">
      <c r="B104" s="1334"/>
      <c r="C104" s="1338"/>
      <c r="D104" s="1339"/>
      <c r="E104" s="1902"/>
      <c r="F104" s="1902"/>
      <c r="G104" s="1902"/>
      <c r="H104" s="1903"/>
      <c r="I104" s="1902"/>
      <c r="J104" s="1901"/>
      <c r="K104" s="1340"/>
      <c r="L104" s="1337"/>
      <c r="M104" s="1340"/>
    </row>
    <row r="105" spans="2:13" ht="20.100000000000001" customHeight="1" x14ac:dyDescent="0.2">
      <c r="B105" s="1905" t="s">
        <v>2109</v>
      </c>
      <c r="C105" s="1338"/>
      <c r="D105" s="1339"/>
      <c r="E105" s="1902"/>
      <c r="F105" s="1902"/>
      <c r="G105" s="1902"/>
      <c r="H105" s="1903"/>
      <c r="I105" s="1902"/>
      <c r="J105" s="1901"/>
      <c r="K105" s="1340"/>
      <c r="L105" s="1337"/>
      <c r="M105" s="1340"/>
    </row>
    <row r="106" spans="2:13" ht="20.100000000000001" customHeight="1" x14ac:dyDescent="0.2">
      <c r="B106" s="1905" t="s">
        <v>2108</v>
      </c>
      <c r="C106" s="1338"/>
      <c r="D106" s="1339"/>
      <c r="E106" s="1902"/>
      <c r="F106" s="1902"/>
      <c r="G106" s="1902"/>
      <c r="H106" s="1903"/>
      <c r="I106" s="1902"/>
      <c r="J106" s="1901"/>
      <c r="K106" s="1340"/>
      <c r="L106" s="1337"/>
      <c r="M106" s="1340"/>
    </row>
    <row r="107" spans="2:13" ht="20.100000000000001" customHeight="1" x14ac:dyDescent="0.2">
      <c r="B107" s="1334" t="s">
        <v>2107</v>
      </c>
      <c r="C107" s="1338">
        <v>93.778000000000006</v>
      </c>
      <c r="D107" s="1339" t="s">
        <v>2106</v>
      </c>
      <c r="E107" s="1902">
        <v>7207</v>
      </c>
      <c r="F107" s="1902" t="s">
        <v>2103</v>
      </c>
      <c r="G107" s="1902">
        <v>7207</v>
      </c>
      <c r="H107" s="1903">
        <v>0</v>
      </c>
      <c r="I107" s="1902">
        <v>0</v>
      </c>
      <c r="J107" s="1901">
        <v>0</v>
      </c>
      <c r="K107" s="1340"/>
      <c r="L107" s="1337" t="s">
        <v>2100</v>
      </c>
      <c r="M107" s="1340"/>
    </row>
    <row r="108" spans="2:13" ht="20.100000000000001" customHeight="1" x14ac:dyDescent="0.2">
      <c r="B108" s="1334"/>
      <c r="C108" s="1338"/>
      <c r="D108" s="1339" t="s">
        <v>2105</v>
      </c>
      <c r="E108" s="1902">
        <v>16216</v>
      </c>
      <c r="F108" s="1902">
        <v>10905</v>
      </c>
      <c r="G108" s="1902">
        <v>16216</v>
      </c>
      <c r="H108" s="1903">
        <v>0</v>
      </c>
      <c r="I108" s="1902">
        <v>10905</v>
      </c>
      <c r="J108" s="1901">
        <v>0</v>
      </c>
      <c r="K108" s="1340"/>
      <c r="L108" s="1337" t="s">
        <v>2100</v>
      </c>
      <c r="M108" s="1340"/>
    </row>
    <row r="109" spans="2:13" ht="20.100000000000001" customHeight="1" x14ac:dyDescent="0.2">
      <c r="B109" s="1334"/>
      <c r="C109" s="1338"/>
      <c r="D109" s="1339" t="s">
        <v>2104</v>
      </c>
      <c r="E109" s="1902" t="s">
        <v>2103</v>
      </c>
      <c r="F109" s="1902">
        <v>10337</v>
      </c>
      <c r="G109" s="1902">
        <v>0</v>
      </c>
      <c r="H109" s="1903">
        <v>0</v>
      </c>
      <c r="I109" s="1902">
        <v>10337</v>
      </c>
      <c r="J109" s="1901">
        <v>0</v>
      </c>
      <c r="K109" s="1340"/>
      <c r="L109" s="1337" t="s">
        <v>2100</v>
      </c>
      <c r="M109" s="1340"/>
    </row>
    <row r="110" spans="2:13" s="1257" customFormat="1" ht="20.100000000000001" customHeight="1" x14ac:dyDescent="0.2">
      <c r="B110" s="1900" t="s">
        <v>2102</v>
      </c>
      <c r="C110" s="1904"/>
      <c r="D110" s="1898"/>
      <c r="E110" s="1896"/>
      <c r="F110" s="1896"/>
      <c r="G110" s="1896"/>
      <c r="H110" s="1897"/>
      <c r="I110" s="1896"/>
      <c r="J110" s="1895"/>
      <c r="K110" s="1893"/>
      <c r="L110" s="1894"/>
      <c r="M110" s="1893"/>
    </row>
    <row r="111" spans="2:13" s="1257" customFormat="1" ht="20.100000000000001" customHeight="1" x14ac:dyDescent="0.2">
      <c r="B111" s="1900" t="s">
        <v>2101</v>
      </c>
      <c r="C111" s="1904"/>
      <c r="D111" s="1898"/>
      <c r="E111" s="1896">
        <v>23423</v>
      </c>
      <c r="F111" s="1896">
        <v>21242</v>
      </c>
      <c r="G111" s="1896">
        <v>23423</v>
      </c>
      <c r="H111" s="1897"/>
      <c r="I111" s="1896">
        <v>21242</v>
      </c>
      <c r="J111" s="1895"/>
      <c r="K111" s="1893"/>
      <c r="L111" s="1337" t="s">
        <v>2100</v>
      </c>
      <c r="M111" s="1893"/>
    </row>
    <row r="112" spans="2:13" ht="20.100000000000001" customHeight="1" x14ac:dyDescent="0.2">
      <c r="B112" s="1334"/>
      <c r="C112" s="1338"/>
      <c r="D112" s="1339"/>
      <c r="E112" s="1902"/>
      <c r="F112" s="1902"/>
      <c r="G112" s="1902"/>
      <c r="H112" s="1903"/>
      <c r="I112" s="1902"/>
      <c r="J112" s="1901"/>
      <c r="K112" s="1340"/>
      <c r="L112" s="1337"/>
      <c r="M112" s="1340"/>
    </row>
    <row r="113" spans="2:15" s="1257" customFormat="1" ht="20.100000000000001" customHeight="1" x14ac:dyDescent="0.2">
      <c r="B113" s="1900" t="s">
        <v>2099</v>
      </c>
      <c r="C113" s="1899"/>
      <c r="D113" s="1898"/>
      <c r="E113" s="1896">
        <v>3640990</v>
      </c>
      <c r="F113" s="1896">
        <v>4665262</v>
      </c>
      <c r="G113" s="1896">
        <v>4165661</v>
      </c>
      <c r="H113" s="1897">
        <f>H77</f>
        <v>2226983</v>
      </c>
      <c r="I113" s="1896">
        <v>5179278</v>
      </c>
      <c r="J113" s="1895">
        <f>J77</f>
        <v>3312862</v>
      </c>
      <c r="K113" s="1893"/>
      <c r="L113" s="1894">
        <f>+G113+I113+K113</f>
        <v>9344939</v>
      </c>
      <c r="M113" s="1893"/>
    </row>
    <row r="114" spans="2:15" ht="20.100000000000001" customHeight="1" x14ac:dyDescent="0.2">
      <c r="B114" s="1334"/>
      <c r="C114" s="1338"/>
      <c r="D114" s="1339"/>
      <c r="E114" s="1340"/>
      <c r="F114" s="1340"/>
      <c r="G114" s="1340"/>
      <c r="H114" s="1892"/>
      <c r="I114" s="1340"/>
      <c r="J114" s="1891"/>
      <c r="K114" s="1340"/>
      <c r="L114" s="1337"/>
      <c r="M114" s="1340"/>
      <c r="O114" s="1965"/>
    </row>
    <row r="115" spans="2:15" ht="12.75" customHeight="1" x14ac:dyDescent="0.2">
      <c r="B115" s="1342"/>
      <c r="C115" s="1343"/>
      <c r="D115" s="1344"/>
      <c r="E115" s="1345"/>
      <c r="F115" s="1345"/>
      <c r="G115" s="1345"/>
      <c r="H115" s="1345"/>
      <c r="I115" s="1345"/>
      <c r="J115" s="1345"/>
      <c r="K115" s="1345"/>
      <c r="L115" s="1345"/>
      <c r="M115" s="1345"/>
      <c r="N115" s="1341"/>
    </row>
    <row r="116" spans="2:15" x14ac:dyDescent="0.2">
      <c r="B116" s="1254"/>
      <c r="C116" s="1346"/>
      <c r="D116" s="1347"/>
      <c r="E116" s="1254"/>
      <c r="F116" s="1254"/>
      <c r="G116" s="1247"/>
      <c r="H116" s="1247"/>
      <c r="I116" s="1247"/>
      <c r="J116" s="1247"/>
      <c r="K116" s="1247"/>
      <c r="L116" s="1247"/>
      <c r="M116" s="1254"/>
      <c r="N116" s="1341"/>
    </row>
    <row r="117" spans="2:15" ht="13.5" customHeight="1" x14ac:dyDescent="0.2">
      <c r="B117" s="1279" t="s">
        <v>1734</v>
      </c>
      <c r="C117" s="1346"/>
      <c r="D117" s="1347"/>
      <c r="E117" s="1254"/>
      <c r="F117" s="1254"/>
      <c r="G117" s="1247"/>
      <c r="H117" s="1247"/>
      <c r="I117" s="1247"/>
      <c r="J117" s="1247"/>
      <c r="K117" s="1247"/>
      <c r="L117" s="1247"/>
      <c r="M117" s="1254"/>
      <c r="N117" s="1341"/>
    </row>
    <row r="118" spans="2:15" ht="8.25" customHeight="1" x14ac:dyDescent="0.2">
      <c r="B118" s="1279"/>
      <c r="C118" s="1346"/>
      <c r="D118" s="1347"/>
      <c r="E118" s="1254"/>
      <c r="F118" s="1254"/>
      <c r="G118" s="1247"/>
      <c r="H118" s="1247"/>
      <c r="I118" s="1247"/>
      <c r="J118" s="1247"/>
      <c r="K118" s="1247"/>
      <c r="L118" s="1247"/>
      <c r="M118" s="1254"/>
      <c r="N118" s="1341"/>
    </row>
    <row r="119" spans="2:15" x14ac:dyDescent="0.2">
      <c r="B119" s="1348" t="s">
        <v>1837</v>
      </c>
      <c r="C119" s="1349"/>
      <c r="D119" s="1350"/>
      <c r="E119" s="1351"/>
      <c r="F119" s="1351"/>
      <c r="G119" s="1351"/>
      <c r="H119" s="1351"/>
      <c r="I119" s="317"/>
      <c r="J119" s="317"/>
    </row>
    <row r="120" spans="2:15" x14ac:dyDescent="0.2">
      <c r="B120" s="1274"/>
      <c r="C120" s="1352"/>
      <c r="D120" s="1353"/>
      <c r="E120" s="1275"/>
      <c r="F120" s="1275"/>
      <c r="G120" s="317"/>
      <c r="H120" s="317"/>
      <c r="I120" s="317"/>
      <c r="J120" s="317"/>
    </row>
    <row r="121" spans="2:15" ht="13.5" customHeight="1" x14ac:dyDescent="0.2">
      <c r="B121" s="1273" t="s">
        <v>1246</v>
      </c>
      <c r="G121" s="317"/>
      <c r="H121" s="317"/>
      <c r="I121" s="317"/>
      <c r="J121" s="317"/>
    </row>
    <row r="122" spans="2:15" ht="13.5" customHeight="1" x14ac:dyDescent="0.2">
      <c r="B122" s="1356"/>
      <c r="C122" s="1357"/>
      <c r="D122" s="1358"/>
      <c r="E122" s="1294"/>
      <c r="F122" s="1294"/>
      <c r="G122" s="1294"/>
      <c r="H122" s="1294"/>
      <c r="I122" s="1294"/>
      <c r="J122" s="1294"/>
      <c r="K122" s="1359"/>
      <c r="L122" s="1359"/>
      <c r="M122" s="1294"/>
    </row>
    <row r="123" spans="2:15" ht="9.6" customHeight="1" x14ac:dyDescent="0.2">
      <c r="B123" s="1360"/>
      <c r="G123" s="317"/>
      <c r="H123" s="317"/>
      <c r="I123" s="317"/>
      <c r="J123" s="317"/>
    </row>
    <row r="124" spans="2:15" ht="11.25" customHeight="1" x14ac:dyDescent="0.2">
      <c r="B124" s="1361" t="s">
        <v>1735</v>
      </c>
      <c r="C124" s="1362"/>
      <c r="D124" s="1362"/>
      <c r="E124" s="1362"/>
      <c r="F124" s="1362"/>
      <c r="G124" s="1362"/>
      <c r="H124" s="1362"/>
      <c r="I124" s="1363"/>
      <c r="J124" s="1363"/>
      <c r="K124" s="1363"/>
      <c r="L124" s="1363"/>
      <c r="M124" s="1363"/>
    </row>
    <row r="125" spans="2:15" ht="11.25" customHeight="1" x14ac:dyDescent="0.2">
      <c r="B125" s="1364" t="s">
        <v>1584</v>
      </c>
      <c r="C125" s="1363"/>
      <c r="D125" s="1363"/>
      <c r="E125" s="1363"/>
      <c r="F125" s="1363"/>
      <c r="G125" s="1363"/>
      <c r="H125" s="1363"/>
      <c r="I125" s="1363"/>
      <c r="J125" s="1363"/>
      <c r="K125" s="1363"/>
      <c r="L125" s="1363"/>
      <c r="M125" s="1363"/>
    </row>
    <row r="126" spans="2:15" ht="3.95" customHeight="1" x14ac:dyDescent="0.2">
      <c r="B126" s="1364"/>
      <c r="C126" s="1363"/>
      <c r="D126" s="1363"/>
      <c r="E126" s="1363"/>
      <c r="F126" s="1363"/>
      <c r="G126" s="1363"/>
      <c r="H126" s="1363"/>
      <c r="I126" s="1363"/>
      <c r="J126" s="1363"/>
      <c r="K126" s="1363"/>
      <c r="L126" s="1363"/>
      <c r="M126" s="1363"/>
    </row>
    <row r="127" spans="2:15" ht="11.25" customHeight="1" x14ac:dyDescent="0.2">
      <c r="B127" s="1361" t="s">
        <v>1736</v>
      </c>
      <c r="C127" s="1363"/>
      <c r="D127" s="1363"/>
      <c r="E127" s="1363"/>
      <c r="F127" s="1363"/>
      <c r="G127" s="1363"/>
      <c r="H127" s="1363"/>
      <c r="I127" s="1363"/>
      <c r="J127" s="1363"/>
      <c r="K127" s="1363"/>
      <c r="L127" s="1363"/>
      <c r="M127" s="1363"/>
    </row>
    <row r="128" spans="2:15" ht="11.25" customHeight="1" x14ac:dyDescent="0.2">
      <c r="B128" s="1297" t="s">
        <v>1585</v>
      </c>
      <c r="C128" s="1365"/>
      <c r="D128" s="1366"/>
      <c r="E128" s="1297"/>
      <c r="F128" s="1297"/>
      <c r="G128" s="1297"/>
      <c r="H128" s="1297"/>
      <c r="I128" s="1297"/>
      <c r="J128" s="1297"/>
      <c r="K128" s="1367"/>
      <c r="L128" s="1367"/>
      <c r="M128" s="1297"/>
    </row>
    <row r="129" spans="2:13" ht="3.95" customHeight="1" x14ac:dyDescent="0.2">
      <c r="B129" s="1297"/>
      <c r="C129" s="1365"/>
      <c r="D129" s="1366"/>
      <c r="E129" s="1297"/>
      <c r="F129" s="1297"/>
      <c r="G129" s="1297"/>
      <c r="H129" s="1297"/>
      <c r="I129" s="1297"/>
      <c r="J129" s="1297"/>
      <c r="K129" s="1367"/>
      <c r="L129" s="1367"/>
      <c r="M129" s="1297"/>
    </row>
    <row r="130" spans="2:13" ht="11.25" customHeight="1" x14ac:dyDescent="0.2">
      <c r="B130" s="1368" t="s">
        <v>1737</v>
      </c>
      <c r="C130" s="1365"/>
      <c r="D130" s="1366"/>
      <c r="E130" s="1297"/>
      <c r="F130" s="1297"/>
      <c r="G130" s="1297"/>
      <c r="H130" s="1297"/>
      <c r="I130" s="1297"/>
      <c r="J130" s="1297"/>
      <c r="K130" s="1367"/>
      <c r="L130" s="1367"/>
      <c r="M130" s="1297"/>
    </row>
    <row r="131" spans="2:13" ht="3.95" customHeight="1" x14ac:dyDescent="0.2">
      <c r="B131" s="1368"/>
      <c r="C131" s="1365"/>
      <c r="D131" s="1366"/>
      <c r="E131" s="1297"/>
      <c r="F131" s="1297"/>
      <c r="G131" s="1297"/>
      <c r="H131" s="1297"/>
      <c r="I131" s="1297"/>
      <c r="J131" s="1297"/>
      <c r="K131" s="1367"/>
      <c r="L131" s="1367"/>
      <c r="M131" s="1297"/>
    </row>
    <row r="132" spans="2:13" ht="11.25" customHeight="1" x14ac:dyDescent="0.2">
      <c r="B132" s="1369" t="s">
        <v>1738</v>
      </c>
      <c r="C132" s="1365"/>
      <c r="D132" s="1366"/>
      <c r="E132" s="1297"/>
      <c r="F132" s="1297"/>
      <c r="G132" s="1297"/>
      <c r="H132" s="1297"/>
      <c r="I132" s="1297"/>
      <c r="J132" s="1297"/>
      <c r="K132" s="1367"/>
      <c r="L132" s="1367"/>
      <c r="M132" s="1297"/>
    </row>
    <row r="133" spans="2:13" ht="11.25" customHeight="1" x14ac:dyDescent="0.2">
      <c r="B133" s="1297" t="s">
        <v>1586</v>
      </c>
      <c r="G133" s="317"/>
      <c r="H133" s="317"/>
      <c r="I133" s="317"/>
      <c r="J133" s="317"/>
    </row>
    <row r="134" spans="2:13" ht="11.1" customHeight="1" x14ac:dyDescent="0.2">
      <c r="B134" s="1297"/>
      <c r="G134" s="317"/>
      <c r="H134" s="317"/>
      <c r="I134" s="317"/>
      <c r="J134" s="317"/>
    </row>
    <row r="135" spans="2:13" ht="11.1" customHeight="1" x14ac:dyDescent="0.2">
      <c r="B135" s="1297"/>
      <c r="G135" s="317"/>
      <c r="H135" s="317"/>
      <c r="I135" s="317"/>
      <c r="J135" s="317"/>
    </row>
    <row r="136" spans="2:13" ht="13.5" customHeight="1" x14ac:dyDescent="0.2">
      <c r="M136" s="1370"/>
    </row>
    <row r="137" spans="2:13" ht="13.5" customHeight="1" x14ac:dyDescent="0.2">
      <c r="M137" s="1370"/>
    </row>
    <row r="138" spans="2:13" ht="13.5" customHeight="1" x14ac:dyDescent="0.2">
      <c r="M138" s="1370"/>
    </row>
    <row r="139" spans="2:13" ht="13.5" customHeight="1" x14ac:dyDescent="0.2">
      <c r="G139" s="317"/>
      <c r="H139" s="317"/>
      <c r="I139" s="317"/>
      <c r="J139" s="317"/>
    </row>
    <row r="140" spans="2:13" ht="13.5" customHeight="1" x14ac:dyDescent="0.2">
      <c r="G140" s="317"/>
      <c r="H140" s="317"/>
      <c r="I140" s="317"/>
      <c r="J140" s="317"/>
    </row>
    <row r="141" spans="2:13" ht="13.5" customHeight="1" x14ac:dyDescent="0.2">
      <c r="G141" s="317"/>
      <c r="H141" s="317"/>
      <c r="I141" s="317"/>
      <c r="J141" s="317"/>
    </row>
    <row r="142" spans="2:13" ht="13.5" customHeight="1" x14ac:dyDescent="0.2">
      <c r="G142" s="317"/>
      <c r="H142" s="317"/>
      <c r="I142" s="317"/>
      <c r="J142" s="317"/>
    </row>
    <row r="143" spans="2:13" ht="13.5" customHeight="1" x14ac:dyDescent="0.2">
      <c r="G143" s="317"/>
      <c r="H143" s="317"/>
      <c r="I143" s="317"/>
      <c r="J143" s="317"/>
    </row>
    <row r="144" spans="2:13" ht="13.5" customHeight="1" x14ac:dyDescent="0.2">
      <c r="G144" s="317"/>
      <c r="H144" s="317"/>
      <c r="I144" s="317"/>
      <c r="J144" s="317"/>
    </row>
    <row r="145" spans="7:10" ht="13.5" customHeight="1" x14ac:dyDescent="0.2">
      <c r="G145" s="317"/>
      <c r="H145" s="317"/>
      <c r="I145" s="317"/>
      <c r="J145" s="317"/>
    </row>
    <row r="146" spans="7:10" ht="13.5" customHeight="1" x14ac:dyDescent="0.2"/>
    <row r="147" spans="7:10" ht="13.5" customHeight="1" x14ac:dyDescent="0.2"/>
    <row r="148" spans="7:10" ht="13.5" customHeight="1" x14ac:dyDescent="0.2"/>
    <row r="149" spans="7:10" ht="25.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4.7" customHeight="1" x14ac:dyDescent="0.2"/>
    <row r="199" ht="12.2"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4.7" customHeight="1" x14ac:dyDescent="0.2"/>
    <row r="239"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theme="0" tint="-0.14999847407452621"/>
    <pageSetUpPr fitToPage="1"/>
  </sheetPr>
  <dimension ref="A1:K61"/>
  <sheetViews>
    <sheetView showGridLines="0" topLeftCell="A15" zoomScale="120" zoomScaleNormal="120" workbookViewId="0">
      <selection activeCell="K22" sqref="K2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11" ht="13.5" customHeight="1" x14ac:dyDescent="0.2">
      <c r="A1" s="2476" t="str">
        <f>'Single Audit Cover'!A7</f>
        <v>Eisenhower Cooperative</v>
      </c>
      <c r="B1" s="2476"/>
      <c r="C1" s="2476"/>
      <c r="D1" s="2476"/>
      <c r="E1" s="2476"/>
      <c r="F1" s="2476"/>
    </row>
    <row r="2" spans="1:11" ht="13.5" customHeight="1" x14ac:dyDescent="0.2">
      <c r="A2" s="2461">
        <f>'Single Audit Cover'!E7</f>
        <v>7016127561</v>
      </c>
      <c r="B2" s="2461"/>
      <c r="C2" s="2461"/>
      <c r="D2" s="2461"/>
      <c r="E2" s="2461"/>
      <c r="F2" s="2461"/>
      <c r="G2" s="1272"/>
    </row>
    <row r="3" spans="1:11" ht="15.75" customHeight="1" x14ac:dyDescent="0.2">
      <c r="A3" s="2477" t="s">
        <v>1271</v>
      </c>
      <c r="B3" s="2477"/>
      <c r="C3" s="2477"/>
      <c r="D3" s="2477"/>
      <c r="E3" s="2477"/>
      <c r="F3" s="2477"/>
    </row>
    <row r="4" spans="1:11" ht="13.5" customHeight="1" x14ac:dyDescent="0.2">
      <c r="A4" s="2478" t="str">
        <f>'Single Audit Cover'!A4</f>
        <v>Year Ending June 30, 2019</v>
      </c>
      <c r="B4" s="2478"/>
      <c r="C4" s="2478"/>
      <c r="D4" s="2478"/>
      <c r="E4" s="2478"/>
      <c r="F4" s="2478"/>
    </row>
    <row r="5" spans="1:11" ht="8.25" customHeight="1" x14ac:dyDescent="0.2">
      <c r="C5" s="317"/>
      <c r="D5" s="317"/>
    </row>
    <row r="6" spans="1:11" ht="13.5" customHeight="1" x14ac:dyDescent="0.2">
      <c r="A6" s="1273" t="s">
        <v>1728</v>
      </c>
      <c r="C6" s="317"/>
      <c r="D6" s="317"/>
    </row>
    <row r="7" spans="1:11" ht="60.95" customHeight="1" x14ac:dyDescent="0.2">
      <c r="A7" s="2475" t="s">
        <v>2166</v>
      </c>
      <c r="B7" s="2475"/>
      <c r="C7" s="2475"/>
      <c r="D7" s="2475"/>
      <c r="E7" s="2475"/>
      <c r="F7" s="2475"/>
    </row>
    <row r="8" spans="1:11" ht="12" customHeight="1" x14ac:dyDescent="0.2">
      <c r="A8" s="1273"/>
      <c r="B8" s="1279"/>
      <c r="C8" s="1279"/>
      <c r="D8" s="1279"/>
    </row>
    <row r="9" spans="1:11" ht="15" customHeight="1" x14ac:dyDescent="0.2">
      <c r="A9" s="1274" t="s">
        <v>1729</v>
      </c>
      <c r="B9" s="1277"/>
      <c r="C9" s="1277"/>
      <c r="D9" s="1277"/>
      <c r="E9" s="1275"/>
      <c r="F9" s="1275"/>
      <c r="G9" s="1275"/>
    </row>
    <row r="10" spans="1:11" ht="15" customHeight="1" x14ac:dyDescent="0.2">
      <c r="A10" s="1276" t="s">
        <v>1547</v>
      </c>
      <c r="B10" s="1277"/>
      <c r="C10" s="1278"/>
      <c r="D10" s="1277" t="s">
        <v>1548</v>
      </c>
      <c r="E10" s="1278" t="s">
        <v>2062</v>
      </c>
      <c r="F10" s="1277" t="s">
        <v>99</v>
      </c>
      <c r="G10" s="1275"/>
    </row>
    <row r="11" spans="1:11" ht="12" customHeight="1" x14ac:dyDescent="0.2">
      <c r="A11" s="1276"/>
      <c r="B11" s="1277"/>
      <c r="C11" s="1858"/>
      <c r="D11" s="1277"/>
      <c r="E11" s="1858"/>
      <c r="F11" s="1277"/>
      <c r="G11" s="1275"/>
    </row>
    <row r="12" spans="1:11" x14ac:dyDescent="0.2">
      <c r="A12" s="1273" t="s">
        <v>1587</v>
      </c>
      <c r="C12" s="1257"/>
      <c r="D12" s="1257"/>
    </row>
    <row r="13" spans="1:11" ht="15" customHeight="1" x14ac:dyDescent="0.2">
      <c r="A13" s="2475" t="s">
        <v>2167</v>
      </c>
      <c r="B13" s="2475"/>
      <c r="C13" s="2475"/>
      <c r="D13" s="2475"/>
      <c r="E13" s="2475"/>
      <c r="F13" s="2475"/>
    </row>
    <row r="14" spans="1:11" ht="9.75" customHeight="1" x14ac:dyDescent="0.2">
      <c r="C14" s="1257"/>
      <c r="D14" s="1257"/>
    </row>
    <row r="15" spans="1:11" ht="13.5" customHeight="1" x14ac:dyDescent="0.2">
      <c r="C15" s="1890" t="s">
        <v>1270</v>
      </c>
      <c r="D15" s="2469" t="s">
        <v>1269</v>
      </c>
      <c r="E15" s="2469"/>
      <c r="F15" s="2469"/>
    </row>
    <row r="16" spans="1:11" ht="13.5" customHeight="1" x14ac:dyDescent="0.25">
      <c r="A16" s="1279"/>
      <c r="B16" s="1273" t="s">
        <v>1268</v>
      </c>
      <c r="C16" s="1890" t="s">
        <v>1267</v>
      </c>
      <c r="D16" s="2470" t="s">
        <v>1588</v>
      </c>
      <c r="E16" s="2470"/>
      <c r="F16" s="2470"/>
      <c r="K16" s="1917"/>
    </row>
    <row r="17" spans="1:11" ht="20.45" customHeight="1" x14ac:dyDescent="0.25">
      <c r="A17" s="1280"/>
      <c r="B17" s="1281" t="s">
        <v>2173</v>
      </c>
      <c r="C17" s="1282">
        <v>84.173000000000002</v>
      </c>
      <c r="D17" s="2474"/>
      <c r="E17" s="2474"/>
      <c r="F17" s="2474"/>
      <c r="K17" s="1917"/>
    </row>
    <row r="18" spans="1:11" ht="20.65" customHeight="1" x14ac:dyDescent="0.25">
      <c r="A18" s="1280"/>
      <c r="B18" s="1281" t="s">
        <v>2137</v>
      </c>
      <c r="C18" s="1282"/>
      <c r="D18" s="2471">
        <v>8392</v>
      </c>
      <c r="E18" s="2472"/>
      <c r="F18" s="2473"/>
      <c r="K18" s="1917"/>
    </row>
    <row r="19" spans="1:11" ht="20.65" customHeight="1" x14ac:dyDescent="0.25">
      <c r="A19" s="1280"/>
      <c r="B19" s="1281" t="s">
        <v>2136</v>
      </c>
      <c r="C19" s="1282"/>
      <c r="D19" s="2471">
        <v>19259</v>
      </c>
      <c r="E19" s="2472"/>
      <c r="F19" s="2473"/>
      <c r="K19" s="1917"/>
    </row>
    <row r="20" spans="1:11" ht="20.65" customHeight="1" x14ac:dyDescent="0.25">
      <c r="A20" s="1280"/>
      <c r="B20" s="1281" t="s">
        <v>2135</v>
      </c>
      <c r="C20" s="1282"/>
      <c r="D20" s="2471">
        <v>14047</v>
      </c>
      <c r="E20" s="2472"/>
      <c r="F20" s="2473"/>
      <c r="K20" s="1917"/>
    </row>
    <row r="21" spans="1:11" ht="20.65" customHeight="1" x14ac:dyDescent="0.25">
      <c r="A21" s="1280"/>
      <c r="B21" s="1281" t="s">
        <v>2170</v>
      </c>
      <c r="C21" s="1282"/>
      <c r="D21" s="2471">
        <v>8097</v>
      </c>
      <c r="E21" s="2472"/>
      <c r="F21" s="2473"/>
      <c r="K21" s="1917"/>
    </row>
    <row r="22" spans="1:11" ht="20.65" customHeight="1" x14ac:dyDescent="0.25">
      <c r="A22" s="1280"/>
      <c r="B22" s="1281" t="s">
        <v>2133</v>
      </c>
      <c r="C22" s="1282"/>
      <c r="D22" s="2471">
        <v>27829</v>
      </c>
      <c r="E22" s="2472"/>
      <c r="F22" s="2473"/>
      <c r="K22" s="1917"/>
    </row>
    <row r="23" spans="1:11" ht="20.65" customHeight="1" x14ac:dyDescent="0.25">
      <c r="A23" s="1280"/>
      <c r="B23" s="1281" t="s">
        <v>2132</v>
      </c>
      <c r="C23" s="1282"/>
      <c r="D23" s="2471">
        <v>0</v>
      </c>
      <c r="E23" s="2472"/>
      <c r="F23" s="2473"/>
      <c r="K23" s="1917"/>
    </row>
    <row r="24" spans="1:11" ht="20.65" customHeight="1" x14ac:dyDescent="0.25">
      <c r="A24" s="1280"/>
      <c r="B24" s="1281" t="s">
        <v>2131</v>
      </c>
      <c r="C24" s="1282"/>
      <c r="D24" s="2471">
        <v>15163</v>
      </c>
      <c r="E24" s="2472"/>
      <c r="F24" s="2473"/>
      <c r="K24" s="1917"/>
    </row>
    <row r="25" spans="1:11" ht="20.65" customHeight="1" x14ac:dyDescent="0.25">
      <c r="A25" s="1280"/>
      <c r="B25" s="1281" t="s">
        <v>2153</v>
      </c>
      <c r="C25" s="1282"/>
      <c r="D25" s="2471">
        <v>2555</v>
      </c>
      <c r="E25" s="2472"/>
      <c r="F25" s="2473"/>
      <c r="K25" s="1917"/>
    </row>
    <row r="26" spans="1:11" ht="20.65" customHeight="1" x14ac:dyDescent="0.25">
      <c r="A26" s="1280"/>
      <c r="B26" s="1281" t="s">
        <v>2172</v>
      </c>
      <c r="C26" s="1282"/>
      <c r="D26" s="2474">
        <f>SUM(D18:F25)</f>
        <v>95342</v>
      </c>
      <c r="E26" s="2474"/>
      <c r="F26" s="2474"/>
      <c r="K26" s="1917"/>
    </row>
    <row r="27" spans="1:11" ht="20.65" customHeight="1" x14ac:dyDescent="0.25">
      <c r="A27" s="1280"/>
      <c r="B27" s="1281"/>
      <c r="C27" s="1282"/>
      <c r="D27" s="2474"/>
      <c r="E27" s="2474"/>
      <c r="F27" s="2474"/>
      <c r="K27" s="1917"/>
    </row>
    <row r="28" spans="1:11" ht="20.65" customHeight="1" x14ac:dyDescent="0.25">
      <c r="A28" s="1280"/>
      <c r="B28" s="1281" t="s">
        <v>2171</v>
      </c>
      <c r="C28" s="1282">
        <v>84.027000000000001</v>
      </c>
      <c r="D28" s="2474"/>
      <c r="E28" s="2474"/>
      <c r="F28" s="2474"/>
      <c r="K28" s="1917"/>
    </row>
    <row r="29" spans="1:11" ht="20.65" customHeight="1" x14ac:dyDescent="0.25">
      <c r="A29" s="1280"/>
      <c r="B29" s="1281" t="s">
        <v>2137</v>
      </c>
      <c r="C29" s="1282"/>
      <c r="D29" s="2474">
        <v>123607</v>
      </c>
      <c r="E29" s="2474"/>
      <c r="F29" s="2474"/>
      <c r="K29" s="1917"/>
    </row>
    <row r="30" spans="1:11" ht="20.65" customHeight="1" x14ac:dyDescent="0.25">
      <c r="A30" s="1280"/>
      <c r="B30" s="1281" t="s">
        <v>2136</v>
      </c>
      <c r="C30" s="1282"/>
      <c r="D30" s="2474">
        <v>292519</v>
      </c>
      <c r="E30" s="2474"/>
      <c r="F30" s="2474"/>
      <c r="K30" s="1917"/>
    </row>
    <row r="31" spans="1:11" ht="20.65" customHeight="1" x14ac:dyDescent="0.25">
      <c r="A31" s="1280"/>
      <c r="B31" s="1281" t="s">
        <v>2135</v>
      </c>
      <c r="C31" s="1282"/>
      <c r="D31" s="2474">
        <v>179429</v>
      </c>
      <c r="E31" s="2474"/>
      <c r="F31" s="2474"/>
      <c r="K31" s="1917"/>
    </row>
    <row r="32" spans="1:11" ht="20.65" customHeight="1" x14ac:dyDescent="0.25">
      <c r="A32" s="1280"/>
      <c r="B32" s="1281" t="s">
        <v>2170</v>
      </c>
      <c r="C32" s="1282"/>
      <c r="D32" s="2474">
        <v>243935</v>
      </c>
      <c r="E32" s="2474"/>
      <c r="F32" s="2474"/>
      <c r="K32" s="1917"/>
    </row>
    <row r="33" spans="1:11" ht="20.65" customHeight="1" x14ac:dyDescent="0.25">
      <c r="A33" s="1280"/>
      <c r="B33" s="1281" t="s">
        <v>2133</v>
      </c>
      <c r="C33" s="1282"/>
      <c r="D33" s="2474">
        <v>586414</v>
      </c>
      <c r="E33" s="2474"/>
      <c r="F33" s="2474"/>
      <c r="K33" s="1917"/>
    </row>
    <row r="34" spans="1:11" ht="20.65" customHeight="1" x14ac:dyDescent="0.2">
      <c r="A34" s="1280"/>
      <c r="B34" s="1281" t="s">
        <v>2132</v>
      </c>
      <c r="C34" s="1282"/>
      <c r="D34" s="2474">
        <v>210390</v>
      </c>
      <c r="E34" s="2474"/>
      <c r="F34" s="2474"/>
    </row>
    <row r="35" spans="1:11" ht="20.65" customHeight="1" x14ac:dyDescent="0.2">
      <c r="A35" s="1280"/>
      <c r="B35" s="1281" t="s">
        <v>2131</v>
      </c>
      <c r="C35" s="1282"/>
      <c r="D35" s="2474">
        <v>345861</v>
      </c>
      <c r="E35" s="2474"/>
      <c r="F35" s="2474"/>
    </row>
    <row r="36" spans="1:11" ht="20.65" customHeight="1" x14ac:dyDescent="0.2">
      <c r="A36" s="1280"/>
      <c r="B36" s="1281" t="s">
        <v>2153</v>
      </c>
      <c r="C36" s="1282"/>
      <c r="D36" s="2474">
        <v>184623</v>
      </c>
      <c r="E36" s="2474"/>
      <c r="F36" s="2474"/>
    </row>
    <row r="37" spans="1:11" ht="20.65" customHeight="1" x14ac:dyDescent="0.2">
      <c r="A37" s="1280"/>
      <c r="B37" s="1281" t="s">
        <v>2129</v>
      </c>
      <c r="C37" s="1282"/>
      <c r="D37" s="2474">
        <v>1050742</v>
      </c>
      <c r="E37" s="2474"/>
      <c r="F37" s="2474"/>
    </row>
    <row r="38" spans="1:11" ht="20.65" customHeight="1" x14ac:dyDescent="0.2">
      <c r="A38" s="1280"/>
      <c r="B38" s="1281" t="s">
        <v>2169</v>
      </c>
      <c r="C38" s="1282"/>
      <c r="D38" s="2474">
        <f>SUM(D29:F37)</f>
        <v>3217520</v>
      </c>
      <c r="E38" s="2474"/>
      <c r="F38" s="2474"/>
    </row>
    <row r="39" spans="1:11" ht="12" customHeight="1" x14ac:dyDescent="0.2">
      <c r="A39" s="328"/>
      <c r="B39" s="328"/>
      <c r="C39" s="1462"/>
      <c r="D39" s="1859"/>
      <c r="E39" s="1283"/>
    </row>
    <row r="40" spans="1:11" ht="12" customHeight="1" x14ac:dyDescent="0.2">
      <c r="A40" s="1284" t="s">
        <v>1549</v>
      </c>
      <c r="B40" s="328"/>
      <c r="C40" s="1462"/>
      <c r="D40" s="1859"/>
      <c r="E40" s="1283"/>
    </row>
    <row r="41" spans="1:11" ht="30" customHeight="1" x14ac:dyDescent="0.2">
      <c r="A41" s="2465" t="s">
        <v>2168</v>
      </c>
      <c r="B41" s="2465"/>
      <c r="C41" s="2465"/>
      <c r="D41" s="2465"/>
      <c r="E41" s="2465"/>
      <c r="F41" s="2465"/>
    </row>
    <row r="42" spans="1:11" ht="13.5" customHeight="1" x14ac:dyDescent="0.2">
      <c r="A42" s="328" t="s">
        <v>1434</v>
      </c>
      <c r="B42" s="328"/>
      <c r="C42" s="1285">
        <v>0</v>
      </c>
      <c r="D42" s="1859"/>
      <c r="E42" s="1283"/>
    </row>
    <row r="43" spans="1:11" ht="13.5" customHeight="1" x14ac:dyDescent="0.2">
      <c r="A43" s="328" t="s">
        <v>1835</v>
      </c>
      <c r="B43" s="328"/>
      <c r="C43" s="1286">
        <v>0</v>
      </c>
      <c r="D43" s="1859" t="s">
        <v>1589</v>
      </c>
      <c r="E43" s="2466">
        <f>+C42+C43</f>
        <v>0</v>
      </c>
      <c r="F43" s="2467"/>
    </row>
    <row r="44" spans="1:11" ht="12" customHeight="1" x14ac:dyDescent="0.2">
      <c r="A44" s="328"/>
      <c r="B44" s="328"/>
      <c r="C44" s="1860"/>
      <c r="D44" s="1859"/>
      <c r="E44" s="1287"/>
      <c r="F44" s="1288"/>
    </row>
    <row r="45" spans="1:11" ht="13.5" customHeight="1" x14ac:dyDescent="0.2">
      <c r="A45" s="1284" t="s">
        <v>1550</v>
      </c>
      <c r="B45" s="328"/>
      <c r="C45" s="1462"/>
      <c r="D45" s="1859"/>
      <c r="E45" s="1283"/>
    </row>
    <row r="46" spans="1:11" ht="14.25" customHeight="1" x14ac:dyDescent="0.2">
      <c r="A46" s="328" t="s">
        <v>1484</v>
      </c>
      <c r="B46" s="328"/>
      <c r="C46" s="1861"/>
      <c r="D46" s="1859"/>
      <c r="E46" s="1283"/>
    </row>
    <row r="47" spans="1:11" ht="14.25" customHeight="1" x14ac:dyDescent="0.2">
      <c r="A47" s="328"/>
      <c r="B47" s="328" t="s">
        <v>1435</v>
      </c>
      <c r="C47" s="1289">
        <v>0</v>
      </c>
      <c r="D47" s="1859"/>
      <c r="E47" s="1283"/>
    </row>
    <row r="48" spans="1:11" ht="14.25" customHeight="1" x14ac:dyDescent="0.2">
      <c r="A48" s="328"/>
      <c r="B48" s="328" t="s">
        <v>1436</v>
      </c>
      <c r="C48" s="1289">
        <v>0</v>
      </c>
      <c r="D48" s="1859"/>
      <c r="E48" s="1283"/>
    </row>
    <row r="49" spans="1:6" ht="14.25" customHeight="1" x14ac:dyDescent="0.2">
      <c r="A49" s="328"/>
      <c r="B49" s="328" t="s">
        <v>1437</v>
      </c>
      <c r="C49" s="1289">
        <v>0</v>
      </c>
      <c r="D49" s="1859"/>
      <c r="E49" s="1283"/>
    </row>
    <row r="50" spans="1:6" ht="14.25" customHeight="1" x14ac:dyDescent="0.2">
      <c r="A50" s="328"/>
      <c r="B50" s="328" t="s">
        <v>1438</v>
      </c>
      <c r="C50" s="1289">
        <v>0</v>
      </c>
      <c r="D50" s="1859"/>
      <c r="E50" s="1283"/>
    </row>
    <row r="51" spans="1:6" ht="14.25" customHeight="1" x14ac:dyDescent="0.2">
      <c r="A51" s="328" t="s">
        <v>1439</v>
      </c>
      <c r="B51" s="328"/>
      <c r="C51" s="1857">
        <v>0</v>
      </c>
      <c r="D51" s="1859"/>
      <c r="E51" s="1283"/>
    </row>
    <row r="52" spans="1:6" ht="14.25" customHeight="1" x14ac:dyDescent="0.2">
      <c r="A52" s="328" t="s">
        <v>1440</v>
      </c>
      <c r="B52" s="328"/>
      <c r="C52" s="1290" t="s">
        <v>383</v>
      </c>
      <c r="D52" s="1859"/>
      <c r="E52" s="1283"/>
    </row>
    <row r="53" spans="1:6" ht="14.25" customHeight="1" x14ac:dyDescent="0.2">
      <c r="A53" s="328"/>
      <c r="B53" s="328"/>
      <c r="C53" s="1861" t="s">
        <v>1441</v>
      </c>
      <c r="D53" s="1859"/>
      <c r="E53" s="1283"/>
    </row>
    <row r="54" spans="1:6" ht="13.5" customHeight="1" x14ac:dyDescent="0.2">
      <c r="B54" s="322"/>
      <c r="C54" s="1291"/>
      <c r="D54" s="1291"/>
    </row>
    <row r="55" spans="1:6" x14ac:dyDescent="0.2">
      <c r="A55" s="1292" t="s">
        <v>1730</v>
      </c>
      <c r="C55" s="317"/>
      <c r="D55" s="317"/>
    </row>
    <row r="56" spans="1:6" s="322" customFormat="1" ht="11.25" customHeight="1" x14ac:dyDescent="0.2">
      <c r="A56" s="1293"/>
      <c r="B56" s="1294"/>
      <c r="C56" s="1294"/>
      <c r="D56" s="1294"/>
      <c r="E56" s="1294"/>
      <c r="F56" s="1294"/>
    </row>
    <row r="57" spans="1:6" s="322" customFormat="1" ht="6" customHeight="1" x14ac:dyDescent="0.2">
      <c r="A57" s="1295"/>
    </row>
    <row r="58" spans="1:6" s="1297" customFormat="1" ht="23.25" customHeight="1" x14ac:dyDescent="0.2">
      <c r="A58" s="1296">
        <v>5</v>
      </c>
      <c r="B58" s="2468" t="s">
        <v>1590</v>
      </c>
      <c r="C58" s="2468"/>
      <c r="D58" s="2468"/>
      <c r="E58" s="1396"/>
    </row>
    <row r="59" spans="1:6" s="1297" customFormat="1" ht="3.75" customHeight="1" x14ac:dyDescent="0.2">
      <c r="A59" s="1296"/>
      <c r="B59" s="1889"/>
      <c r="C59" s="1889"/>
      <c r="D59" s="1889"/>
      <c r="E59" s="1396"/>
    </row>
    <row r="60" spans="1:6" s="1297" customFormat="1" ht="20.25" customHeight="1" x14ac:dyDescent="0.2">
      <c r="A60" s="1298">
        <v>6</v>
      </c>
      <c r="B60" s="2464" t="s">
        <v>1551</v>
      </c>
      <c r="C60" s="2464"/>
      <c r="D60" s="2464"/>
    </row>
    <row r="61" spans="1:6" ht="14.25" customHeight="1" x14ac:dyDescent="0.2">
      <c r="A61" s="1298"/>
      <c r="B61" s="2464"/>
      <c r="C61" s="2464"/>
      <c r="D61" s="2464"/>
    </row>
  </sheetData>
  <mergeCells count="35">
    <mergeCell ref="A13:F13"/>
    <mergeCell ref="A7:F7"/>
    <mergeCell ref="A1:F1"/>
    <mergeCell ref="A2:F2"/>
    <mergeCell ref="A3:F3"/>
    <mergeCell ref="A4:F4"/>
    <mergeCell ref="D38:F38"/>
    <mergeCell ref="D37:F37"/>
    <mergeCell ref="D29:F29"/>
    <mergeCell ref="D30:F30"/>
    <mergeCell ref="D31:F31"/>
    <mergeCell ref="D32:F32"/>
    <mergeCell ref="D35:F35"/>
    <mergeCell ref="D36:F36"/>
    <mergeCell ref="D33:F33"/>
    <mergeCell ref="D15:F15"/>
    <mergeCell ref="D16:F16"/>
    <mergeCell ref="D24:F24"/>
    <mergeCell ref="D25:F25"/>
    <mergeCell ref="D34:F34"/>
    <mergeCell ref="D27:F27"/>
    <mergeCell ref="D28:F28"/>
    <mergeCell ref="D23:F23"/>
    <mergeCell ref="D26:F26"/>
    <mergeCell ref="D17:F17"/>
    <mergeCell ref="D18:F18"/>
    <mergeCell ref="D19:F19"/>
    <mergeCell ref="D20:F20"/>
    <mergeCell ref="D21:F21"/>
    <mergeCell ref="D22:F22"/>
    <mergeCell ref="B60:D60"/>
    <mergeCell ref="B61:D61"/>
    <mergeCell ref="A41:F41"/>
    <mergeCell ref="E43:F43"/>
    <mergeCell ref="B58:D58"/>
  </mergeCells>
  <pageMargins left="0.9" right="0.27" top="0.43" bottom="0" header="0.26" footer="0.5"/>
  <pageSetup scale="7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sheetPr>
  <dimension ref="A1:K143"/>
  <sheetViews>
    <sheetView showGridLines="0" defaultGridColor="0" topLeftCell="A103" colorId="8" zoomScale="110" zoomScaleNormal="110" workbookViewId="0">
      <selection activeCell="L114" sqref="L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1168</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5" t="s">
        <v>1633</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5" t="s">
        <v>313</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1323</v>
      </c>
      <c r="B70" s="2098"/>
      <c r="C70" s="2098"/>
      <c r="D70" s="2098"/>
      <c r="E70" s="2099"/>
      <c r="F70" s="2099"/>
      <c r="G70" s="2099"/>
      <c r="H70" s="2099"/>
      <c r="I70" s="209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79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1320</v>
      </c>
      <c r="B83" s="2100"/>
      <c r="C83" s="2100"/>
      <c r="D83" s="210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2076</v>
      </c>
      <c r="D114" s="209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1330</v>
      </c>
      <c r="D117" s="2093"/>
      <c r="E117" s="2094"/>
      <c r="F117" s="2094"/>
      <c r="G117" s="2094"/>
      <c r="H117" s="2094"/>
      <c r="I117" s="304"/>
    </row>
    <row r="118" spans="1:9" s="181" customFormat="1" ht="24" customHeight="1" x14ac:dyDescent="0.2">
      <c r="A118" s="316"/>
      <c r="B118" s="316"/>
      <c r="C118" s="316"/>
      <c r="D118" s="323" t="s">
        <v>2086</v>
      </c>
      <c r="E118" s="322"/>
      <c r="F118" s="324"/>
      <c r="G118" s="1799"/>
      <c r="H118" s="322"/>
      <c r="I118" s="304"/>
    </row>
    <row r="119" spans="1:9" s="181" customFormat="1" ht="11.25" customHeight="1" x14ac:dyDescent="0.2">
      <c r="A119" s="325"/>
      <c r="B119" s="325"/>
      <c r="C119" s="326"/>
      <c r="D119" s="327" t="s">
        <v>361</v>
      </c>
      <c r="E119" s="310"/>
      <c r="F119" s="1798"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J63"/>
  <sheetViews>
    <sheetView showGridLines="0" zoomScale="110" zoomScaleNormal="110" workbookViewId="0">
      <selection activeCell="K22" sqref="K2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Eisenhower Cooperative</v>
      </c>
      <c r="C1" s="2491"/>
      <c r="D1" s="2491"/>
      <c r="E1" s="2491"/>
      <c r="F1" s="2491"/>
      <c r="G1" s="2491"/>
      <c r="H1" s="2491"/>
      <c r="I1" s="2491"/>
      <c r="J1" s="1406"/>
    </row>
    <row r="2" spans="2:10" s="317" customFormat="1" ht="12.75" customHeight="1" x14ac:dyDescent="0.2">
      <c r="B2" s="2492">
        <f>'Single Audit Cover'!E7</f>
        <v>7016127561</v>
      </c>
      <c r="C2" s="2493"/>
      <c r="D2" s="2493"/>
      <c r="E2" s="2493"/>
      <c r="F2" s="2493"/>
      <c r="G2" s="2493"/>
      <c r="H2" s="2493"/>
      <c r="I2" s="2493"/>
      <c r="J2" s="1406"/>
    </row>
    <row r="3" spans="2:10" s="317" customFormat="1" ht="12.75" customHeight="1" x14ac:dyDescent="0.2">
      <c r="B3" s="2494" t="s">
        <v>1285</v>
      </c>
      <c r="C3" s="2495"/>
      <c r="D3" s="2495"/>
      <c r="E3" s="2495"/>
      <c r="F3" s="2495"/>
      <c r="G3" s="2495"/>
      <c r="H3" s="2495"/>
      <c r="I3" s="2495"/>
      <c r="J3" s="1407"/>
    </row>
    <row r="4" spans="2:10" s="317" customFormat="1" ht="12.75" customHeight="1" x14ac:dyDescent="0.2">
      <c r="B4" s="2494" t="str">
        <f>'Single Audit Cover'!A4</f>
        <v>Year Ending June 30, 2019</v>
      </c>
      <c r="C4" s="2495"/>
      <c r="D4" s="2495"/>
      <c r="E4" s="2495"/>
      <c r="F4" s="2495"/>
      <c r="G4" s="2495"/>
      <c r="H4" s="2495"/>
      <c r="I4" s="249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94" t="s">
        <v>1284</v>
      </c>
      <c r="C7" s="2495"/>
      <c r="D7" s="2495"/>
      <c r="E7" s="2495"/>
      <c r="F7" s="2495"/>
      <c r="G7" s="2495"/>
      <c r="H7" s="2495"/>
      <c r="I7" s="249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96" t="s">
        <v>2096</v>
      </c>
      <c r="D11" s="249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7" t="s">
        <v>2096</v>
      </c>
      <c r="E29" s="2497"/>
      <c r="F29" s="2497"/>
      <c r="G29" s="2497"/>
      <c r="H29" s="2497"/>
      <c r="I29" s="249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98" t="s">
        <v>1748</v>
      </c>
      <c r="D37" s="2499"/>
      <c r="E37" s="2499"/>
      <c r="F37" s="2500"/>
      <c r="G37" s="2498" t="s">
        <v>1592</v>
      </c>
      <c r="H37" s="2499"/>
      <c r="I37" s="2500"/>
    </row>
    <row r="38" spans="2:9" ht="16.5" customHeight="1" x14ac:dyDescent="0.2">
      <c r="B38" s="1428" t="s">
        <v>2097</v>
      </c>
      <c r="C38" s="2486" t="s">
        <v>2098</v>
      </c>
      <c r="D38" s="2487"/>
      <c r="E38" s="2487"/>
      <c r="F38" s="2488"/>
      <c r="G38" s="2501">
        <f>' SEFA'!I77</f>
        <v>4946473</v>
      </c>
      <c r="H38" s="2502"/>
      <c r="I38" s="2503"/>
    </row>
    <row r="39" spans="2:9" ht="16.5" customHeight="1" x14ac:dyDescent="0.2">
      <c r="B39" s="1428"/>
      <c r="C39" s="2486"/>
      <c r="D39" s="2487"/>
      <c r="E39" s="2487"/>
      <c r="F39" s="2488"/>
      <c r="G39" s="2489"/>
      <c r="H39" s="2489"/>
      <c r="I39" s="2489"/>
    </row>
    <row r="40" spans="2:9" ht="16.5" customHeight="1" x14ac:dyDescent="0.2">
      <c r="B40" s="1428"/>
      <c r="C40" s="2486"/>
      <c r="D40" s="2487"/>
      <c r="E40" s="2487"/>
      <c r="F40" s="2488"/>
      <c r="G40" s="2489"/>
      <c r="H40" s="2489"/>
      <c r="I40" s="2489"/>
    </row>
    <row r="41" spans="2:9" ht="16.5" customHeight="1" x14ac:dyDescent="0.2">
      <c r="B41" s="1428"/>
      <c r="C41" s="2486"/>
      <c r="D41" s="2487"/>
      <c r="E41" s="2487"/>
      <c r="F41" s="2488"/>
      <c r="G41" s="2489"/>
      <c r="H41" s="2489"/>
      <c r="I41" s="2489"/>
    </row>
    <row r="42" spans="2:9" ht="16.5" customHeight="1" x14ac:dyDescent="0.2">
      <c r="B42" s="1428"/>
      <c r="C42" s="2486"/>
      <c r="D42" s="2487"/>
      <c r="E42" s="2487"/>
      <c r="F42" s="2488"/>
      <c r="G42" s="2489"/>
      <c r="H42" s="2489"/>
      <c r="I42" s="2489"/>
    </row>
    <row r="43" spans="2:9" ht="16.5" customHeight="1" x14ac:dyDescent="0.2">
      <c r="B43" s="1428"/>
      <c r="C43" s="2479" t="s">
        <v>1593</v>
      </c>
      <c r="D43" s="2480"/>
      <c r="E43" s="2480"/>
      <c r="F43" s="2481"/>
      <c r="G43" s="2482">
        <f>SUM(G38:I42)</f>
        <v>4946473</v>
      </c>
      <c r="H43" s="2482"/>
      <c r="I43" s="2482"/>
    </row>
    <row r="44" spans="2:9" ht="12.75" customHeight="1" x14ac:dyDescent="0.2"/>
    <row r="45" spans="2:9" ht="12.75" customHeight="1" x14ac:dyDescent="0.2">
      <c r="B45" s="1419" t="s">
        <v>2059</v>
      </c>
      <c r="D45" s="2483">
        <f>' SEFA'!I113</f>
        <v>5179278</v>
      </c>
      <c r="E45" s="2484"/>
    </row>
    <row r="46" spans="2:9" ht="5.25" customHeight="1" x14ac:dyDescent="0.2">
      <c r="B46" s="1429"/>
      <c r="D46" s="1430"/>
      <c r="E46" s="1431"/>
    </row>
    <row r="47" spans="2:9" ht="12.75" customHeight="1" x14ac:dyDescent="0.2">
      <c r="B47" s="1297" t="s">
        <v>1594</v>
      </c>
      <c r="C47" s="1297"/>
      <c r="D47" s="1432">
        <f>+G43/D45</f>
        <v>0.95505068467072052</v>
      </c>
      <c r="E47" s="1433"/>
      <c r="F47" s="1434"/>
      <c r="I47" s="1435"/>
    </row>
    <row r="48" spans="2:9" ht="9.9499999999999993" customHeight="1" x14ac:dyDescent="0.2"/>
    <row r="49" spans="1:9" x14ac:dyDescent="0.2">
      <c r="B49" s="1365" t="s">
        <v>1273</v>
      </c>
      <c r="C49" s="1279"/>
      <c r="D49" s="1279"/>
      <c r="E49" s="2485">
        <v>750000</v>
      </c>
      <c r="F49" s="2485"/>
      <c r="G49" s="2485"/>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14999847407452621"/>
  </sheetPr>
  <dimension ref="A1:M41"/>
  <sheetViews>
    <sheetView showGridLines="0" zoomScale="110" zoomScaleNormal="110" workbookViewId="0">
      <selection activeCell="K22" sqref="K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Eisenhower Cooperative</v>
      </c>
      <c r="C1" s="2490"/>
      <c r="D1" s="2490"/>
      <c r="E1" s="2490"/>
      <c r="F1" s="2490"/>
      <c r="G1" s="2490"/>
      <c r="H1" s="2490"/>
      <c r="I1" s="2490"/>
      <c r="J1" s="2490"/>
      <c r="K1" s="2490"/>
      <c r="L1" s="1371"/>
      <c r="M1" s="1371"/>
    </row>
    <row r="2" spans="1:13" ht="12" customHeight="1" x14ac:dyDescent="0.2">
      <c r="B2" s="2492">
        <f>'Single Audit Cover'!E7</f>
        <v>7016127561</v>
      </c>
      <c r="C2" s="2492"/>
      <c r="D2" s="2492"/>
      <c r="E2" s="2492"/>
      <c r="F2" s="2492"/>
      <c r="G2" s="2492"/>
      <c r="H2" s="2492"/>
      <c r="I2" s="2492"/>
      <c r="J2" s="2492"/>
      <c r="K2" s="2492"/>
      <c r="L2" s="1372"/>
      <c r="M2" s="1373"/>
    </row>
    <row r="3" spans="1:13" ht="10.35" customHeight="1" x14ac:dyDescent="0.2">
      <c r="B3" s="2506" t="s">
        <v>1285</v>
      </c>
      <c r="C3" s="2506"/>
      <c r="D3" s="2506"/>
      <c r="E3" s="2506"/>
      <c r="F3" s="2506"/>
      <c r="G3" s="2506"/>
      <c r="H3" s="2506"/>
      <c r="I3" s="2506"/>
      <c r="J3" s="2506"/>
      <c r="K3" s="2506"/>
      <c r="L3" s="1374"/>
      <c r="M3" s="1374"/>
    </row>
    <row r="4" spans="1:13" ht="14.25" customHeight="1" x14ac:dyDescent="0.2">
      <c r="B4" s="2507" t="str">
        <f>'Single Audit Cover'!A4</f>
        <v>Year Ending June 30, 2019</v>
      </c>
      <c r="C4" s="2507"/>
      <c r="D4" s="2507"/>
      <c r="E4" s="2507"/>
      <c r="F4" s="2507"/>
      <c r="G4" s="2507"/>
      <c r="H4" s="2507"/>
      <c r="I4" s="2507"/>
      <c r="J4" s="2507"/>
      <c r="K4" s="250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07" t="s">
        <v>1296</v>
      </c>
      <c r="C7" s="2507"/>
      <c r="D7" s="2508"/>
      <c r="E7" s="2508"/>
      <c r="F7" s="2508"/>
      <c r="G7" s="2508"/>
      <c r="H7" s="2508"/>
      <c r="I7" s="2508"/>
      <c r="J7" s="2508"/>
      <c r="K7" s="250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05" t="s">
        <v>2095</v>
      </c>
      <c r="C14" s="2505"/>
      <c r="D14" s="2505"/>
      <c r="E14" s="2505"/>
      <c r="F14" s="2505"/>
      <c r="G14" s="2505"/>
      <c r="H14" s="2505"/>
      <c r="I14" s="2505"/>
      <c r="J14" s="2505"/>
      <c r="K14" s="250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05"/>
      <c r="C17" s="2505"/>
      <c r="D17" s="2505"/>
      <c r="E17" s="2505"/>
      <c r="F17" s="2505"/>
      <c r="G17" s="2505"/>
      <c r="H17" s="2505"/>
      <c r="I17" s="2505"/>
      <c r="J17" s="2505"/>
      <c r="K17" s="250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09"/>
      <c r="C20" s="2509"/>
      <c r="D20" s="2505"/>
      <c r="E20" s="2505"/>
      <c r="F20" s="2505"/>
      <c r="G20" s="2505"/>
      <c r="H20" s="2505"/>
      <c r="I20" s="2505"/>
      <c r="J20" s="2505"/>
      <c r="K20" s="250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05"/>
      <c r="C23" s="2505"/>
      <c r="D23" s="2505"/>
      <c r="E23" s="2505"/>
      <c r="F23" s="2505"/>
      <c r="G23" s="2505"/>
      <c r="H23" s="2505"/>
      <c r="I23" s="2505"/>
      <c r="J23" s="2505"/>
      <c r="K23" s="250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05"/>
      <c r="C26" s="2505"/>
      <c r="D26" s="2505"/>
      <c r="E26" s="2505"/>
      <c r="F26" s="2505"/>
      <c r="G26" s="2505"/>
      <c r="H26" s="2505"/>
      <c r="I26" s="2505"/>
      <c r="J26" s="2505"/>
      <c r="K26" s="250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04"/>
      <c r="C29" s="2504"/>
      <c r="D29" s="2505"/>
      <c r="E29" s="2505"/>
      <c r="F29" s="2505"/>
      <c r="G29" s="2505"/>
      <c r="H29" s="2505"/>
      <c r="I29" s="2505"/>
      <c r="J29" s="2505"/>
      <c r="K29" s="250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04"/>
      <c r="C32" s="2504"/>
      <c r="D32" s="2505"/>
      <c r="E32" s="2505"/>
      <c r="F32" s="2505"/>
      <c r="G32" s="2505"/>
      <c r="H32" s="2505"/>
      <c r="I32" s="2505"/>
      <c r="J32" s="2505"/>
      <c r="K32" s="250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14999847407452621"/>
  </sheetPr>
  <dimension ref="A1:L48"/>
  <sheetViews>
    <sheetView showGridLines="0" zoomScale="110" zoomScaleNormal="110" workbookViewId="0">
      <selection activeCell="K22" sqref="K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Eisenhower Cooperative</v>
      </c>
      <c r="C1" s="2513"/>
      <c r="D1" s="2513"/>
      <c r="E1" s="2513"/>
      <c r="F1" s="2513"/>
      <c r="G1" s="2513"/>
      <c r="H1" s="2513"/>
      <c r="I1" s="2513"/>
      <c r="J1" s="2513"/>
      <c r="K1" s="2513"/>
      <c r="L1" s="1449"/>
    </row>
    <row r="2" spans="1:12" ht="12.75" customHeight="1" x14ac:dyDescent="0.2">
      <c r="B2" s="2514">
        <f>'Single Audit Cover'!E7</f>
        <v>7016127561</v>
      </c>
      <c r="C2" s="2514"/>
      <c r="D2" s="2514"/>
      <c r="E2" s="2514"/>
      <c r="F2" s="2514"/>
      <c r="G2" s="2514"/>
      <c r="H2" s="2514"/>
      <c r="I2" s="2514"/>
      <c r="J2" s="2514"/>
      <c r="K2" s="2514"/>
      <c r="L2" s="1450"/>
    </row>
    <row r="3" spans="1:12" ht="12.75" customHeight="1" x14ac:dyDescent="0.2">
      <c r="B3" s="2506" t="s">
        <v>1285</v>
      </c>
      <c r="C3" s="2506"/>
      <c r="D3" s="2506"/>
      <c r="E3" s="2506"/>
      <c r="F3" s="2506"/>
      <c r="G3" s="2506"/>
      <c r="H3" s="2506"/>
      <c r="I3" s="2506"/>
      <c r="J3" s="2506"/>
      <c r="K3" s="2506"/>
      <c r="L3" s="1374"/>
    </row>
    <row r="4" spans="1:12" ht="12.75" customHeight="1" x14ac:dyDescent="0.2">
      <c r="B4" s="2506" t="str">
        <f>'Single Audit Cover'!A4</f>
        <v>Year Ending June 30, 2019</v>
      </c>
      <c r="C4" s="2506"/>
      <c r="D4" s="2506"/>
      <c r="E4" s="2506"/>
      <c r="F4" s="2506"/>
      <c r="G4" s="2506"/>
      <c r="H4" s="2506"/>
      <c r="I4" s="2506"/>
      <c r="J4" s="2506"/>
      <c r="K4" s="2506"/>
      <c r="L4" s="1374"/>
    </row>
    <row r="5" spans="1:12" ht="5.25" customHeight="1" x14ac:dyDescent="0.2">
      <c r="B5" s="1257" t="s">
        <v>1169</v>
      </c>
      <c r="C5" s="1257"/>
      <c r="L5" s="322"/>
    </row>
    <row r="6" spans="1:12" ht="30.75" customHeight="1" x14ac:dyDescent="0.2">
      <c r="A6" s="322"/>
      <c r="B6" s="2515" t="s">
        <v>1308</v>
      </c>
      <c r="C6" s="2515"/>
      <c r="D6" s="2515"/>
      <c r="E6" s="2515"/>
      <c r="F6" s="2515"/>
      <c r="G6" s="2515"/>
      <c r="H6" s="2515"/>
      <c r="I6" s="2515"/>
      <c r="J6" s="2515"/>
      <c r="K6" s="251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7"/>
      <c r="G12" s="2497"/>
      <c r="H12" s="2497"/>
      <c r="I12" s="2497"/>
      <c r="J12" s="2497"/>
      <c r="K12" s="249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0"/>
      <c r="E14" s="2510"/>
      <c r="F14" s="2510"/>
      <c r="H14" s="1459" t="s">
        <v>1303</v>
      </c>
      <c r="I14" s="2511"/>
      <c r="J14" s="2511"/>
      <c r="K14" s="251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11"/>
      <c r="E16" s="2511"/>
      <c r="F16" s="2511"/>
      <c r="G16" s="2511"/>
      <c r="H16" s="2511"/>
      <c r="I16" s="2511"/>
      <c r="J16" s="2511"/>
      <c r="K16" s="2511"/>
      <c r="L16" s="322"/>
    </row>
    <row r="17" spans="2:12" ht="13.5" customHeight="1" x14ac:dyDescent="0.2">
      <c r="B17" s="1384" t="s">
        <v>1301</v>
      </c>
      <c r="C17" s="1384"/>
      <c r="D17" s="2512"/>
      <c r="E17" s="2512"/>
      <c r="F17" s="2512"/>
      <c r="G17" s="2512"/>
      <c r="H17" s="2512"/>
      <c r="I17" s="2512"/>
      <c r="J17" s="2512"/>
      <c r="K17" s="251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05" t="s">
        <v>2094</v>
      </c>
      <c r="C20" s="2505"/>
      <c r="D20" s="2505"/>
      <c r="E20" s="2505"/>
      <c r="F20" s="2505"/>
      <c r="G20" s="2505"/>
      <c r="H20" s="2505"/>
      <c r="I20" s="2505"/>
      <c r="J20" s="2505"/>
      <c r="K20" s="250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sheetPr>
  <dimension ref="B1:E73"/>
  <sheetViews>
    <sheetView showGridLines="0" zoomScale="110" zoomScaleNormal="110" workbookViewId="0">
      <selection activeCell="K22" sqref="K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0" t="str">
        <f>'Single Audit Cover'!A7</f>
        <v>Eisenhower Cooperative</v>
      </c>
      <c r="C1" s="2490"/>
      <c r="D1" s="2490"/>
      <c r="E1" s="1469"/>
    </row>
    <row r="2" spans="2:5" s="1279" customFormat="1" ht="12.75" customHeight="1" x14ac:dyDescent="0.2">
      <c r="B2" s="2492">
        <f>'Single Audit Cover'!E7</f>
        <v>7016127561</v>
      </c>
      <c r="C2" s="2492"/>
      <c r="D2" s="2492"/>
      <c r="E2" s="1470"/>
    </row>
    <row r="3" spans="2:5" ht="12.75" customHeight="1" x14ac:dyDescent="0.2">
      <c r="B3" s="2506" t="s">
        <v>1763</v>
      </c>
      <c r="C3" s="2506"/>
      <c r="D3" s="2506"/>
      <c r="E3" s="1271"/>
    </row>
    <row r="4" spans="2:5" s="1279" customFormat="1" ht="12.75" customHeight="1" x14ac:dyDescent="0.2">
      <c r="B4" s="2516" t="str">
        <f>'Single Audit Cover'!A4</f>
        <v>Year Ending June 30, 2019</v>
      </c>
      <c r="C4" s="2516"/>
      <c r="D4" s="251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2093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14999847407452621"/>
  </sheetPr>
  <dimension ref="A1:N72"/>
  <sheetViews>
    <sheetView showGridLines="0" defaultGridColor="0" topLeftCell="A32" colorId="8" zoomScale="110" zoomScaleNormal="110" workbookViewId="0">
      <selection activeCell="L114" sqref="L1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386</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98">
        <f>ROUND(D10+F10+H10,5)</f>
        <v>0</v>
      </c>
      <c r="K10" s="222"/>
      <c r="L10" s="355"/>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99">
        <f>SUM('Acct Summary 7-8'!C8,'Acct Summary 7-8'!D8,'Acct Summary 7-8'!F8,'Acct Summary 7-8'!I8)</f>
        <v>15248212</v>
      </c>
      <c r="E16" s="356"/>
      <c r="F16" s="1699">
        <f>SUM('Acct Summary 7-8'!C17,'Acct Summary 7-8'!D17,'Acct Summary 7-8'!F17)</f>
        <v>15906511</v>
      </c>
      <c r="G16" s="356"/>
      <c r="H16" s="1699">
        <f>SUM(D16-F16)</f>
        <v>-658299</v>
      </c>
      <c r="I16" s="222"/>
      <c r="J16" s="1699">
        <f>SUM('Acct Summary 7-8'!C81,'Acct Summary 7-8'!D81,'Acct Summary 7-8'!F81,'Acct Summary 7-8'!I81)</f>
        <v>3023458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99">
        <f>'Short-Term Long-Term Debt 24'!F4</f>
        <v>0</v>
      </c>
      <c r="E22" s="356" t="s">
        <v>1005</v>
      </c>
      <c r="F22" s="1699">
        <f>'Short-Term Long-Term Debt 24'!F15</f>
        <v>0</v>
      </c>
      <c r="G22" s="356" t="s">
        <v>1005</v>
      </c>
      <c r="H22" s="1699">
        <f>'Short-Term Long-Term Debt 24'!F21</f>
        <v>0</v>
      </c>
      <c r="I22" s="356" t="s">
        <v>1005</v>
      </c>
      <c r="J22" s="1699">
        <f>'Short-Term Long-Term Debt 24'!F23</f>
        <v>0</v>
      </c>
      <c r="K22" s="356" t="s">
        <v>1005</v>
      </c>
      <c r="L22" s="169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99">
        <f>'Short-Term Long-Term Debt 24'!F27</f>
        <v>0</v>
      </c>
      <c r="E24" s="356" t="s">
        <v>1006</v>
      </c>
      <c r="F24" s="1700">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1"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0">
        <f>'Assets-Liab 5-6'!N36</f>
        <v>1850000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14999847407452621"/>
  </sheetPr>
  <dimension ref="A1:R44"/>
  <sheetViews>
    <sheetView showGridLines="0" zoomScale="110" zoomScaleNormal="110" workbookViewId="0">
      <selection activeCell="L114" sqref="L1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556</v>
      </c>
      <c r="B2" s="2130"/>
      <c r="C2" s="2130"/>
      <c r="D2" s="2130"/>
      <c r="E2" s="2130"/>
      <c r="F2" s="2130"/>
      <c r="G2" s="2130"/>
      <c r="H2" s="2130"/>
      <c r="I2" s="2130"/>
      <c r="J2" s="2130"/>
      <c r="K2" s="2130"/>
      <c r="L2" s="2130"/>
      <c r="M2" s="2130"/>
      <c r="N2" s="2130"/>
      <c r="O2" s="2130"/>
      <c r="P2" s="2130"/>
      <c r="Q2" s="2130"/>
      <c r="R2" s="2130"/>
    </row>
    <row r="3" spans="1:18" ht="12.75" x14ac:dyDescent="0.2">
      <c r="A3" s="2131" t="s">
        <v>1413</v>
      </c>
      <c r="B3" s="2131"/>
      <c r="C3" s="2131"/>
      <c r="D3" s="2131"/>
      <c r="E3" s="2131"/>
      <c r="F3" s="2131"/>
      <c r="G3" s="2131"/>
      <c r="H3" s="2131"/>
      <c r="I3" s="2131"/>
      <c r="J3" s="2131"/>
      <c r="K3" s="2131"/>
      <c r="L3" s="2131"/>
      <c r="M3" s="2131"/>
      <c r="N3" s="2131"/>
      <c r="O3" s="2131"/>
      <c r="P3" s="2131"/>
      <c r="Q3" s="2131"/>
      <c r="R3" s="2131"/>
    </row>
    <row r="4" spans="1:18" x14ac:dyDescent="0.2">
      <c r="A4" s="2132" t="s">
        <v>1554</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Eisenhower Cooperative</v>
      </c>
      <c r="E7" s="391"/>
      <c r="G7" s="252"/>
      <c r="H7" s="387"/>
      <c r="I7" s="387"/>
      <c r="J7" s="387"/>
      <c r="K7" s="387"/>
      <c r="L7" s="329"/>
      <c r="M7" s="329"/>
      <c r="N7" s="329"/>
      <c r="O7" s="329"/>
      <c r="P7" s="329"/>
    </row>
    <row r="8" spans="1:18" ht="12.75" x14ac:dyDescent="0.2">
      <c r="A8" s="329"/>
      <c r="B8" s="329"/>
      <c r="C8" s="389" t="s">
        <v>1125</v>
      </c>
      <c r="D8" s="392">
        <f>COVER!A13</f>
        <v>7016127561</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3023458</v>
      </c>
      <c r="I12" s="404"/>
      <c r="J12" s="404"/>
      <c r="K12" s="405">
        <f>TRUNC((H12/H13*100000),5)/100000</f>
        <v>0.19828278880000003</v>
      </c>
      <c r="L12" s="406"/>
      <c r="M12" s="360" t="s">
        <v>1144</v>
      </c>
      <c r="N12" s="360"/>
      <c r="O12" s="407">
        <v>0.35</v>
      </c>
      <c r="P12" s="218"/>
      <c r="Q12" s="218"/>
    </row>
    <row r="13" spans="1:18" s="408" customFormat="1" ht="12.75" x14ac:dyDescent="0.2">
      <c r="A13" s="218"/>
      <c r="B13" s="401"/>
      <c r="C13" s="2128" t="s">
        <v>1324</v>
      </c>
      <c r="D13" s="2129"/>
      <c r="E13" s="218"/>
      <c r="F13" s="409" t="s">
        <v>793</v>
      </c>
      <c r="G13" s="402"/>
      <c r="H13" s="403">
        <f>SUM('Acct Summary 7-8'!C8+'Acct Summary 7-8'!D8+'Acct Summary 7-8'!F8+'Acct Summary 7-8'!I8)+H14</f>
        <v>15248212</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15906511</v>
      </c>
      <c r="I17" s="404"/>
      <c r="J17" s="416"/>
      <c r="K17" s="405">
        <f>TRUNC((H17/H18*100000),5)/100000</f>
        <v>1.0431722093</v>
      </c>
      <c r="L17" s="406"/>
      <c r="M17" s="417" t="s">
        <v>1171</v>
      </c>
      <c r="O17" s="418" t="str">
        <f>IF(AND(O16="2", J20 &gt; 2),"1",IF(AND(O16 = "1", J20 &gt; 2),"2",IF(AND(O16="1", J20 &gt;1),"1","0")))</f>
        <v>0</v>
      </c>
      <c r="P17" s="218"/>
    </row>
    <row r="18" spans="1:18" s="408" customFormat="1" ht="11.25" x14ac:dyDescent="0.2">
      <c r="A18" s="218"/>
      <c r="B18" s="401"/>
      <c r="C18" s="2128" t="s">
        <v>1317</v>
      </c>
      <c r="D18" s="2129"/>
      <c r="E18" s="218"/>
      <c r="F18" s="419" t="s">
        <v>794</v>
      </c>
      <c r="G18" s="402"/>
      <c r="H18" s="403">
        <f>SUM('Acct Summary 7-8'!C8+'Acct Summary 7-8'!D8+'Acct Summary 7-8'!F8+'Acct Summary 7-8'!I8)+H19</f>
        <v>15248212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2.276529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25" t="s">
        <v>1412</v>
      </c>
      <c r="D24" s="2125"/>
      <c r="E24" s="218"/>
      <c r="F24" s="218" t="s">
        <v>445</v>
      </c>
      <c r="G24" s="402"/>
      <c r="H24" s="403">
        <f>SUM('Assets-Liab 5-6'!C4+'Assets-Liab 5-6'!D4+'Assets-Liab 5-6'!F4+'Assets-Liab 5-6'!I4+'Assets-Liab 5-6'!C5+'Assets-Liab 5-6'!D5+'Assets-Liab 5-6'!F5+'Assets-Liab 5-6'!I5)</f>
        <v>3064810</v>
      </c>
      <c r="I24" s="422"/>
      <c r="J24" s="422"/>
      <c r="K24" s="423">
        <f>TRUNC(((H24/H25*100000)/100000),2)</f>
        <v>69.36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44184.752780000003</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1850000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14999847407452621"/>
  </sheetPr>
  <dimension ref="A1:N44"/>
  <sheetViews>
    <sheetView showGridLines="0" defaultGridColor="0" colorId="8" zoomScale="110" zoomScaleNormal="110" workbookViewId="0">
      <pane ySplit="2" topLeftCell="A10" activePane="bottomLeft" state="frozen"/>
      <selection activeCell="L114" sqref="L114"/>
      <selection pane="bottomLeft" activeCell="L114" sqref="L1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5" t="s">
        <v>973</v>
      </c>
      <c r="B3" s="2136"/>
      <c r="C3" s="1544"/>
      <c r="D3" s="1545"/>
      <c r="E3" s="1545"/>
      <c r="F3" s="1545"/>
      <c r="G3" s="1545"/>
      <c r="H3" s="1545"/>
      <c r="I3" s="1545"/>
      <c r="J3" s="1545"/>
      <c r="K3" s="1545"/>
      <c r="L3" s="1545"/>
      <c r="M3" s="1546"/>
      <c r="N3" s="1547"/>
    </row>
    <row r="4" spans="1:14" ht="13.5" customHeight="1" x14ac:dyDescent="0.2">
      <c r="A4" s="463" t="s">
        <v>1651</v>
      </c>
      <c r="B4" s="464"/>
      <c r="C4" s="465">
        <v>2013196</v>
      </c>
      <c r="D4" s="466"/>
      <c r="E4" s="466"/>
      <c r="F4" s="466">
        <v>1051614</v>
      </c>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7308</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02" t="s">
        <v>644</v>
      </c>
      <c r="B13" s="1675"/>
      <c r="C13" s="1703">
        <f>SUM(C4:C12)</f>
        <v>2020504</v>
      </c>
      <c r="D13" s="1703">
        <f t="shared" ref="D13:L13" si="0">SUM(D4:D12)</f>
        <v>0</v>
      </c>
      <c r="E13" s="1703">
        <f t="shared" si="0"/>
        <v>0</v>
      </c>
      <c r="F13" s="1703">
        <f t="shared" si="0"/>
        <v>1051614</v>
      </c>
      <c r="G13" s="1703">
        <f t="shared" si="0"/>
        <v>0</v>
      </c>
      <c r="H13" s="1703">
        <f t="shared" si="0"/>
        <v>0</v>
      </c>
      <c r="I13" s="1703">
        <f t="shared" si="0"/>
        <v>0</v>
      </c>
      <c r="J13" s="1703">
        <f t="shared" si="0"/>
        <v>0</v>
      </c>
      <c r="K13" s="1703">
        <f t="shared" si="0"/>
        <v>0</v>
      </c>
      <c r="L13" s="1703">
        <f t="shared" si="0"/>
        <v>0</v>
      </c>
      <c r="M13" s="468"/>
      <c r="N13" s="469"/>
    </row>
    <row r="14" spans="1:14" ht="18" customHeight="1" thickTop="1" x14ac:dyDescent="0.2">
      <c r="A14" s="2137" t="s">
        <v>147</v>
      </c>
      <c r="B14" s="2138"/>
      <c r="C14" s="1548"/>
      <c r="D14" s="1549"/>
      <c r="E14" s="1549"/>
      <c r="F14" s="1549"/>
      <c r="G14" s="1549"/>
      <c r="H14" s="1549"/>
      <c r="I14" s="1549"/>
      <c r="J14" s="1549"/>
      <c r="K14" s="1549"/>
      <c r="L14" s="1549"/>
      <c r="M14" s="1550"/>
      <c r="N14" s="1551"/>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4904733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26'!L13</f>
        <v>138597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1850000</v>
      </c>
    </row>
    <row r="23" spans="1:14" ht="13.5" customHeight="1" thickBot="1" x14ac:dyDescent="0.25">
      <c r="A23" s="1702" t="s">
        <v>643</v>
      </c>
      <c r="B23" s="1707"/>
      <c r="C23" s="468"/>
      <c r="D23" s="468"/>
      <c r="E23" s="468"/>
      <c r="F23" s="468"/>
      <c r="G23" s="468"/>
      <c r="H23" s="468"/>
      <c r="I23" s="468"/>
      <c r="J23" s="468"/>
      <c r="K23" s="468"/>
      <c r="L23" s="468"/>
      <c r="M23" s="1654">
        <f>SUM(M15:M22)</f>
        <v>5043330</v>
      </c>
      <c r="N23" s="1654">
        <f>SUM(N21:N22)</f>
        <v>1850000</v>
      </c>
    </row>
    <row r="24" spans="1:14" ht="18" customHeight="1" thickTop="1" x14ac:dyDescent="0.2">
      <c r="A24" s="2139" t="s">
        <v>598</v>
      </c>
      <c r="B24" s="2140"/>
      <c r="C24" s="1553"/>
      <c r="D24" s="1550"/>
      <c r="E24" s="1550"/>
      <c r="F24" s="1550"/>
      <c r="G24" s="1550"/>
      <c r="H24" s="1550"/>
      <c r="I24" s="1550"/>
      <c r="J24" s="1550"/>
      <c r="K24" s="1550"/>
      <c r="L24" s="1550"/>
      <c r="M24" s="1549"/>
      <c r="N24" s="1554"/>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48660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04" t="s">
        <v>654</v>
      </c>
      <c r="B34" s="1705"/>
      <c r="C34" s="1706">
        <f>SUM(C25:C33)</f>
        <v>48660</v>
      </c>
      <c r="D34" s="1706">
        <f t="shared" ref="D34:K34" si="1">SUM(D25:D33)</f>
        <v>0</v>
      </c>
      <c r="E34" s="1706">
        <f t="shared" si="1"/>
        <v>0</v>
      </c>
      <c r="F34" s="1706">
        <f t="shared" si="1"/>
        <v>0</v>
      </c>
      <c r="G34" s="1706">
        <f t="shared" si="1"/>
        <v>0</v>
      </c>
      <c r="H34" s="1706">
        <f t="shared" si="1"/>
        <v>0</v>
      </c>
      <c r="I34" s="1706">
        <f t="shared" si="1"/>
        <v>0</v>
      </c>
      <c r="J34" s="1706">
        <f t="shared" si="1"/>
        <v>0</v>
      </c>
      <c r="K34" s="1706">
        <f t="shared" si="1"/>
        <v>0</v>
      </c>
      <c r="L34" s="1687">
        <f>SUM(L33)</f>
        <v>0</v>
      </c>
      <c r="M34" s="468"/>
      <c r="N34" s="480"/>
    </row>
    <row r="35" spans="1:14" ht="18" customHeight="1" thickTop="1" x14ac:dyDescent="0.2">
      <c r="A35" s="2141" t="s">
        <v>529</v>
      </c>
      <c r="B35" s="2142"/>
      <c r="C35" s="1555"/>
      <c r="D35" s="1556"/>
      <c r="E35" s="1556"/>
      <c r="F35" s="1556"/>
      <c r="G35" s="1556"/>
      <c r="H35" s="1556"/>
      <c r="I35" s="1556"/>
      <c r="J35" s="1556"/>
      <c r="K35" s="1556"/>
      <c r="L35" s="1556"/>
      <c r="M35" s="1550"/>
      <c r="N35" s="1554"/>
    </row>
    <row r="36" spans="1:14" x14ac:dyDescent="0.2">
      <c r="A36" s="494" t="s">
        <v>1</v>
      </c>
      <c r="B36" s="470">
        <v>511</v>
      </c>
      <c r="C36" s="477"/>
      <c r="D36" s="477"/>
      <c r="E36" s="477"/>
      <c r="F36" s="477"/>
      <c r="G36" s="477"/>
      <c r="H36" s="477"/>
      <c r="I36" s="477"/>
      <c r="J36" s="477"/>
      <c r="K36" s="477"/>
      <c r="L36" s="468"/>
      <c r="M36" s="468"/>
      <c r="N36" s="495">
        <f>'Short-Term Long-Term Debt 24'!I49</f>
        <v>1850000</v>
      </c>
    </row>
    <row r="37" spans="1:14" ht="13.5" thickBot="1" x14ac:dyDescent="0.25">
      <c r="A37" s="1702" t="s">
        <v>653</v>
      </c>
      <c r="B37" s="1707"/>
      <c r="C37" s="477"/>
      <c r="D37" s="477"/>
      <c r="E37" s="477"/>
      <c r="F37" s="477"/>
      <c r="G37" s="477"/>
      <c r="H37" s="477"/>
      <c r="I37" s="477"/>
      <c r="J37" s="477"/>
      <c r="K37" s="477"/>
      <c r="L37" s="480"/>
      <c r="M37" s="468"/>
      <c r="N37" s="1654">
        <f>SUM(N36:N36)</f>
        <v>1850000</v>
      </c>
    </row>
    <row r="38" spans="1:14" s="329" customFormat="1" ht="13.5" customHeight="1" thickTop="1" x14ac:dyDescent="0.2">
      <c r="A38" s="496" t="s">
        <v>420</v>
      </c>
      <c r="B38" s="483">
        <v>714</v>
      </c>
      <c r="C38" s="466">
        <v>7308</v>
      </c>
      <c r="D38" s="466"/>
      <c r="E38" s="466">
        <v>0</v>
      </c>
      <c r="F38" s="466">
        <v>1051614</v>
      </c>
      <c r="G38" s="466"/>
      <c r="H38" s="466"/>
      <c r="I38" s="466"/>
      <c r="J38" s="467"/>
      <c r="K38" s="466"/>
      <c r="L38" s="481"/>
      <c r="M38" s="497"/>
      <c r="N38" s="497"/>
    </row>
    <row r="39" spans="1:14" s="329" customFormat="1" ht="13.5" customHeight="1" x14ac:dyDescent="0.2">
      <c r="A39" s="496" t="s">
        <v>342</v>
      </c>
      <c r="B39" s="483">
        <v>730</v>
      </c>
      <c r="C39" s="466">
        <v>1964536</v>
      </c>
      <c r="D39" s="466"/>
      <c r="E39" s="466">
        <v>0</v>
      </c>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5043330</v>
      </c>
      <c r="N40" s="497"/>
    </row>
    <row r="41" spans="1:14" ht="13.5" customHeight="1" thickBot="1" x14ac:dyDescent="0.25">
      <c r="A41" s="1702" t="s">
        <v>655</v>
      </c>
      <c r="B41" s="1672"/>
      <c r="C41" s="1654">
        <f>(SUM(C34,C37,C38,C39))</f>
        <v>2020504</v>
      </c>
      <c r="D41" s="1654">
        <f t="shared" ref="D41:L41" si="2">SUM(D34,D37,D38:D39)</f>
        <v>0</v>
      </c>
      <c r="E41" s="1654">
        <f t="shared" si="2"/>
        <v>0</v>
      </c>
      <c r="F41" s="1654">
        <f t="shared" si="2"/>
        <v>1051614</v>
      </c>
      <c r="G41" s="1654">
        <f t="shared" si="2"/>
        <v>0</v>
      </c>
      <c r="H41" s="1654">
        <f t="shared" si="2"/>
        <v>0</v>
      </c>
      <c r="I41" s="1654">
        <f t="shared" si="2"/>
        <v>0</v>
      </c>
      <c r="J41" s="1654">
        <f t="shared" si="2"/>
        <v>0</v>
      </c>
      <c r="K41" s="1654">
        <f t="shared" si="2"/>
        <v>0</v>
      </c>
      <c r="L41" s="1654">
        <f t="shared" si="2"/>
        <v>0</v>
      </c>
      <c r="M41" s="1654">
        <f>SUM(M40)</f>
        <v>5043330</v>
      </c>
      <c r="N41" s="1654">
        <f>SUM(N37)</f>
        <v>1850000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M87"/>
  <sheetViews>
    <sheetView showGridLines="0" defaultGridColor="0" colorId="8" zoomScale="110" zoomScaleNormal="110" zoomScaleSheetLayoutView="100" workbookViewId="0">
      <pane ySplit="2" topLeftCell="A54" activePane="bottomLeft" state="frozen"/>
      <selection activeCell="L114" sqref="L114"/>
      <selection pane="bottomLeft" activeCell="L114" sqref="L1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3" t="s">
        <v>1175</v>
      </c>
      <c r="B3" s="2164"/>
      <c r="C3" s="1558"/>
      <c r="D3" s="1559"/>
      <c r="E3" s="1559"/>
      <c r="F3" s="1559"/>
      <c r="G3" s="1559"/>
      <c r="H3" s="1559"/>
      <c r="I3" s="1559"/>
      <c r="J3" s="1559"/>
      <c r="K3" s="1560"/>
      <c r="L3" s="506"/>
    </row>
    <row r="4" spans="1:13" ht="15.75" customHeight="1" x14ac:dyDescent="0.2">
      <c r="A4" s="1884" t="s">
        <v>1499</v>
      </c>
      <c r="B4" s="1885">
        <v>1000</v>
      </c>
      <c r="C4" s="1708">
        <f>'Revenues 9-14'!C109</f>
        <v>9185561</v>
      </c>
      <c r="D4" s="1708">
        <f>'Revenues 9-14'!D109</f>
        <v>0</v>
      </c>
      <c r="E4" s="1708">
        <f>'Revenues 9-14'!E109</f>
        <v>0</v>
      </c>
      <c r="F4" s="1708">
        <f>'Revenues 9-14'!F109</f>
        <v>26474</v>
      </c>
      <c r="G4" s="1708">
        <f>'Revenues 9-14'!G109</f>
        <v>0</v>
      </c>
      <c r="H4" s="1708">
        <f>'Revenues 9-14'!H109</f>
        <v>0</v>
      </c>
      <c r="I4" s="1708">
        <f>'Revenues 9-14'!I109</f>
        <v>0</v>
      </c>
      <c r="J4" s="1708">
        <f>'Revenues 9-14'!J109</f>
        <v>0</v>
      </c>
      <c r="K4" s="1708">
        <f>'Revenues 9-14'!K109</f>
        <v>0</v>
      </c>
      <c r="L4" s="347"/>
    </row>
    <row r="5" spans="1:13" ht="15.75" customHeight="1" x14ac:dyDescent="0.2">
      <c r="A5" s="1561" t="s">
        <v>1500</v>
      </c>
      <c r="B5" s="1562">
        <v>2000</v>
      </c>
      <c r="C5" s="1709">
        <f>'Revenues 9-14'!C114</f>
        <v>0</v>
      </c>
      <c r="D5" s="1709">
        <f>'Revenues 9-14'!D114</f>
        <v>0</v>
      </c>
      <c r="E5" s="508"/>
      <c r="F5" s="1709">
        <f>'Revenues 9-14'!F114</f>
        <v>0</v>
      </c>
      <c r="G5" s="1709">
        <f>'Revenues 9-14'!G114</f>
        <v>0</v>
      </c>
      <c r="H5" s="509" t="s">
        <v>1169</v>
      </c>
      <c r="I5" s="510" t="s">
        <v>1169</v>
      </c>
      <c r="J5" s="511" t="s">
        <v>1169</v>
      </c>
      <c r="K5" s="512" t="s">
        <v>1169</v>
      </c>
      <c r="L5" s="347"/>
    </row>
    <row r="6" spans="1:13" ht="15.75" customHeight="1" x14ac:dyDescent="0.2">
      <c r="A6" s="1561" t="s">
        <v>1501</v>
      </c>
      <c r="B6" s="1563">
        <v>3000</v>
      </c>
      <c r="C6" s="1709">
        <f>'Revenues 9-14'!C170</f>
        <v>1052621</v>
      </c>
      <c r="D6" s="1709">
        <f>'Revenues 9-14'!D170</f>
        <v>0</v>
      </c>
      <c r="E6" s="1709">
        <f>'Revenues 9-14'!E170</f>
        <v>0</v>
      </c>
      <c r="F6" s="1709">
        <f>'Revenues 9-14'!F170</f>
        <v>16018</v>
      </c>
      <c r="G6" s="1709">
        <f>'Revenues 9-14'!G170</f>
        <v>0</v>
      </c>
      <c r="H6" s="1709">
        <f>'Revenues 9-14'!H170</f>
        <v>0</v>
      </c>
      <c r="I6" s="1709">
        <f>'Revenues 9-14'!I170</f>
        <v>0</v>
      </c>
      <c r="J6" s="1709">
        <f>'Revenues 9-14'!J170</f>
        <v>0</v>
      </c>
      <c r="K6" s="1709">
        <f>'Revenues 9-14'!K170</f>
        <v>0</v>
      </c>
      <c r="L6" s="347"/>
      <c r="M6" s="513"/>
    </row>
    <row r="7" spans="1:13" ht="15.75" customHeight="1" x14ac:dyDescent="0.2">
      <c r="A7" s="1561" t="s">
        <v>1502</v>
      </c>
      <c r="B7" s="1563">
        <v>4000</v>
      </c>
      <c r="C7" s="1709">
        <f>'Revenues 9-14'!C267</f>
        <v>4967538</v>
      </c>
      <c r="D7" s="1709">
        <f>'Revenues 9-14'!D267</f>
        <v>0</v>
      </c>
      <c r="E7" s="1709">
        <f>'Revenues 9-14'!E267</f>
        <v>0</v>
      </c>
      <c r="F7" s="1709">
        <f>'Revenues 9-14'!F267</f>
        <v>0</v>
      </c>
      <c r="G7" s="1709">
        <f>'Revenues 9-14'!G267</f>
        <v>0</v>
      </c>
      <c r="H7" s="1709">
        <f>'Revenues 9-14'!H267</f>
        <v>0</v>
      </c>
      <c r="I7" s="1709">
        <f>'Revenues 9-14'!I267</f>
        <v>0</v>
      </c>
      <c r="J7" s="1709">
        <f>'Revenues 9-14'!J267</f>
        <v>0</v>
      </c>
      <c r="K7" s="1709">
        <f>'Revenues 9-14'!K267</f>
        <v>0</v>
      </c>
      <c r="L7" s="347"/>
      <c r="M7" s="513"/>
    </row>
    <row r="8" spans="1:13" ht="13.5" thickBot="1" x14ac:dyDescent="0.25">
      <c r="A8" s="1702" t="s">
        <v>1172</v>
      </c>
      <c r="B8" s="1675"/>
      <c r="C8" s="1654">
        <f>SUM(C4:C7)</f>
        <v>15205720</v>
      </c>
      <c r="D8" s="1654">
        <f t="shared" ref="D8:K8" si="0">SUM(D4:D7)</f>
        <v>0</v>
      </c>
      <c r="E8" s="1654">
        <f t="shared" si="0"/>
        <v>0</v>
      </c>
      <c r="F8" s="1654">
        <f t="shared" si="0"/>
        <v>42492</v>
      </c>
      <c r="G8" s="1654">
        <f t="shared" si="0"/>
        <v>0</v>
      </c>
      <c r="H8" s="1654">
        <f t="shared" si="0"/>
        <v>0</v>
      </c>
      <c r="I8" s="1654">
        <f t="shared" si="0"/>
        <v>0</v>
      </c>
      <c r="J8" s="1654">
        <f t="shared" si="0"/>
        <v>0</v>
      </c>
      <c r="K8" s="1654">
        <f t="shared" si="0"/>
        <v>0</v>
      </c>
      <c r="L8" s="347"/>
    </row>
    <row r="9" spans="1:13" ht="15.75" thickTop="1" x14ac:dyDescent="0.2">
      <c r="A9" s="514" t="s">
        <v>1653</v>
      </c>
      <c r="B9" s="515">
        <v>3998</v>
      </c>
      <c r="C9" s="481">
        <f>59808+3172022</f>
        <v>3231830</v>
      </c>
      <c r="D9" s="516"/>
      <c r="E9" s="481"/>
      <c r="F9" s="481"/>
      <c r="G9" s="517"/>
      <c r="H9" s="481"/>
      <c r="I9" s="509" t="s">
        <v>1169</v>
      </c>
      <c r="J9" s="478"/>
      <c r="K9" s="481"/>
      <c r="L9" s="347"/>
    </row>
    <row r="10" spans="1:13" s="519" customFormat="1" ht="13.5" thickBot="1" x14ac:dyDescent="0.25">
      <c r="A10" s="1702" t="s">
        <v>1173</v>
      </c>
      <c r="B10" s="1675"/>
      <c r="C10" s="1654">
        <f>SUM(C8:C9)</f>
        <v>18437550</v>
      </c>
      <c r="D10" s="1654">
        <f t="shared" ref="D10:K10" si="1">SUM(D8:D9)</f>
        <v>0</v>
      </c>
      <c r="E10" s="1654">
        <f t="shared" si="1"/>
        <v>0</v>
      </c>
      <c r="F10" s="1654">
        <f t="shared" si="1"/>
        <v>42492</v>
      </c>
      <c r="G10" s="1654">
        <f t="shared" si="1"/>
        <v>0</v>
      </c>
      <c r="H10" s="1654">
        <f t="shared" si="1"/>
        <v>0</v>
      </c>
      <c r="I10" s="1654">
        <f t="shared" si="1"/>
        <v>0</v>
      </c>
      <c r="J10" s="1654">
        <f t="shared" si="1"/>
        <v>0</v>
      </c>
      <c r="K10" s="1654">
        <f t="shared" si="1"/>
        <v>0</v>
      </c>
      <c r="L10" s="518"/>
    </row>
    <row r="11" spans="1:13" s="519" customFormat="1" ht="16.7" customHeight="1" thickTop="1" x14ac:dyDescent="0.2">
      <c r="A11" s="2137" t="s">
        <v>1176</v>
      </c>
      <c r="B11" s="2138"/>
      <c r="C11" s="1555"/>
      <c r="D11" s="1556"/>
      <c r="E11" s="1556"/>
      <c r="F11" s="1556"/>
      <c r="G11" s="1556"/>
      <c r="H11" s="1556"/>
      <c r="I11" s="1556"/>
      <c r="J11" s="1556"/>
      <c r="K11" s="1557"/>
      <c r="L11" s="518"/>
    </row>
    <row r="12" spans="1:13" ht="15.75" customHeight="1" x14ac:dyDescent="0.2">
      <c r="A12" s="1561" t="s">
        <v>456</v>
      </c>
      <c r="B12" s="1563">
        <v>1000</v>
      </c>
      <c r="C12" s="1708">
        <f>'Expenditures 15-22'!K33</f>
        <v>6413513</v>
      </c>
      <c r="D12" s="520" t="s">
        <v>1169</v>
      </c>
      <c r="E12" s="468" t="s">
        <v>1169</v>
      </c>
      <c r="F12" s="468" t="s">
        <v>1169</v>
      </c>
      <c r="G12" s="1708">
        <f>'Expenditures 15-22'!K229</f>
        <v>0</v>
      </c>
      <c r="H12" s="521"/>
      <c r="I12" s="468" t="s">
        <v>1169</v>
      </c>
      <c r="J12" s="468" t="s">
        <v>1169</v>
      </c>
      <c r="K12" s="521" t="s">
        <v>1169</v>
      </c>
      <c r="L12" s="347"/>
    </row>
    <row r="13" spans="1:13" ht="15.75" customHeight="1" x14ac:dyDescent="0.2">
      <c r="A13" s="1561" t="s">
        <v>457</v>
      </c>
      <c r="B13" s="1563">
        <v>2000</v>
      </c>
      <c r="C13" s="1709">
        <f>'Expenditures 15-22'!K74</f>
        <v>6168136</v>
      </c>
      <c r="D13" s="1709">
        <f>'Expenditures 15-22'!K129</f>
        <v>0</v>
      </c>
      <c r="E13" s="469" t="s">
        <v>1169</v>
      </c>
      <c r="F13" s="1709">
        <f>'Expenditures 15-22'!K184</f>
        <v>0</v>
      </c>
      <c r="G13" s="1709">
        <f>'Expenditures 15-22'!K279</f>
        <v>0</v>
      </c>
      <c r="H13" s="1709">
        <f>'Expenditures 15-22'!K303</f>
        <v>0</v>
      </c>
      <c r="I13" s="468" t="s">
        <v>1169</v>
      </c>
      <c r="J13" s="1709">
        <f>'Expenditures 15-22'!K330</f>
        <v>0</v>
      </c>
      <c r="K13" s="1713">
        <f>'Expenditures 15-22'!K352</f>
        <v>0</v>
      </c>
      <c r="L13" s="347"/>
    </row>
    <row r="14" spans="1:13" ht="15.75" customHeight="1" x14ac:dyDescent="0.2">
      <c r="A14" s="1561" t="s">
        <v>449</v>
      </c>
      <c r="B14" s="1563">
        <v>3000</v>
      </c>
      <c r="C14" s="1709">
        <f>'Expenditures 15-22'!K75</f>
        <v>0</v>
      </c>
      <c r="D14" s="1709">
        <f>'Expenditures 15-22'!K130</f>
        <v>0</v>
      </c>
      <c r="E14" s="520" t="s">
        <v>1169</v>
      </c>
      <c r="F14" s="1709">
        <f>'Expenditures 15-22'!K185</f>
        <v>0</v>
      </c>
      <c r="G14" s="1709">
        <f>'Expenditures 15-22'!K280</f>
        <v>0</v>
      </c>
      <c r="H14" s="512"/>
      <c r="I14" s="468" t="s">
        <v>1169</v>
      </c>
      <c r="J14" s="468" t="s">
        <v>1169</v>
      </c>
      <c r="K14" s="512" t="s">
        <v>1169</v>
      </c>
      <c r="L14" s="347"/>
    </row>
    <row r="15" spans="1:13" ht="15.75" customHeight="1" x14ac:dyDescent="0.2">
      <c r="A15" s="1561" t="s">
        <v>107</v>
      </c>
      <c r="B15" s="1563">
        <v>4000</v>
      </c>
      <c r="C15" s="1709">
        <f>'Expenditures 15-22'!K102</f>
        <v>3324862</v>
      </c>
      <c r="D15" s="1709">
        <f>'Expenditures 15-22'!K139</f>
        <v>0</v>
      </c>
      <c r="E15" s="1709">
        <f>'Expenditures 15-22'!K160</f>
        <v>0</v>
      </c>
      <c r="F15" s="1709">
        <f>'Expenditures 15-22'!K196</f>
        <v>0</v>
      </c>
      <c r="G15" s="1709">
        <f>'Expenditures 15-22'!K285</f>
        <v>0</v>
      </c>
      <c r="H15" s="1709">
        <f>'Expenditures 15-22'!K310</f>
        <v>0</v>
      </c>
      <c r="I15" s="468" t="s">
        <v>1169</v>
      </c>
      <c r="J15" s="1795">
        <f>'Expenditures 15-22'!K334</f>
        <v>0</v>
      </c>
      <c r="K15" s="1709">
        <f>'Expenditures 15-22'!K357</f>
        <v>0</v>
      </c>
      <c r="L15" s="347"/>
    </row>
    <row r="16" spans="1:13" ht="15.75" customHeight="1" x14ac:dyDescent="0.2">
      <c r="A16" s="1561" t="s">
        <v>450</v>
      </c>
      <c r="B16" s="1563">
        <v>5000</v>
      </c>
      <c r="C16" s="1709">
        <f>'Expenditures 15-22'!K112</f>
        <v>0</v>
      </c>
      <c r="D16" s="1709">
        <f>'Expenditures 15-22'!K149</f>
        <v>0</v>
      </c>
      <c r="E16" s="1709">
        <f>'Expenditures 15-22'!K172</f>
        <v>555623</v>
      </c>
      <c r="F16" s="1709">
        <f>'Expenditures 15-22'!K208</f>
        <v>0</v>
      </c>
      <c r="G16" s="1709">
        <f>'Expenditures 15-22'!K293</f>
        <v>0</v>
      </c>
      <c r="H16" s="523"/>
      <c r="I16" s="468" t="s">
        <v>1169</v>
      </c>
      <c r="J16" s="1714">
        <f>'Expenditures 15-22'!K340</f>
        <v>0</v>
      </c>
      <c r="K16" s="1709">
        <f>'Expenditures 15-22'!K365</f>
        <v>0</v>
      </c>
      <c r="L16" s="347"/>
    </row>
    <row r="17" spans="1:12" ht="13.5" thickBot="1" x14ac:dyDescent="0.25">
      <c r="A17" s="1674" t="s">
        <v>48</v>
      </c>
      <c r="B17" s="1675"/>
      <c r="C17" s="1654">
        <f t="shared" ref="C17:H17" si="2">SUM(C12:C16)</f>
        <v>15906511</v>
      </c>
      <c r="D17" s="1654">
        <f t="shared" si="2"/>
        <v>0</v>
      </c>
      <c r="E17" s="1654">
        <f t="shared" si="2"/>
        <v>555623</v>
      </c>
      <c r="F17" s="1654">
        <f t="shared" si="2"/>
        <v>0</v>
      </c>
      <c r="G17" s="1654">
        <f t="shared" si="2"/>
        <v>0</v>
      </c>
      <c r="H17" s="1654">
        <f t="shared" si="2"/>
        <v>0</v>
      </c>
      <c r="I17" s="468"/>
      <c r="J17" s="1654">
        <f>SUM(J12:J16)</f>
        <v>0</v>
      </c>
      <c r="K17" s="1654">
        <f>SUM(K12:K16)</f>
        <v>0</v>
      </c>
      <c r="L17" s="347"/>
    </row>
    <row r="18" spans="1:12" ht="15" customHeight="1" thickTop="1" x14ac:dyDescent="0.2">
      <c r="A18" s="1710" t="s">
        <v>1654</v>
      </c>
      <c r="B18" s="1711">
        <v>4180</v>
      </c>
      <c r="C18" s="1708">
        <f t="shared" ref="C18:H18" si="3">C9</f>
        <v>3231830</v>
      </c>
      <c r="D18" s="1708">
        <f t="shared" si="3"/>
        <v>0</v>
      </c>
      <c r="E18" s="1708">
        <f t="shared" si="3"/>
        <v>0</v>
      </c>
      <c r="F18" s="1708">
        <f t="shared" si="3"/>
        <v>0</v>
      </c>
      <c r="G18" s="1708">
        <f t="shared" si="3"/>
        <v>0</v>
      </c>
      <c r="H18" s="1708">
        <f t="shared" si="3"/>
        <v>0</v>
      </c>
      <c r="I18" s="468"/>
      <c r="J18" s="1708">
        <f>J9</f>
        <v>0</v>
      </c>
      <c r="K18" s="1708">
        <f>K9</f>
        <v>0</v>
      </c>
      <c r="L18" s="347"/>
    </row>
    <row r="19" spans="1:12" ht="13.5" thickBot="1" x14ac:dyDescent="0.25">
      <c r="A19" s="1674" t="s">
        <v>505</v>
      </c>
      <c r="B19" s="1675"/>
      <c r="C19" s="1654">
        <f t="shared" ref="C19:H19" si="4">SUM(C17:C18)</f>
        <v>19138341</v>
      </c>
      <c r="D19" s="1654">
        <f t="shared" si="4"/>
        <v>0</v>
      </c>
      <c r="E19" s="1654">
        <f t="shared" si="4"/>
        <v>555623</v>
      </c>
      <c r="F19" s="1654">
        <f t="shared" si="4"/>
        <v>0</v>
      </c>
      <c r="G19" s="1654">
        <f t="shared" si="4"/>
        <v>0</v>
      </c>
      <c r="H19" s="1654">
        <f t="shared" si="4"/>
        <v>0</v>
      </c>
      <c r="I19" s="468"/>
      <c r="J19" s="1654">
        <f>SUM(J17:J18)</f>
        <v>0</v>
      </c>
      <c r="K19" s="1654">
        <f>SUM(K17:K18)</f>
        <v>0</v>
      </c>
      <c r="L19" s="347"/>
    </row>
    <row r="20" spans="1:12" ht="16.5" thickTop="1" thickBot="1" x14ac:dyDescent="0.25">
      <c r="A20" s="2153" t="s">
        <v>1655</v>
      </c>
      <c r="B20" s="2154"/>
      <c r="C20" s="1712">
        <f>C8-C17</f>
        <v>-700791</v>
      </c>
      <c r="D20" s="1712">
        <f t="shared" ref="D20:K20" si="5">D8-D17</f>
        <v>0</v>
      </c>
      <c r="E20" s="1712">
        <f t="shared" si="5"/>
        <v>-555623</v>
      </c>
      <c r="F20" s="1712">
        <f t="shared" si="5"/>
        <v>42492</v>
      </c>
      <c r="G20" s="1712">
        <f t="shared" si="5"/>
        <v>0</v>
      </c>
      <c r="H20" s="1712">
        <f t="shared" si="5"/>
        <v>0</v>
      </c>
      <c r="I20" s="1712">
        <f t="shared" si="5"/>
        <v>0</v>
      </c>
      <c r="J20" s="1712">
        <f t="shared" si="5"/>
        <v>0</v>
      </c>
      <c r="K20" s="1712">
        <f t="shared" si="5"/>
        <v>0</v>
      </c>
      <c r="L20" s="347"/>
    </row>
    <row r="21" spans="1:12" ht="16.7" customHeight="1" thickTop="1" x14ac:dyDescent="0.2">
      <c r="A21" s="2165" t="s">
        <v>595</v>
      </c>
      <c r="B21" s="2166"/>
      <c r="C21" s="1555"/>
      <c r="D21" s="1556"/>
      <c r="E21" s="1556"/>
      <c r="F21" s="1556"/>
      <c r="G21" s="1556"/>
      <c r="H21" s="1556"/>
      <c r="I21" s="1556"/>
      <c r="J21" s="1556"/>
      <c r="K21" s="1557"/>
      <c r="L21" s="524"/>
    </row>
    <row r="22" spans="1:12" ht="15.75" customHeight="1" collapsed="1" x14ac:dyDescent="0.2">
      <c r="A22" s="2161" t="s">
        <v>596</v>
      </c>
      <c r="B22" s="2162"/>
      <c r="C22" s="477"/>
      <c r="D22" s="477"/>
      <c r="E22" s="477"/>
      <c r="F22" s="477"/>
      <c r="G22" s="477"/>
      <c r="H22" s="477"/>
      <c r="I22" s="477"/>
      <c r="J22" s="477"/>
      <c r="K22" s="477"/>
      <c r="L22" s="347"/>
    </row>
    <row r="23" spans="1:12" s="485" customFormat="1" ht="15.75" customHeight="1" x14ac:dyDescent="0.2">
      <c r="A23" s="2157" t="s">
        <v>293</v>
      </c>
      <c r="B23" s="215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59" t="s">
        <v>981</v>
      </c>
      <c r="B32" s="2160"/>
      <c r="C32" s="477"/>
      <c r="D32" s="477"/>
      <c r="E32" s="475"/>
      <c r="F32" s="477"/>
      <c r="G32" s="477"/>
      <c r="H32" s="477"/>
      <c r="I32" s="477"/>
      <c r="J32" s="477"/>
      <c r="K32" s="477"/>
      <c r="L32" s="524"/>
    </row>
    <row r="33" spans="1:12" s="485" customFormat="1" x14ac:dyDescent="0.2">
      <c r="A33" s="1489" t="s">
        <v>412</v>
      </c>
      <c r="B33" s="525">
        <v>7210</v>
      </c>
      <c r="C33" s="467"/>
      <c r="D33" s="467"/>
      <c r="E33" s="467">
        <v>2305000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09">
        <f>SUM(C54:D57,H54:H57)</f>
        <v>0</v>
      </c>
      <c r="F37" s="475"/>
      <c r="G37" s="475"/>
      <c r="H37" s="475"/>
      <c r="I37" s="477"/>
      <c r="J37" s="475"/>
      <c r="K37" s="475"/>
      <c r="L37" s="524"/>
    </row>
    <row r="38" spans="1:12" s="485" customFormat="1" x14ac:dyDescent="0.2">
      <c r="A38" s="1489" t="s">
        <v>442</v>
      </c>
      <c r="B38" s="525">
        <v>7500</v>
      </c>
      <c r="C38" s="477"/>
      <c r="D38" s="477"/>
      <c r="E38" s="1709">
        <f>SUM(C58:D61,H58:H61)</f>
        <v>0</v>
      </c>
      <c r="F38" s="477"/>
      <c r="G38" s="477"/>
      <c r="H38" s="477"/>
      <c r="I38" s="477"/>
      <c r="J38" s="477"/>
      <c r="K38" s="477"/>
      <c r="L38" s="524"/>
    </row>
    <row r="39" spans="1:12" s="485" customFormat="1" x14ac:dyDescent="0.2">
      <c r="A39" s="1489" t="s">
        <v>443</v>
      </c>
      <c r="B39" s="525">
        <v>7600</v>
      </c>
      <c r="C39" s="477"/>
      <c r="D39" s="477"/>
      <c r="E39" s="1709">
        <f>SUM(C62:D65)</f>
        <v>0</v>
      </c>
      <c r="F39" s="477"/>
      <c r="G39" s="477"/>
      <c r="H39" s="477"/>
      <c r="I39" s="477"/>
      <c r="J39" s="477"/>
      <c r="K39" s="477"/>
      <c r="L39" s="524"/>
    </row>
    <row r="40" spans="1:12" s="485" customFormat="1" ht="13.5" customHeight="1" x14ac:dyDescent="0.2">
      <c r="A40" s="1489" t="s">
        <v>642</v>
      </c>
      <c r="B40" s="483">
        <v>7700</v>
      </c>
      <c r="C40" s="477"/>
      <c r="D40" s="477"/>
      <c r="E40" s="1709">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09">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555623</v>
      </c>
      <c r="F43" s="467"/>
      <c r="G43" s="467"/>
      <c r="H43" s="467"/>
      <c r="I43" s="467"/>
      <c r="J43" s="467"/>
      <c r="K43" s="467"/>
      <c r="L43" s="524"/>
    </row>
    <row r="44" spans="1:12" s="485" customFormat="1" ht="13.5" customHeight="1" thickBot="1" x14ac:dyDescent="0.25">
      <c r="A44" s="2167" t="s">
        <v>374</v>
      </c>
      <c r="B44" s="2168"/>
      <c r="C44" s="1669">
        <f>SUM(C24:C43)</f>
        <v>0</v>
      </c>
      <c r="D44" s="1669">
        <f t="shared" ref="D44:K44" si="6">SUM(D24:D43)</f>
        <v>0</v>
      </c>
      <c r="E44" s="1669">
        <f t="shared" si="6"/>
        <v>2860623</v>
      </c>
      <c r="F44" s="1669">
        <f t="shared" si="6"/>
        <v>0</v>
      </c>
      <c r="G44" s="1669">
        <f t="shared" si="6"/>
        <v>0</v>
      </c>
      <c r="H44" s="1669">
        <f t="shared" si="6"/>
        <v>0</v>
      </c>
      <c r="I44" s="1669">
        <f t="shared" si="6"/>
        <v>0</v>
      </c>
      <c r="J44" s="1669">
        <f t="shared" si="6"/>
        <v>0</v>
      </c>
      <c r="K44" s="1669">
        <f t="shared" si="6"/>
        <v>0</v>
      </c>
      <c r="L44" s="524"/>
    </row>
    <row r="45" spans="1:12" ht="15.75" customHeight="1" thickTop="1" x14ac:dyDescent="0.2">
      <c r="A45" s="2161" t="s">
        <v>108</v>
      </c>
      <c r="B45" s="2162"/>
      <c r="C45" s="528"/>
      <c r="D45" s="528"/>
      <c r="E45" s="528"/>
      <c r="F45" s="528"/>
      <c r="G45" s="528"/>
      <c r="H45" s="528"/>
      <c r="I45" s="528"/>
      <c r="J45" s="528"/>
      <c r="K45" s="528"/>
      <c r="L45" s="347"/>
    </row>
    <row r="46" spans="1:12" s="485" customFormat="1" ht="15.75" customHeight="1" x14ac:dyDescent="0.2">
      <c r="A46" s="2169" t="s">
        <v>109</v>
      </c>
      <c r="B46" s="217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09">
        <f>SUM(C24,C25:H25,J25:K25)</f>
        <v>0</v>
      </c>
      <c r="J47" s="477"/>
      <c r="K47" s="477"/>
      <c r="L47" s="529"/>
    </row>
    <row r="48" spans="1:12" s="485" customFormat="1" ht="15" x14ac:dyDescent="0.2">
      <c r="A48" s="1490" t="s">
        <v>1660</v>
      </c>
      <c r="B48" s="483">
        <v>8120</v>
      </c>
      <c r="C48" s="480"/>
      <c r="D48" s="480"/>
      <c r="E48" s="477"/>
      <c r="F48" s="480"/>
      <c r="G48" s="477"/>
      <c r="H48" s="477"/>
      <c r="I48" s="1709">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09">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09">
        <f>D30</f>
        <v>0</v>
      </c>
      <c r="L52" s="524"/>
    </row>
    <row r="53" spans="1:12" s="485" customFormat="1" ht="26.25" x14ac:dyDescent="0.2">
      <c r="A53" s="1490" t="s">
        <v>1793</v>
      </c>
      <c r="B53" s="483">
        <v>8170</v>
      </c>
      <c r="C53" s="480"/>
      <c r="D53" s="480"/>
      <c r="E53" s="477"/>
      <c r="F53" s="477"/>
      <c r="G53" s="477"/>
      <c r="H53" s="480"/>
      <c r="I53" s="477"/>
      <c r="J53" s="477"/>
      <c r="K53" s="1709">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555623</v>
      </c>
      <c r="D75" s="531"/>
      <c r="E75" s="530">
        <v>2305000</v>
      </c>
      <c r="F75" s="532"/>
      <c r="G75" s="532"/>
      <c r="H75" s="532"/>
      <c r="I75" s="530"/>
      <c r="J75" s="530"/>
      <c r="K75" s="532"/>
      <c r="L75" s="524"/>
    </row>
    <row r="76" spans="1:12" s="485" customFormat="1" ht="14.25" thickTop="1" thickBot="1" x14ac:dyDescent="0.25">
      <c r="A76" s="2143" t="s">
        <v>440</v>
      </c>
      <c r="B76" s="2144"/>
      <c r="C76" s="1669">
        <f t="shared" ref="C76:K76" si="7">SUM(C47:C75)</f>
        <v>555623</v>
      </c>
      <c r="D76" s="1669">
        <f t="shared" si="7"/>
        <v>0</v>
      </c>
      <c r="E76" s="1669">
        <f t="shared" si="7"/>
        <v>2305000</v>
      </c>
      <c r="F76" s="1669">
        <f t="shared" si="7"/>
        <v>0</v>
      </c>
      <c r="G76" s="1669">
        <f t="shared" si="7"/>
        <v>0</v>
      </c>
      <c r="H76" s="1669">
        <f t="shared" si="7"/>
        <v>0</v>
      </c>
      <c r="I76" s="1669">
        <f t="shared" si="7"/>
        <v>0</v>
      </c>
      <c r="J76" s="1669">
        <f t="shared" si="7"/>
        <v>0</v>
      </c>
      <c r="K76" s="1669">
        <f t="shared" si="7"/>
        <v>0</v>
      </c>
      <c r="L76" s="524"/>
    </row>
    <row r="77" spans="1:12" ht="14.25" thickTop="1" thickBot="1" x14ac:dyDescent="0.25">
      <c r="A77" s="2145" t="s">
        <v>1177</v>
      </c>
      <c r="B77" s="2146"/>
      <c r="C77" s="1669">
        <f t="shared" ref="C77:K77" si="8">C44-C76</f>
        <v>-555623</v>
      </c>
      <c r="D77" s="1669">
        <f t="shared" si="8"/>
        <v>0</v>
      </c>
      <c r="E77" s="1669">
        <f t="shared" si="8"/>
        <v>555623</v>
      </c>
      <c r="F77" s="1669">
        <f t="shared" si="8"/>
        <v>0</v>
      </c>
      <c r="G77" s="1669">
        <f t="shared" si="8"/>
        <v>0</v>
      </c>
      <c r="H77" s="1669">
        <f t="shared" si="8"/>
        <v>0</v>
      </c>
      <c r="I77" s="1669">
        <f t="shared" si="8"/>
        <v>0</v>
      </c>
      <c r="J77" s="1669">
        <f t="shared" si="8"/>
        <v>0</v>
      </c>
      <c r="K77" s="1669">
        <f t="shared" si="8"/>
        <v>0</v>
      </c>
      <c r="L77" s="347"/>
    </row>
    <row r="78" spans="1:12" ht="21.75" customHeight="1" thickTop="1" thickBot="1" x14ac:dyDescent="0.25">
      <c r="A78" s="2149" t="s">
        <v>597</v>
      </c>
      <c r="B78" s="2150"/>
      <c r="C78" s="1668">
        <f t="shared" ref="C78:K78" si="9">C20+C77</f>
        <v>-1256414</v>
      </c>
      <c r="D78" s="1668">
        <f t="shared" si="9"/>
        <v>0</v>
      </c>
      <c r="E78" s="1668">
        <f t="shared" si="9"/>
        <v>0</v>
      </c>
      <c r="F78" s="1668">
        <f t="shared" si="9"/>
        <v>42492</v>
      </c>
      <c r="G78" s="1668">
        <f t="shared" si="9"/>
        <v>0</v>
      </c>
      <c r="H78" s="1668">
        <f t="shared" si="9"/>
        <v>0</v>
      </c>
      <c r="I78" s="1668">
        <f t="shared" si="9"/>
        <v>0</v>
      </c>
      <c r="J78" s="1668">
        <f t="shared" si="9"/>
        <v>0</v>
      </c>
      <c r="K78" s="1668">
        <f t="shared" si="9"/>
        <v>0</v>
      </c>
      <c r="L78" s="533"/>
    </row>
    <row r="79" spans="1:12" ht="13.5" thickTop="1" x14ac:dyDescent="0.2">
      <c r="A79" s="1494" t="s">
        <v>1944</v>
      </c>
      <c r="B79" s="534"/>
      <c r="C79" s="478">
        <v>3228258</v>
      </c>
      <c r="D79" s="535"/>
      <c r="E79" s="535">
        <v>0</v>
      </c>
      <c r="F79" s="535">
        <v>1009122</v>
      </c>
      <c r="G79" s="535"/>
      <c r="H79" s="535"/>
      <c r="I79" s="535"/>
      <c r="J79" s="535"/>
      <c r="K79" s="535"/>
      <c r="L79" s="347"/>
    </row>
    <row r="80" spans="1:12" x14ac:dyDescent="0.2">
      <c r="A80" s="2155" t="s">
        <v>1792</v>
      </c>
      <c r="B80" s="2156"/>
      <c r="C80" s="467"/>
      <c r="D80" s="467"/>
      <c r="E80" s="467"/>
      <c r="F80" s="467"/>
      <c r="G80" s="467"/>
      <c r="H80" s="467"/>
      <c r="I80" s="467"/>
      <c r="J80" s="467"/>
      <c r="K80" s="467"/>
      <c r="L80" s="347"/>
    </row>
    <row r="81" spans="1:12" ht="13.5" thickBot="1" x14ac:dyDescent="0.25">
      <c r="A81" s="2147" t="s">
        <v>1945</v>
      </c>
      <c r="B81" s="2148"/>
      <c r="C81" s="1654">
        <f>(SUM(C78:C80))</f>
        <v>1971844</v>
      </c>
      <c r="D81" s="1654">
        <f>SUM(D78:D80)</f>
        <v>0</v>
      </c>
      <c r="E81" s="1654">
        <f t="shared" ref="E81:K81" si="10">SUM(E78:E80)</f>
        <v>0</v>
      </c>
      <c r="F81" s="1654">
        <f t="shared" si="10"/>
        <v>1051614</v>
      </c>
      <c r="G81" s="1654">
        <f t="shared" si="10"/>
        <v>0</v>
      </c>
      <c r="H81" s="1654">
        <f t="shared" si="10"/>
        <v>0</v>
      </c>
      <c r="I81" s="1654">
        <f t="shared" si="10"/>
        <v>0</v>
      </c>
      <c r="J81" s="1654">
        <f t="shared" si="10"/>
        <v>0</v>
      </c>
      <c r="K81" s="1654">
        <f t="shared" si="10"/>
        <v>0</v>
      </c>
      <c r="L81" s="347"/>
    </row>
    <row r="82" spans="1:12" ht="0.75" customHeight="1" thickTop="1" thickBot="1" x14ac:dyDescent="0.25">
      <c r="A82" s="536" t="s">
        <v>343</v>
      </c>
      <c r="B82" s="537"/>
      <c r="C82" s="538">
        <f>(C81-C79)</f>
        <v>-1256414</v>
      </c>
      <c r="D82" s="538">
        <f t="shared" ref="D82:K82" si="11">(D81-D79)</f>
        <v>0</v>
      </c>
      <c r="E82" s="538">
        <f t="shared" si="11"/>
        <v>0</v>
      </c>
      <c r="F82" s="538">
        <f t="shared" si="11"/>
        <v>42492</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-0.63717718034489546</v>
      </c>
      <c r="D83" s="540" t="e">
        <f t="shared" ref="D83:K83" si="12">D82/D81</f>
        <v>#DIV/0!</v>
      </c>
      <c r="E83" s="540" t="e">
        <f t="shared" si="12"/>
        <v>#DIV/0!</v>
      </c>
      <c r="F83" s="540">
        <f t="shared" si="12"/>
        <v>4.0406460925776946E-2</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L279"/>
  <sheetViews>
    <sheetView showGridLines="0" defaultGridColor="0" colorId="8" zoomScale="110" zoomScaleNormal="110" zoomScaleSheetLayoutView="75" workbookViewId="0">
      <pane ySplit="2" topLeftCell="A3" activePane="bottomLeft" state="frozen"/>
      <selection activeCell="L114" sqref="L114"/>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1" t="s">
        <v>1799</v>
      </c>
      <c r="B1" s="452"/>
      <c r="C1" s="453" t="s">
        <v>425</v>
      </c>
      <c r="D1" s="453" t="s">
        <v>426</v>
      </c>
      <c r="E1" s="453" t="s">
        <v>427</v>
      </c>
      <c r="F1" s="453" t="s">
        <v>428</v>
      </c>
      <c r="G1" s="453" t="s">
        <v>429</v>
      </c>
      <c r="H1" s="453" t="s">
        <v>430</v>
      </c>
      <c r="I1" s="453" t="s">
        <v>431</v>
      </c>
      <c r="J1" s="453" t="s">
        <v>432</v>
      </c>
      <c r="K1" s="453" t="s">
        <v>756</v>
      </c>
    </row>
    <row r="2" spans="1:12" ht="36" x14ac:dyDescent="0.2">
      <c r="A2" s="215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64" t="s">
        <v>113</v>
      </c>
      <c r="B3" s="1565"/>
      <c r="C3" s="1566"/>
      <c r="D3" s="1566"/>
      <c r="E3" s="1566"/>
      <c r="F3" s="1567"/>
      <c r="G3" s="1568"/>
      <c r="H3" s="1567"/>
      <c r="I3" s="1567"/>
      <c r="J3" s="1567"/>
      <c r="K3" s="1569"/>
    </row>
    <row r="4" spans="1:12" ht="15.75" customHeight="1" x14ac:dyDescent="0.2">
      <c r="A4" s="1575" t="s">
        <v>379</v>
      </c>
      <c r="B4" s="1576">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71" t="s">
        <v>29</v>
      </c>
      <c r="B12" s="1672"/>
      <c r="C12" s="1673">
        <f t="shared" ref="C12:K12" si="0">SUM(C5:C11)</f>
        <v>0</v>
      </c>
      <c r="D12" s="1673">
        <f t="shared" si="0"/>
        <v>0</v>
      </c>
      <c r="E12" s="1673">
        <f t="shared" si="0"/>
        <v>0</v>
      </c>
      <c r="F12" s="1673">
        <f t="shared" si="0"/>
        <v>0</v>
      </c>
      <c r="G12" s="1673">
        <f t="shared" si="0"/>
        <v>0</v>
      </c>
      <c r="H12" s="1673">
        <f t="shared" si="0"/>
        <v>0</v>
      </c>
      <c r="I12" s="1673">
        <f t="shared" si="0"/>
        <v>0</v>
      </c>
      <c r="J12" s="1673">
        <f t="shared" si="0"/>
        <v>0</v>
      </c>
      <c r="K12" s="1654">
        <f t="shared" si="0"/>
        <v>0</v>
      </c>
    </row>
    <row r="13" spans="1:12" ht="15.75" customHeight="1" thickTop="1" x14ac:dyDescent="0.2">
      <c r="A13" s="1577" t="s">
        <v>451</v>
      </c>
      <c r="B13" s="157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74" t="s">
        <v>537</v>
      </c>
      <c r="B18" s="1675"/>
      <c r="C18" s="1676">
        <f>SUM(C14:C17)</f>
        <v>0</v>
      </c>
      <c r="D18" s="1676">
        <f t="shared" ref="D18:K18" si="1">SUM(D14:D17)</f>
        <v>0</v>
      </c>
      <c r="E18" s="1676">
        <f t="shared" si="1"/>
        <v>0</v>
      </c>
      <c r="F18" s="1676">
        <f t="shared" si="1"/>
        <v>0</v>
      </c>
      <c r="G18" s="1676">
        <f t="shared" si="1"/>
        <v>0</v>
      </c>
      <c r="H18" s="1676">
        <f t="shared" si="1"/>
        <v>0</v>
      </c>
      <c r="I18" s="1676">
        <f t="shared" si="1"/>
        <v>0</v>
      </c>
      <c r="J18" s="1676">
        <f t="shared" si="1"/>
        <v>0</v>
      </c>
      <c r="K18" s="1677">
        <f t="shared" si="1"/>
        <v>0</v>
      </c>
    </row>
    <row r="19" spans="1:11" ht="15.75" customHeight="1" thickTop="1" x14ac:dyDescent="0.2">
      <c r="A19" s="1577" t="s">
        <v>452</v>
      </c>
      <c r="B19" s="1578">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f>8520086-405</f>
        <v>8519681</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674" t="s">
        <v>538</v>
      </c>
      <c r="B40" s="1675"/>
      <c r="C40" s="1654">
        <f>SUM(C20:C39)</f>
        <v>8519681</v>
      </c>
      <c r="D40" s="468"/>
      <c r="E40" s="468"/>
      <c r="F40" s="468"/>
      <c r="G40" s="468"/>
      <c r="H40" s="468"/>
      <c r="I40" s="468"/>
      <c r="J40" s="468"/>
      <c r="K40" s="468"/>
    </row>
    <row r="41" spans="1:11" ht="15.75" customHeight="1" thickTop="1" x14ac:dyDescent="0.2">
      <c r="A41" s="1577" t="s">
        <v>274</v>
      </c>
      <c r="B41" s="1578">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674" t="s">
        <v>485</v>
      </c>
      <c r="B63" s="1675"/>
      <c r="C63" s="468"/>
      <c r="D63" s="468"/>
      <c r="E63" s="468"/>
      <c r="F63" s="1654">
        <f>SUM(F42:F62)</f>
        <v>0</v>
      </c>
      <c r="G63" s="468"/>
      <c r="H63" s="468"/>
      <c r="I63" s="468"/>
      <c r="J63" s="468"/>
      <c r="K63" s="468"/>
    </row>
    <row r="64" spans="1:11" ht="15.75" customHeight="1" thickTop="1" x14ac:dyDescent="0.2">
      <c r="A64" s="1577" t="s">
        <v>454</v>
      </c>
      <c r="B64" s="1578">
        <v>1500</v>
      </c>
      <c r="C64" s="468"/>
      <c r="D64" s="468"/>
      <c r="E64" s="468"/>
      <c r="F64" s="468"/>
      <c r="G64" s="468"/>
      <c r="H64" s="468"/>
      <c r="I64" s="468"/>
      <c r="J64" s="468"/>
      <c r="K64" s="468"/>
    </row>
    <row r="65" spans="1:11" ht="12.75" customHeight="1" x14ac:dyDescent="0.2">
      <c r="A65" s="463" t="s">
        <v>547</v>
      </c>
      <c r="B65" s="470">
        <v>1510</v>
      </c>
      <c r="C65" s="466">
        <v>115391</v>
      </c>
      <c r="D65" s="466"/>
      <c r="E65" s="466"/>
      <c r="F65" s="467">
        <v>26474</v>
      </c>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74" t="s">
        <v>486</v>
      </c>
      <c r="B67" s="1675"/>
      <c r="C67" s="1654">
        <f>SUM(C65:C66)</f>
        <v>115391</v>
      </c>
      <c r="D67" s="1654">
        <f t="shared" ref="D67:K67" si="2">SUM(D65:D66)</f>
        <v>0</v>
      </c>
      <c r="E67" s="1654">
        <f t="shared" si="2"/>
        <v>0</v>
      </c>
      <c r="F67" s="1654">
        <f t="shared" si="2"/>
        <v>26474</v>
      </c>
      <c r="G67" s="1654">
        <f t="shared" si="2"/>
        <v>0</v>
      </c>
      <c r="H67" s="1654">
        <f t="shared" si="2"/>
        <v>0</v>
      </c>
      <c r="I67" s="1654">
        <f t="shared" si="2"/>
        <v>0</v>
      </c>
      <c r="J67" s="1654">
        <f t="shared" si="2"/>
        <v>0</v>
      </c>
      <c r="K67" s="1654">
        <f t="shared" si="2"/>
        <v>0</v>
      </c>
    </row>
    <row r="68" spans="1:11" ht="15.75" customHeight="1" thickTop="1" x14ac:dyDescent="0.2">
      <c r="A68" s="1577" t="s">
        <v>455</v>
      </c>
      <c r="B68" s="1579">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74" t="s">
        <v>548</v>
      </c>
      <c r="B75" s="1675"/>
      <c r="C75" s="1654">
        <f>SUM(C69:C74)</f>
        <v>0</v>
      </c>
      <c r="D75" s="468"/>
      <c r="E75" s="468"/>
      <c r="F75" s="468"/>
      <c r="G75" s="468"/>
      <c r="H75" s="468"/>
      <c r="I75" s="468"/>
      <c r="J75" s="468"/>
      <c r="K75" s="468"/>
    </row>
    <row r="76" spans="1:11" ht="15.75" customHeight="1" thickTop="1" x14ac:dyDescent="0.2">
      <c r="A76" s="1577" t="s">
        <v>881</v>
      </c>
      <c r="B76" s="1579">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74" t="s">
        <v>241</v>
      </c>
      <c r="B82" s="1675"/>
      <c r="C82" s="1673">
        <f>SUM(C77:C81)</f>
        <v>0</v>
      </c>
      <c r="D82" s="1654">
        <f>SUM(D77:D81)</f>
        <v>0</v>
      </c>
      <c r="E82" s="468"/>
      <c r="F82" s="468"/>
      <c r="G82" s="468"/>
      <c r="H82" s="468"/>
      <c r="I82" s="468"/>
      <c r="J82" s="468"/>
      <c r="K82" s="468"/>
    </row>
    <row r="83" spans="1:11" ht="15.75" customHeight="1" thickTop="1" x14ac:dyDescent="0.2">
      <c r="A83" s="1577" t="s">
        <v>242</v>
      </c>
      <c r="B83" s="1579">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74" t="s">
        <v>243</v>
      </c>
      <c r="B93" s="1675"/>
      <c r="C93" s="1654">
        <f>SUM(C84:C92)</f>
        <v>0</v>
      </c>
      <c r="D93" s="468"/>
      <c r="E93" s="468"/>
      <c r="F93" s="468"/>
      <c r="G93" s="468"/>
      <c r="H93" s="468"/>
      <c r="I93" s="468"/>
      <c r="J93" s="468"/>
      <c r="K93" s="468"/>
    </row>
    <row r="94" spans="1:11" ht="15.75" customHeight="1" thickTop="1" x14ac:dyDescent="0.2">
      <c r="A94" s="1577" t="s">
        <v>1137</v>
      </c>
      <c r="B94" s="1579">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503044</v>
      </c>
      <c r="D98" s="466"/>
      <c r="E98" s="512"/>
      <c r="F98" s="466"/>
      <c r="G98" s="512"/>
      <c r="H98" s="512"/>
      <c r="I98" s="510"/>
      <c r="J98" s="512"/>
      <c r="K98" s="512"/>
    </row>
    <row r="99" spans="1:12" ht="12.75" customHeight="1" x14ac:dyDescent="0.2">
      <c r="A99" s="463" t="s">
        <v>821</v>
      </c>
      <c r="B99" s="470">
        <v>1950</v>
      </c>
      <c r="C99" s="489">
        <v>1344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46101</v>
      </c>
      <c r="D107" s="466"/>
      <c r="E107" s="466"/>
      <c r="F107" s="466"/>
      <c r="G107" s="466"/>
      <c r="H107" s="466"/>
      <c r="I107" s="466"/>
      <c r="J107" s="467"/>
      <c r="K107" s="466"/>
    </row>
    <row r="108" spans="1:12" ht="12.75" customHeight="1" thickBot="1" x14ac:dyDescent="0.25">
      <c r="A108" s="1674" t="s">
        <v>487</v>
      </c>
      <c r="B108" s="1678"/>
      <c r="C108" s="1673">
        <f>SUM(C95:C107)</f>
        <v>550489</v>
      </c>
      <c r="D108" s="1673">
        <f t="shared" ref="D108:K108" si="3">SUM(D95:D107)</f>
        <v>0</v>
      </c>
      <c r="E108" s="1673">
        <f t="shared" si="3"/>
        <v>0</v>
      </c>
      <c r="F108" s="1673">
        <f t="shared" si="3"/>
        <v>0</v>
      </c>
      <c r="G108" s="1673">
        <f t="shared" si="3"/>
        <v>0</v>
      </c>
      <c r="H108" s="1673">
        <f t="shared" si="3"/>
        <v>0</v>
      </c>
      <c r="I108" s="1673">
        <f t="shared" si="3"/>
        <v>0</v>
      </c>
      <c r="J108" s="1673">
        <f t="shared" si="3"/>
        <v>0</v>
      </c>
      <c r="K108" s="1654">
        <f t="shared" si="3"/>
        <v>0</v>
      </c>
    </row>
    <row r="109" spans="1:12" ht="14.25" thickTop="1" thickBot="1" x14ac:dyDescent="0.25">
      <c r="A109" s="1679" t="s">
        <v>248</v>
      </c>
      <c r="B109" s="1680" t="s">
        <v>570</v>
      </c>
      <c r="C109" s="1681">
        <f t="shared" ref="C109:K109" si="4">SUM(C12,C18,C40,C63,C67,C75,C82,C93,C108,)</f>
        <v>9185561</v>
      </c>
      <c r="D109" s="1681">
        <f t="shared" si="4"/>
        <v>0</v>
      </c>
      <c r="E109" s="1681">
        <f t="shared" si="4"/>
        <v>0</v>
      </c>
      <c r="F109" s="1681">
        <f t="shared" si="4"/>
        <v>26474</v>
      </c>
      <c r="G109" s="1681">
        <f t="shared" si="4"/>
        <v>0</v>
      </c>
      <c r="H109" s="1681">
        <f t="shared" si="4"/>
        <v>0</v>
      </c>
      <c r="I109" s="1681">
        <f t="shared" si="4"/>
        <v>0</v>
      </c>
      <c r="J109" s="1681">
        <f t="shared" si="4"/>
        <v>0</v>
      </c>
      <c r="K109" s="1668">
        <f t="shared" si="4"/>
        <v>0</v>
      </c>
    </row>
    <row r="110" spans="1:12" ht="30" customHeight="1" thickTop="1" x14ac:dyDescent="0.2">
      <c r="A110" s="1570" t="s">
        <v>346</v>
      </c>
      <c r="B110" s="1571"/>
      <c r="C110" s="1556"/>
      <c r="D110" s="1556"/>
      <c r="E110" s="1556"/>
      <c r="F110" s="1556"/>
      <c r="G110" s="1556"/>
      <c r="H110" s="1556"/>
      <c r="I110" s="1556"/>
      <c r="J110" s="1556"/>
      <c r="K110" s="1557"/>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82" t="s">
        <v>806</v>
      </c>
      <c r="B114" s="1683" t="s">
        <v>569</v>
      </c>
      <c r="C114" s="1684">
        <f>SUM(C111:C113)</f>
        <v>0</v>
      </c>
      <c r="D114" s="1684">
        <f>SUM(D111:D113)</f>
        <v>0</v>
      </c>
      <c r="E114" s="561" t="s">
        <v>1169</v>
      </c>
      <c r="F114" s="1684">
        <f>SUM(F111:F113)</f>
        <v>0</v>
      </c>
      <c r="G114" s="1684">
        <f>SUM(G111:G113)</f>
        <v>0</v>
      </c>
      <c r="H114" s="561"/>
      <c r="I114" s="468"/>
      <c r="J114" s="468"/>
      <c r="K114" s="468"/>
    </row>
    <row r="115" spans="1:11" ht="16.7" customHeight="1" thickTop="1" x14ac:dyDescent="0.2">
      <c r="A115" s="1572" t="s">
        <v>803</v>
      </c>
      <c r="B115" s="1573"/>
      <c r="C115" s="1555"/>
      <c r="D115" s="1556"/>
      <c r="E115" s="1556"/>
      <c r="F115" s="1556"/>
      <c r="G115" s="1556"/>
      <c r="H115" s="1556"/>
      <c r="I115" s="1556"/>
      <c r="J115" s="1556"/>
      <c r="K115" s="1557"/>
    </row>
    <row r="116" spans="1:11" ht="18" customHeight="1" x14ac:dyDescent="0.2">
      <c r="A116" s="1580" t="s">
        <v>1491</v>
      </c>
      <c r="B116" s="1581"/>
      <c r="C116" s="522"/>
      <c r="D116" s="521"/>
      <c r="E116" s="561"/>
      <c r="F116" s="521"/>
      <c r="G116" s="521"/>
      <c r="H116" s="561"/>
      <c r="I116" s="468"/>
      <c r="J116" s="521"/>
      <c r="K116" s="521"/>
    </row>
    <row r="117" spans="1:11" ht="12.75" customHeight="1" x14ac:dyDescent="0.2">
      <c r="A117" s="463" t="s">
        <v>1667</v>
      </c>
      <c r="B117" s="562">
        <v>3001</v>
      </c>
      <c r="C117" s="516">
        <v>1048432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886"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674" t="s">
        <v>488</v>
      </c>
      <c r="B122" s="1685"/>
      <c r="C122" s="1673">
        <f t="shared" ref="C122:H122" si="5">SUM(C117:C121)</f>
        <v>1048432</v>
      </c>
      <c r="D122" s="1673">
        <f t="shared" si="5"/>
        <v>0</v>
      </c>
      <c r="E122" s="1673">
        <f t="shared" si="5"/>
        <v>0</v>
      </c>
      <c r="F122" s="1673">
        <f t="shared" si="5"/>
        <v>0</v>
      </c>
      <c r="G122" s="1673">
        <f t="shared" si="5"/>
        <v>0</v>
      </c>
      <c r="H122" s="1673">
        <f t="shared" si="5"/>
        <v>0</v>
      </c>
      <c r="I122" s="468"/>
      <c r="J122" s="1673">
        <f>SUM(J117:J121)</f>
        <v>0</v>
      </c>
      <c r="K122" s="1654">
        <f>SUM(K117:K121)</f>
        <v>0</v>
      </c>
    </row>
    <row r="123" spans="1:11" ht="15.75" customHeight="1" thickTop="1" x14ac:dyDescent="0.2">
      <c r="A123" s="1577" t="s">
        <v>1490</v>
      </c>
      <c r="B123" s="1582"/>
      <c r="C123" s="565"/>
      <c r="D123" s="509"/>
      <c r="E123" s="468"/>
      <c r="F123" s="566"/>
      <c r="G123" s="468"/>
      <c r="H123" s="468"/>
      <c r="I123" s="468"/>
      <c r="J123" s="468"/>
      <c r="K123" s="468"/>
    </row>
    <row r="124" spans="1:11" ht="15" customHeight="1" x14ac:dyDescent="0.2">
      <c r="A124" s="1583" t="s">
        <v>667</v>
      </c>
      <c r="B124" s="1584"/>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74" t="s">
        <v>1032</v>
      </c>
      <c r="B132" s="1686"/>
      <c r="C132" s="1673">
        <f>SUM(C125:C131)</f>
        <v>0</v>
      </c>
      <c r="D132" s="1673">
        <f>SUM(D125:D131)</f>
        <v>0</v>
      </c>
      <c r="E132" s="469" t="s">
        <v>1169</v>
      </c>
      <c r="F132" s="1673">
        <f>SUM(F125:F131)</f>
        <v>0</v>
      </c>
      <c r="G132" s="468" t="s">
        <v>1169</v>
      </c>
      <c r="H132" s="468" t="s">
        <v>1169</v>
      </c>
      <c r="I132" s="468" t="s">
        <v>1169</v>
      </c>
      <c r="J132" s="468" t="s">
        <v>1169</v>
      </c>
      <c r="K132" s="468" t="s">
        <v>1169</v>
      </c>
    </row>
    <row r="133" spans="1:11" ht="15.75" customHeight="1" thickTop="1" x14ac:dyDescent="0.2">
      <c r="A133" s="1585" t="s">
        <v>250</v>
      </c>
      <c r="B133" s="1586"/>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74" t="s">
        <v>603</v>
      </c>
      <c r="B141" s="1686"/>
      <c r="C141" s="1673">
        <f>SUM(C134:C140)</f>
        <v>0</v>
      </c>
      <c r="D141" s="1673">
        <f>SUM(D134:D140)</f>
        <v>0</v>
      </c>
      <c r="E141" s="561" t="s">
        <v>1169</v>
      </c>
      <c r="F141" s="477"/>
      <c r="G141" s="1673">
        <f>SUM(G134:G140)</f>
        <v>0</v>
      </c>
      <c r="H141" s="468" t="s">
        <v>1169</v>
      </c>
      <c r="I141" s="468" t="s">
        <v>1169</v>
      </c>
      <c r="J141" s="468" t="s">
        <v>1169</v>
      </c>
      <c r="K141" s="468" t="s">
        <v>1169</v>
      </c>
    </row>
    <row r="142" spans="1:11" ht="15.75" customHeight="1" thickTop="1" x14ac:dyDescent="0.2">
      <c r="A142" s="1585" t="s">
        <v>670</v>
      </c>
      <c r="B142" s="1586"/>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74" t="s">
        <v>396</v>
      </c>
      <c r="B145" s="1686"/>
      <c r="C145" s="1654">
        <f>SUM(C143:C144)</f>
        <v>0</v>
      </c>
      <c r="D145" s="468"/>
      <c r="E145" s="509"/>
      <c r="F145" s="468"/>
      <c r="G145" s="1687">
        <f>SUM(G143:G144)</f>
        <v>0</v>
      </c>
      <c r="H145" s="468"/>
      <c r="I145" s="468"/>
      <c r="J145" s="468"/>
      <c r="K145" s="468"/>
    </row>
    <row r="146" spans="1:11" s="202" customFormat="1" ht="12.75" customHeight="1" thickTop="1" x14ac:dyDescent="0.2">
      <c r="A146" s="1498" t="s">
        <v>1056</v>
      </c>
      <c r="B146" s="568">
        <v>3360</v>
      </c>
      <c r="C146" s="569">
        <v>4189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85" t="s">
        <v>453</v>
      </c>
      <c r="B151" s="1587"/>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16018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74" t="s">
        <v>94</v>
      </c>
      <c r="B155" s="1686"/>
      <c r="C155" s="1673">
        <f>SUM(C152:C154)</f>
        <v>0</v>
      </c>
      <c r="D155" s="1673">
        <f>SUM(D152:D154)</f>
        <v>0</v>
      </c>
      <c r="E155" s="561"/>
      <c r="F155" s="1673">
        <f>SUM(F152:F154)</f>
        <v>16018</v>
      </c>
      <c r="G155" s="1673">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71" t="s">
        <v>398</v>
      </c>
      <c r="B169" s="2172"/>
      <c r="C169" s="1688">
        <f t="shared" ref="C169:K169" si="6">SUM(C132,C141,C145,C146:C150,C155,C156:C167,C168)</f>
        <v>4189</v>
      </c>
      <c r="D169" s="1688">
        <f t="shared" si="6"/>
        <v>0</v>
      </c>
      <c r="E169" s="1688">
        <f t="shared" si="6"/>
        <v>0</v>
      </c>
      <c r="F169" s="1688">
        <f t="shared" si="6"/>
        <v>16018</v>
      </c>
      <c r="G169" s="1688">
        <f t="shared" si="6"/>
        <v>0</v>
      </c>
      <c r="H169" s="1688">
        <f t="shared" si="6"/>
        <v>0</v>
      </c>
      <c r="I169" s="1688">
        <f t="shared" si="6"/>
        <v>0</v>
      </c>
      <c r="J169" s="1688">
        <f t="shared" si="6"/>
        <v>0</v>
      </c>
      <c r="K169" s="1669">
        <f t="shared" si="6"/>
        <v>0</v>
      </c>
    </row>
    <row r="170" spans="1:11" ht="12.75" customHeight="1" thickTop="1" thickBot="1" x14ac:dyDescent="0.25">
      <c r="A170" s="1674" t="s">
        <v>399</v>
      </c>
      <c r="B170" s="1680" t="s">
        <v>575</v>
      </c>
      <c r="C170" s="1681">
        <f t="shared" ref="C170:K170" si="7">SUM(C122,C169)</f>
        <v>1052621</v>
      </c>
      <c r="D170" s="1681">
        <f t="shared" si="7"/>
        <v>0</v>
      </c>
      <c r="E170" s="1681">
        <f t="shared" si="7"/>
        <v>0</v>
      </c>
      <c r="F170" s="1681">
        <f t="shared" si="7"/>
        <v>16018</v>
      </c>
      <c r="G170" s="1681">
        <f t="shared" si="7"/>
        <v>0</v>
      </c>
      <c r="H170" s="1681">
        <f t="shared" si="7"/>
        <v>0</v>
      </c>
      <c r="I170" s="1681">
        <f t="shared" si="7"/>
        <v>0</v>
      </c>
      <c r="J170" s="1681">
        <f t="shared" si="7"/>
        <v>0</v>
      </c>
      <c r="K170" s="1668">
        <f t="shared" si="7"/>
        <v>0</v>
      </c>
    </row>
    <row r="171" spans="1:11" ht="16.7" customHeight="1" thickTop="1" x14ac:dyDescent="0.2">
      <c r="A171" s="1574" t="s">
        <v>804</v>
      </c>
      <c r="B171" s="1552"/>
      <c r="C171" s="1555"/>
      <c r="D171" s="1556"/>
      <c r="E171" s="1556"/>
      <c r="F171" s="1556"/>
      <c r="G171" s="1556"/>
      <c r="H171" s="1556"/>
      <c r="I171" s="1556"/>
      <c r="J171" s="1556"/>
      <c r="K171" s="1557"/>
    </row>
    <row r="172" spans="1:11" ht="15.75" customHeight="1" x14ac:dyDescent="0.2">
      <c r="A172" s="2173" t="s">
        <v>1492</v>
      </c>
      <c r="B172" s="217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7" t="s">
        <v>1665</v>
      </c>
      <c r="B175" s="2178"/>
      <c r="C175" s="1673">
        <f>SUM(C173:C174)</f>
        <v>0</v>
      </c>
      <c r="D175" s="1673">
        <f t="shared" ref="D175:K175" si="8">SUM(D173:D174)</f>
        <v>0</v>
      </c>
      <c r="E175" s="1673">
        <f t="shared" si="8"/>
        <v>0</v>
      </c>
      <c r="F175" s="1673">
        <f t="shared" si="8"/>
        <v>0</v>
      </c>
      <c r="G175" s="1673">
        <f t="shared" si="8"/>
        <v>0</v>
      </c>
      <c r="H175" s="1673">
        <f t="shared" si="8"/>
        <v>0</v>
      </c>
      <c r="I175" s="1673">
        <f t="shared" si="8"/>
        <v>0</v>
      </c>
      <c r="J175" s="1673">
        <f t="shared" si="8"/>
        <v>0</v>
      </c>
      <c r="K175" s="1654">
        <f t="shared" si="8"/>
        <v>0</v>
      </c>
    </row>
    <row r="176" spans="1:11" s="457" customFormat="1" ht="15.75" customHeight="1" thickTop="1" x14ac:dyDescent="0.2">
      <c r="A176" s="2181" t="s">
        <v>1664</v>
      </c>
      <c r="B176" s="218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9" t="s">
        <v>785</v>
      </c>
      <c r="B181" s="2180"/>
      <c r="C181" s="1673">
        <f>SUM(C177:C180)</f>
        <v>0</v>
      </c>
      <c r="D181" s="1673">
        <f>SUM(D177:D180)</f>
        <v>0</v>
      </c>
      <c r="E181" s="468"/>
      <c r="F181" s="1673">
        <f>SUM(F177:F180)</f>
        <v>0</v>
      </c>
      <c r="G181" s="1673">
        <f>SUM(G177:G180)</f>
        <v>0</v>
      </c>
      <c r="H181" s="1673">
        <f>SUM(H177:H180)</f>
        <v>0</v>
      </c>
      <c r="I181" s="468"/>
      <c r="J181" s="468"/>
      <c r="K181" s="1654">
        <f>SUM(K177:K180)</f>
        <v>0</v>
      </c>
    </row>
    <row r="182" spans="1:11" ht="22.5" customHeight="1" thickTop="1" x14ac:dyDescent="0.2">
      <c r="A182" s="2175" t="s">
        <v>1800</v>
      </c>
      <c r="B182" s="2176"/>
      <c r="C182" s="584"/>
      <c r="D182" s="566"/>
      <c r="E182" s="509"/>
      <c r="F182" s="566"/>
      <c r="G182" s="566"/>
      <c r="H182" s="468"/>
      <c r="I182" s="468"/>
      <c r="J182" s="468"/>
      <c r="K182" s="468"/>
    </row>
    <row r="183" spans="1:11" ht="15.75" customHeight="1" x14ac:dyDescent="0.2">
      <c r="A183" s="1588" t="s">
        <v>1602</v>
      </c>
      <c r="B183" s="1589"/>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74" t="s">
        <v>1607</v>
      </c>
      <c r="B188" s="1675"/>
      <c r="C188" s="1673">
        <f>SUM(C184:C187)</f>
        <v>0</v>
      </c>
      <c r="D188" s="1673">
        <f>SUM(D184:D187)</f>
        <v>0</v>
      </c>
      <c r="E188" s="561"/>
      <c r="F188" s="1673">
        <f>SUM(F184:F187)</f>
        <v>0</v>
      </c>
      <c r="G188" s="1673">
        <f>SUM(G184:G187)</f>
        <v>0</v>
      </c>
      <c r="H188" s="468"/>
      <c r="I188" s="468"/>
      <c r="J188" s="468"/>
      <c r="K188" s="468"/>
    </row>
    <row r="189" spans="1:11" ht="15.75" customHeight="1" thickTop="1" x14ac:dyDescent="0.2">
      <c r="A189" s="1585" t="s">
        <v>455</v>
      </c>
      <c r="B189" s="1590"/>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125488</v>
      </c>
      <c r="D191" s="468"/>
      <c r="E191" s="561"/>
      <c r="F191" s="468"/>
      <c r="G191" s="585"/>
      <c r="H191" s="468"/>
      <c r="I191" s="468"/>
      <c r="J191" s="468"/>
      <c r="K191" s="468"/>
    </row>
    <row r="192" spans="1:11" ht="12.75" customHeight="1" x14ac:dyDescent="0.2">
      <c r="A192" s="463" t="s">
        <v>1047</v>
      </c>
      <c r="B192" s="470">
        <v>4215</v>
      </c>
      <c r="C192" s="551">
        <v>279</v>
      </c>
      <c r="D192" s="468"/>
      <c r="E192" s="561"/>
      <c r="F192" s="468"/>
      <c r="G192" s="585"/>
      <c r="H192" s="468"/>
      <c r="I192" s="468"/>
      <c r="J192" s="468"/>
      <c r="K192" s="468"/>
    </row>
    <row r="193" spans="1:11" ht="12.75" customHeight="1" x14ac:dyDescent="0.2">
      <c r="A193" s="463" t="s">
        <v>1059</v>
      </c>
      <c r="B193" s="470">
        <v>4220</v>
      </c>
      <c r="C193" s="551">
        <v>85796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74" t="s">
        <v>548</v>
      </c>
      <c r="B198" s="1675"/>
      <c r="C198" s="1654">
        <f>SUM(C190:C197)</f>
        <v>211563</v>
      </c>
      <c r="D198" s="468"/>
      <c r="E198" s="468"/>
      <c r="F198" s="468"/>
      <c r="G198" s="1654">
        <f>SUM(G190:G197)</f>
        <v>0</v>
      </c>
      <c r="H198" s="468"/>
      <c r="I198" s="468"/>
      <c r="J198" s="468"/>
      <c r="K198" s="468"/>
    </row>
    <row r="199" spans="1:11" ht="15.75" customHeight="1" thickTop="1" x14ac:dyDescent="0.2">
      <c r="A199" s="1585" t="s">
        <v>1138</v>
      </c>
      <c r="B199" s="1590"/>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74" t="s">
        <v>400</v>
      </c>
      <c r="B204" s="1675"/>
      <c r="C204" s="1673">
        <f>SUM(C200:C203)</f>
        <v>0</v>
      </c>
      <c r="D204" s="1673">
        <f>SUM(D200:D203)</f>
        <v>0</v>
      </c>
      <c r="E204" s="468"/>
      <c r="F204" s="1673">
        <f>SUM(F200:F203)</f>
        <v>0</v>
      </c>
      <c r="G204" s="1673">
        <f>SUM(G200:G203)</f>
        <v>0</v>
      </c>
      <c r="H204" s="468"/>
      <c r="I204" s="468"/>
      <c r="J204" s="468"/>
      <c r="K204" s="468"/>
    </row>
    <row r="205" spans="1:11" ht="15.75" customHeight="1" thickTop="1" x14ac:dyDescent="0.2">
      <c r="A205" s="1585" t="s">
        <v>1139</v>
      </c>
      <c r="B205" s="1590"/>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74" t="s">
        <v>889</v>
      </c>
      <c r="B209" s="1675"/>
      <c r="C209" s="1673">
        <f>SUM(C206:C208)</f>
        <v>0</v>
      </c>
      <c r="D209" s="1673">
        <f>SUM(D206:D208)</f>
        <v>0</v>
      </c>
      <c r="E209" s="468" t="s">
        <v>1169</v>
      </c>
      <c r="F209" s="1673">
        <f>SUM(F206:F208)</f>
        <v>0</v>
      </c>
      <c r="G209" s="1673">
        <f>SUM(G206:G208)</f>
        <v>0</v>
      </c>
      <c r="H209" s="468"/>
      <c r="I209" s="468"/>
      <c r="J209" s="468"/>
      <c r="K209" s="468"/>
    </row>
    <row r="210" spans="1:11" ht="15.75" customHeight="1" thickTop="1" x14ac:dyDescent="0.2">
      <c r="A210" s="1585" t="s">
        <v>1092</v>
      </c>
      <c r="B210" s="1590"/>
      <c r="C210" s="553"/>
      <c r="D210" s="553"/>
      <c r="E210" s="468"/>
      <c r="F210" s="553"/>
      <c r="G210" s="553"/>
      <c r="H210" s="468"/>
      <c r="I210" s="468"/>
      <c r="J210" s="468"/>
      <c r="K210" s="468"/>
    </row>
    <row r="211" spans="1:11" ht="12.75" customHeight="1" x14ac:dyDescent="0.2">
      <c r="A211" s="463" t="s">
        <v>1052</v>
      </c>
      <c r="B211" s="470">
        <v>4600</v>
      </c>
      <c r="C211" s="551">
        <v>106723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4325734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674" t="s">
        <v>447</v>
      </c>
      <c r="B217" s="1675"/>
      <c r="C217" s="1673">
        <f>SUM(C211:C216)</f>
        <v>4432457</v>
      </c>
      <c r="D217" s="1673">
        <f>SUM(D211:D216)</f>
        <v>0</v>
      </c>
      <c r="E217" s="468"/>
      <c r="F217" s="1673">
        <f>SUM(F211:F216)</f>
        <v>0</v>
      </c>
      <c r="G217" s="1673">
        <f>SUM(G211:G216)</f>
        <v>0</v>
      </c>
      <c r="H217" s="468"/>
      <c r="I217" s="468"/>
      <c r="J217" s="468"/>
      <c r="K217" s="468"/>
    </row>
    <row r="218" spans="1:11" ht="15.75" customHeight="1" thickTop="1" x14ac:dyDescent="0.2">
      <c r="A218" s="1585" t="s">
        <v>1093</v>
      </c>
      <c r="B218" s="1590"/>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89" t="s">
        <v>1085</v>
      </c>
      <c r="B221" s="1690"/>
      <c r="C221" s="1673">
        <f>SUM(C219:C220)</f>
        <v>0</v>
      </c>
      <c r="D221" s="1673">
        <f>SUM(D219:D220)</f>
        <v>0</v>
      </c>
      <c r="E221" s="468"/>
      <c r="F221" s="468"/>
      <c r="G221" s="167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91" t="s">
        <v>774</v>
      </c>
      <c r="B252" s="1692"/>
      <c r="C252" s="1684">
        <f t="shared" ref="C252:H252" si="9">SUM(C223:C251)</f>
        <v>0</v>
      </c>
      <c r="D252" s="1673">
        <f t="shared" si="9"/>
        <v>0</v>
      </c>
      <c r="E252" s="1673">
        <f t="shared" si="9"/>
        <v>0</v>
      </c>
      <c r="F252" s="1673">
        <f t="shared" si="9"/>
        <v>0</v>
      </c>
      <c r="G252" s="1673">
        <f t="shared" si="9"/>
        <v>0</v>
      </c>
      <c r="H252" s="1673">
        <f t="shared" si="9"/>
        <v>0</v>
      </c>
      <c r="I252" s="553"/>
      <c r="J252" s="1673">
        <f>SUM(J223:J251)</f>
        <v>0</v>
      </c>
      <c r="K252" s="1654">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86" t="s">
        <v>1932</v>
      </c>
      <c r="B261" s="470">
        <v>4981</v>
      </c>
      <c r="C261" s="575"/>
      <c r="D261" s="576"/>
      <c r="E261" s="468"/>
      <c r="F261" s="576"/>
      <c r="G261" s="576"/>
      <c r="H261" s="468"/>
      <c r="I261" s="468"/>
      <c r="J261" s="468"/>
      <c r="K261" s="468"/>
    </row>
    <row r="262" spans="1:11" ht="12.75" customHeight="1" thickTop="1" thickBot="1" x14ac:dyDescent="0.25">
      <c r="A262" s="1887"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21242</v>
      </c>
      <c r="D263" s="576"/>
      <c r="E263" s="468"/>
      <c r="F263" s="576"/>
      <c r="G263" s="576"/>
      <c r="H263" s="468"/>
      <c r="I263" s="468"/>
      <c r="J263" s="468"/>
      <c r="K263" s="468"/>
    </row>
    <row r="264" spans="1:11" ht="12.75" customHeight="1" thickTop="1" thickBot="1" x14ac:dyDescent="0.25">
      <c r="A264" s="463" t="s">
        <v>377</v>
      </c>
      <c r="B264" s="470">
        <v>4992</v>
      </c>
      <c r="C264" s="575">
        <v>302276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74" t="s">
        <v>1666</v>
      </c>
      <c r="B266" s="1693"/>
      <c r="C266" s="1681">
        <f t="shared" ref="C266:H266" si="10">SUM(C188,C198,C204,C209,C217,C221,C222,C252:C265)</f>
        <v>4967538</v>
      </c>
      <c r="D266" s="1681">
        <f t="shared" si="10"/>
        <v>0</v>
      </c>
      <c r="E266" s="1681">
        <f t="shared" si="10"/>
        <v>0</v>
      </c>
      <c r="F266" s="1681">
        <f t="shared" si="10"/>
        <v>0</v>
      </c>
      <c r="G266" s="1681">
        <f t="shared" si="10"/>
        <v>0</v>
      </c>
      <c r="H266" s="1681">
        <f t="shared" si="10"/>
        <v>0</v>
      </c>
      <c r="I266" s="468"/>
      <c r="J266" s="1681">
        <f>SUM(J188,J198,J204,J209,J217,J221,J222,J252:J265)</f>
        <v>0</v>
      </c>
      <c r="K266" s="1668">
        <f>SUM(K188,K198,K204,K209,K217,K221,K222,K252:K265)</f>
        <v>0</v>
      </c>
    </row>
    <row r="267" spans="1:11" ht="14.25" thickTop="1" thickBot="1" x14ac:dyDescent="0.25">
      <c r="A267" s="1694" t="s">
        <v>1086</v>
      </c>
      <c r="B267" s="1695" t="s">
        <v>860</v>
      </c>
      <c r="C267" s="1681">
        <f>SUM(C175,C181,C266)</f>
        <v>4967538</v>
      </c>
      <c r="D267" s="1681">
        <f>SUM(D175,D181,D266)</f>
        <v>0</v>
      </c>
      <c r="E267" s="1681">
        <f>SUM(E175,E266)</f>
        <v>0</v>
      </c>
      <c r="F267" s="1681">
        <f t="shared" ref="F267:K267" si="11">SUM(F175,F181,F266)</f>
        <v>0</v>
      </c>
      <c r="G267" s="1681">
        <f t="shared" si="11"/>
        <v>0</v>
      </c>
      <c r="H267" s="1681">
        <f t="shared" si="11"/>
        <v>0</v>
      </c>
      <c r="I267" s="1681">
        <f t="shared" si="11"/>
        <v>0</v>
      </c>
      <c r="J267" s="1681">
        <f t="shared" si="11"/>
        <v>0</v>
      </c>
      <c r="K267" s="1668">
        <f t="shared" si="11"/>
        <v>0</v>
      </c>
    </row>
    <row r="268" spans="1:11" ht="14.25" thickTop="1" thickBot="1" x14ac:dyDescent="0.25">
      <c r="A268" s="1696" t="s">
        <v>251</v>
      </c>
      <c r="B268" s="1697"/>
      <c r="C268" s="1681">
        <f t="shared" ref="C268:K268" si="12">SUM(C109,C114,C170,C267)</f>
        <v>15205720</v>
      </c>
      <c r="D268" s="1681">
        <f t="shared" si="12"/>
        <v>0</v>
      </c>
      <c r="E268" s="1681">
        <f t="shared" si="12"/>
        <v>0</v>
      </c>
      <c r="F268" s="1681">
        <f t="shared" si="12"/>
        <v>42492</v>
      </c>
      <c r="G268" s="1681">
        <f t="shared" si="12"/>
        <v>0</v>
      </c>
      <c r="H268" s="1681">
        <f t="shared" si="12"/>
        <v>0</v>
      </c>
      <c r="I268" s="1681">
        <f t="shared" si="12"/>
        <v>0</v>
      </c>
      <c r="J268" s="1681">
        <f t="shared" si="12"/>
        <v>0</v>
      </c>
      <c r="K268" s="1668">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A1:N368"/>
  <sheetViews>
    <sheetView showGridLines="0" defaultGridColor="0" colorId="8" zoomScale="110" zoomScaleNormal="110" workbookViewId="0">
      <pane ySplit="2" topLeftCell="A3" activePane="bottomLeft" state="frozen"/>
      <selection pane="bottomLeft" activeCell="E12" sqref="E1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9" t="s">
        <v>297</v>
      </c>
      <c r="B3" s="2190"/>
      <c r="C3" s="1533"/>
      <c r="D3" s="1533"/>
      <c r="E3" s="1533"/>
      <c r="F3" s="1533"/>
      <c r="G3" s="1533"/>
      <c r="H3" s="1533"/>
      <c r="I3" s="1533"/>
      <c r="J3" s="1533"/>
      <c r="K3" s="1534"/>
      <c r="L3" s="1535"/>
      <c r="M3" s="609"/>
      <c r="N3" s="609"/>
    </row>
    <row r="4" spans="1:14" s="259" customFormat="1" ht="15.75" customHeight="1" x14ac:dyDescent="0.2">
      <c r="A4" s="1591" t="s">
        <v>44</v>
      </c>
      <c r="B4" s="1592"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37">
        <f>SUM(C5:J5)</f>
        <v>0</v>
      </c>
      <c r="L5" s="466"/>
    </row>
    <row r="6" spans="1:14" x14ac:dyDescent="0.2">
      <c r="A6" s="1504" t="s">
        <v>1433</v>
      </c>
      <c r="B6" s="614" t="s">
        <v>1431</v>
      </c>
      <c r="C6" s="477"/>
      <c r="D6" s="477"/>
      <c r="E6" s="466"/>
      <c r="F6" s="477"/>
      <c r="G6" s="477"/>
      <c r="H6" s="477"/>
      <c r="I6" s="477"/>
      <c r="J6" s="477"/>
      <c r="K6" s="1637">
        <f>SUM(C6,E6)</f>
        <v>0</v>
      </c>
      <c r="L6" s="466"/>
    </row>
    <row r="7" spans="1:14" x14ac:dyDescent="0.2">
      <c r="A7" s="1504" t="s">
        <v>163</v>
      </c>
      <c r="B7" s="614" t="s">
        <v>967</v>
      </c>
      <c r="C7" s="467"/>
      <c r="D7" s="467"/>
      <c r="E7" s="467"/>
      <c r="F7" s="467"/>
      <c r="G7" s="467"/>
      <c r="H7" s="467"/>
      <c r="I7" s="467"/>
      <c r="J7" s="467"/>
      <c r="K7" s="1637">
        <f t="shared" ref="K7:K32" si="0">SUM(C7:J7)</f>
        <v>0</v>
      </c>
      <c r="L7" s="466"/>
    </row>
    <row r="8" spans="1:14" x14ac:dyDescent="0.2">
      <c r="A8" s="1504" t="s">
        <v>164</v>
      </c>
      <c r="B8" s="614">
        <v>1200</v>
      </c>
      <c r="C8" s="466">
        <v>4608478</v>
      </c>
      <c r="D8" s="466">
        <v>1295508</v>
      </c>
      <c r="E8" s="466">
        <v>256925</v>
      </c>
      <c r="F8" s="466">
        <v>126644</v>
      </c>
      <c r="G8" s="466">
        <v>125958</v>
      </c>
      <c r="H8" s="466"/>
      <c r="I8" s="467"/>
      <c r="J8" s="467"/>
      <c r="K8" s="1637">
        <f t="shared" si="0"/>
        <v>6413513</v>
      </c>
      <c r="L8" s="466">
        <v>6064411</v>
      </c>
    </row>
    <row r="9" spans="1:14" x14ac:dyDescent="0.2">
      <c r="A9" s="1504" t="s">
        <v>721</v>
      </c>
      <c r="B9" s="614" t="s">
        <v>968</v>
      </c>
      <c r="C9" s="467"/>
      <c r="D9" s="467"/>
      <c r="E9" s="467"/>
      <c r="F9" s="467"/>
      <c r="G9" s="467"/>
      <c r="H9" s="467"/>
      <c r="I9" s="467"/>
      <c r="J9" s="467"/>
      <c r="K9" s="1637">
        <f t="shared" si="0"/>
        <v>0</v>
      </c>
      <c r="L9" s="466"/>
    </row>
    <row r="10" spans="1:14" x14ac:dyDescent="0.2">
      <c r="A10" s="1504" t="s">
        <v>722</v>
      </c>
      <c r="B10" s="614">
        <v>1250</v>
      </c>
      <c r="C10" s="466"/>
      <c r="D10" s="466"/>
      <c r="E10" s="466"/>
      <c r="F10" s="466"/>
      <c r="G10" s="466"/>
      <c r="H10" s="466"/>
      <c r="I10" s="467"/>
      <c r="J10" s="467"/>
      <c r="K10" s="1637">
        <f t="shared" si="0"/>
        <v>0</v>
      </c>
      <c r="L10" s="466"/>
    </row>
    <row r="11" spans="1:14" x14ac:dyDescent="0.2">
      <c r="A11" s="1504" t="s">
        <v>1130</v>
      </c>
      <c r="B11" s="614" t="s">
        <v>161</v>
      </c>
      <c r="C11" s="467"/>
      <c r="D11" s="467"/>
      <c r="E11" s="467"/>
      <c r="F11" s="467"/>
      <c r="G11" s="467"/>
      <c r="H11" s="467"/>
      <c r="I11" s="467"/>
      <c r="J11" s="467"/>
      <c r="K11" s="1637">
        <f t="shared" si="0"/>
        <v>0</v>
      </c>
      <c r="L11" s="466"/>
    </row>
    <row r="12" spans="1:14" x14ac:dyDescent="0.2">
      <c r="A12" s="1504" t="s">
        <v>962</v>
      </c>
      <c r="B12" s="614">
        <v>1300</v>
      </c>
      <c r="C12" s="466"/>
      <c r="D12" s="466"/>
      <c r="E12" s="466"/>
      <c r="F12" s="466"/>
      <c r="G12" s="466"/>
      <c r="H12" s="466"/>
      <c r="I12" s="467"/>
      <c r="J12" s="467"/>
      <c r="K12" s="1637">
        <f t="shared" si="0"/>
        <v>0</v>
      </c>
      <c r="L12" s="466"/>
    </row>
    <row r="13" spans="1:14" x14ac:dyDescent="0.2">
      <c r="A13" s="1504" t="s">
        <v>723</v>
      </c>
      <c r="B13" s="614">
        <v>1400</v>
      </c>
      <c r="C13" s="466"/>
      <c r="D13" s="466"/>
      <c r="E13" s="466"/>
      <c r="F13" s="466"/>
      <c r="G13" s="466"/>
      <c r="H13" s="466"/>
      <c r="I13" s="467"/>
      <c r="J13" s="467"/>
      <c r="K13" s="1637">
        <f t="shared" si="0"/>
        <v>0</v>
      </c>
      <c r="L13" s="466"/>
    </row>
    <row r="14" spans="1:14" x14ac:dyDescent="0.2">
      <c r="A14" s="1504" t="s">
        <v>963</v>
      </c>
      <c r="B14" s="614">
        <v>1500</v>
      </c>
      <c r="C14" s="466"/>
      <c r="D14" s="466"/>
      <c r="E14" s="466"/>
      <c r="F14" s="466"/>
      <c r="G14" s="466"/>
      <c r="H14" s="466"/>
      <c r="I14" s="467"/>
      <c r="J14" s="467"/>
      <c r="K14" s="1637">
        <f t="shared" si="0"/>
        <v>0</v>
      </c>
      <c r="L14" s="466"/>
    </row>
    <row r="15" spans="1:14" x14ac:dyDescent="0.2">
      <c r="A15" s="1504" t="s">
        <v>964</v>
      </c>
      <c r="B15" s="614">
        <v>1600</v>
      </c>
      <c r="C15" s="466"/>
      <c r="D15" s="466"/>
      <c r="E15" s="466"/>
      <c r="F15" s="466"/>
      <c r="G15" s="466"/>
      <c r="H15" s="466"/>
      <c r="I15" s="467"/>
      <c r="J15" s="467"/>
      <c r="K15" s="1637">
        <f t="shared" si="0"/>
        <v>0</v>
      </c>
      <c r="L15" s="466"/>
    </row>
    <row r="16" spans="1:14" x14ac:dyDescent="0.2">
      <c r="A16" s="1504" t="s">
        <v>987</v>
      </c>
      <c r="B16" s="614" t="s">
        <v>424</v>
      </c>
      <c r="C16" s="466"/>
      <c r="D16" s="466"/>
      <c r="E16" s="466"/>
      <c r="F16" s="466"/>
      <c r="G16" s="466"/>
      <c r="H16" s="466"/>
      <c r="I16" s="467"/>
      <c r="J16" s="467"/>
      <c r="K16" s="1637">
        <f t="shared" si="0"/>
        <v>0</v>
      </c>
      <c r="L16" s="466"/>
    </row>
    <row r="17" spans="1:12" x14ac:dyDescent="0.2">
      <c r="A17" s="1504" t="s">
        <v>724</v>
      </c>
      <c r="B17" s="614" t="s">
        <v>162</v>
      </c>
      <c r="C17" s="467"/>
      <c r="D17" s="467"/>
      <c r="E17" s="467"/>
      <c r="F17" s="467"/>
      <c r="G17" s="467"/>
      <c r="H17" s="467"/>
      <c r="I17" s="467"/>
      <c r="J17" s="467"/>
      <c r="K17" s="1637">
        <f t="shared" si="0"/>
        <v>0</v>
      </c>
      <c r="L17" s="466"/>
    </row>
    <row r="18" spans="1:12" x14ac:dyDescent="0.2">
      <c r="A18" s="1504" t="s">
        <v>1087</v>
      </c>
      <c r="B18" s="614">
        <v>1800</v>
      </c>
      <c r="C18" s="466"/>
      <c r="D18" s="466"/>
      <c r="E18" s="466"/>
      <c r="F18" s="466"/>
      <c r="G18" s="466"/>
      <c r="H18" s="466"/>
      <c r="I18" s="467"/>
      <c r="J18" s="467"/>
      <c r="K18" s="1637">
        <f t="shared" si="0"/>
        <v>0</v>
      </c>
      <c r="L18" s="466"/>
    </row>
    <row r="19" spans="1:12" x14ac:dyDescent="0.2">
      <c r="A19" s="1504" t="s">
        <v>134</v>
      </c>
      <c r="B19" s="614">
        <v>1900</v>
      </c>
      <c r="C19" s="466"/>
      <c r="D19" s="466"/>
      <c r="E19" s="466"/>
      <c r="F19" s="466"/>
      <c r="G19" s="466"/>
      <c r="H19" s="466"/>
      <c r="I19" s="467"/>
      <c r="J19" s="467"/>
      <c r="K19" s="1637">
        <f t="shared" si="0"/>
        <v>0</v>
      </c>
      <c r="L19" s="466"/>
    </row>
    <row r="20" spans="1:12" x14ac:dyDescent="0.2">
      <c r="A20" s="1505" t="s">
        <v>738</v>
      </c>
      <c r="B20" s="602" t="s">
        <v>725</v>
      </c>
      <c r="C20" s="477"/>
      <c r="D20" s="477"/>
      <c r="E20" s="477"/>
      <c r="F20" s="477"/>
      <c r="G20" s="477"/>
      <c r="H20" s="474"/>
      <c r="I20" s="616"/>
      <c r="J20" s="475"/>
      <c r="K20" s="1637">
        <f t="shared" si="0"/>
        <v>0</v>
      </c>
      <c r="L20" s="471"/>
    </row>
    <row r="21" spans="1:12" x14ac:dyDescent="0.2">
      <c r="A21" s="1505" t="s">
        <v>739</v>
      </c>
      <c r="B21" s="602" t="s">
        <v>726</v>
      </c>
      <c r="C21" s="477"/>
      <c r="D21" s="477"/>
      <c r="E21" s="477"/>
      <c r="F21" s="477"/>
      <c r="G21" s="477"/>
      <c r="H21" s="474"/>
      <c r="I21" s="616"/>
      <c r="J21" s="477"/>
      <c r="K21" s="1637">
        <f t="shared" si="0"/>
        <v>0</v>
      </c>
      <c r="L21" s="471"/>
    </row>
    <row r="22" spans="1:12" x14ac:dyDescent="0.2">
      <c r="A22" s="1505" t="s">
        <v>740</v>
      </c>
      <c r="B22" s="602" t="s">
        <v>727</v>
      </c>
      <c r="C22" s="477"/>
      <c r="D22" s="477"/>
      <c r="E22" s="477"/>
      <c r="F22" s="477"/>
      <c r="G22" s="477"/>
      <c r="H22" s="474"/>
      <c r="I22" s="616"/>
      <c r="J22" s="477"/>
      <c r="K22" s="1637">
        <f t="shared" si="0"/>
        <v>0</v>
      </c>
      <c r="L22" s="471"/>
    </row>
    <row r="23" spans="1:12" x14ac:dyDescent="0.2">
      <c r="A23" s="1505" t="s">
        <v>741</v>
      </c>
      <c r="B23" s="602" t="s">
        <v>728</v>
      </c>
      <c r="C23" s="477"/>
      <c r="D23" s="477"/>
      <c r="E23" s="477"/>
      <c r="F23" s="477"/>
      <c r="G23" s="477"/>
      <c r="H23" s="474"/>
      <c r="I23" s="616"/>
      <c r="J23" s="477"/>
      <c r="K23" s="1637">
        <f t="shared" si="0"/>
        <v>0</v>
      </c>
      <c r="L23" s="471"/>
    </row>
    <row r="24" spans="1:12" ht="12.75" customHeight="1" x14ac:dyDescent="0.2">
      <c r="A24" s="1505" t="s">
        <v>742</v>
      </c>
      <c r="B24" s="602" t="s">
        <v>729</v>
      </c>
      <c r="C24" s="477"/>
      <c r="D24" s="477"/>
      <c r="E24" s="477"/>
      <c r="F24" s="477"/>
      <c r="G24" s="477"/>
      <c r="H24" s="474"/>
      <c r="I24" s="616"/>
      <c r="J24" s="477"/>
      <c r="K24" s="1637">
        <f t="shared" si="0"/>
        <v>0</v>
      </c>
      <c r="L24" s="471"/>
    </row>
    <row r="25" spans="1:12" ht="12.75" customHeight="1" x14ac:dyDescent="0.2">
      <c r="A25" s="1505" t="s">
        <v>802</v>
      </c>
      <c r="B25" s="602" t="s">
        <v>730</v>
      </c>
      <c r="C25" s="477"/>
      <c r="D25" s="477"/>
      <c r="E25" s="477"/>
      <c r="F25" s="477"/>
      <c r="G25" s="477"/>
      <c r="H25" s="474"/>
      <c r="I25" s="616"/>
      <c r="J25" s="477"/>
      <c r="K25" s="1637">
        <f t="shared" si="0"/>
        <v>0</v>
      </c>
      <c r="L25" s="471"/>
    </row>
    <row r="26" spans="1:12" x14ac:dyDescent="0.2">
      <c r="A26" s="1505" t="s">
        <v>622</v>
      </c>
      <c r="B26" s="602" t="s">
        <v>731</v>
      </c>
      <c r="C26" s="477"/>
      <c r="D26" s="477"/>
      <c r="E26" s="477"/>
      <c r="F26" s="477"/>
      <c r="G26" s="477"/>
      <c r="H26" s="474"/>
      <c r="I26" s="616"/>
      <c r="J26" s="477"/>
      <c r="K26" s="1637">
        <f t="shared" si="0"/>
        <v>0</v>
      </c>
      <c r="L26" s="471"/>
    </row>
    <row r="27" spans="1:12" x14ac:dyDescent="0.2">
      <c r="A27" s="1505" t="s">
        <v>623</v>
      </c>
      <c r="B27" s="602" t="s">
        <v>732</v>
      </c>
      <c r="C27" s="477"/>
      <c r="D27" s="477"/>
      <c r="E27" s="477"/>
      <c r="F27" s="477"/>
      <c r="G27" s="477"/>
      <c r="H27" s="474"/>
      <c r="I27" s="616"/>
      <c r="J27" s="477"/>
      <c r="K27" s="1637">
        <f t="shared" si="0"/>
        <v>0</v>
      </c>
      <c r="L27" s="471"/>
    </row>
    <row r="28" spans="1:12" x14ac:dyDescent="0.2">
      <c r="A28" s="1505" t="s">
        <v>150</v>
      </c>
      <c r="B28" s="602" t="s">
        <v>733</v>
      </c>
      <c r="C28" s="477"/>
      <c r="D28" s="477"/>
      <c r="E28" s="477"/>
      <c r="F28" s="477"/>
      <c r="G28" s="477"/>
      <c r="H28" s="474"/>
      <c r="I28" s="616"/>
      <c r="J28" s="477"/>
      <c r="K28" s="1637">
        <f t="shared" si="0"/>
        <v>0</v>
      </c>
      <c r="L28" s="471"/>
    </row>
    <row r="29" spans="1:12" x14ac:dyDescent="0.2">
      <c r="A29" s="1505" t="s">
        <v>151</v>
      </c>
      <c r="B29" s="602" t="s">
        <v>734</v>
      </c>
      <c r="C29" s="477"/>
      <c r="D29" s="477"/>
      <c r="E29" s="477"/>
      <c r="F29" s="477"/>
      <c r="G29" s="477"/>
      <c r="H29" s="474"/>
      <c r="I29" s="616"/>
      <c r="J29" s="477"/>
      <c r="K29" s="1637">
        <f t="shared" si="0"/>
        <v>0</v>
      </c>
      <c r="L29" s="471"/>
    </row>
    <row r="30" spans="1:12" x14ac:dyDescent="0.2">
      <c r="A30" s="1505" t="s">
        <v>152</v>
      </c>
      <c r="B30" s="602" t="s">
        <v>735</v>
      </c>
      <c r="C30" s="477"/>
      <c r="D30" s="477"/>
      <c r="E30" s="477"/>
      <c r="F30" s="477"/>
      <c r="G30" s="477"/>
      <c r="H30" s="474"/>
      <c r="I30" s="616"/>
      <c r="J30" s="477"/>
      <c r="K30" s="1637">
        <f t="shared" si="0"/>
        <v>0</v>
      </c>
      <c r="L30" s="471"/>
    </row>
    <row r="31" spans="1:12" x14ac:dyDescent="0.2">
      <c r="A31" s="1505" t="s">
        <v>153</v>
      </c>
      <c r="B31" s="602" t="s">
        <v>736</v>
      </c>
      <c r="C31" s="477"/>
      <c r="D31" s="477"/>
      <c r="E31" s="477"/>
      <c r="F31" s="477"/>
      <c r="G31" s="477"/>
      <c r="H31" s="474"/>
      <c r="I31" s="616"/>
      <c r="J31" s="477"/>
      <c r="K31" s="1637">
        <f t="shared" si="0"/>
        <v>0</v>
      </c>
      <c r="L31" s="471"/>
    </row>
    <row r="32" spans="1:12" x14ac:dyDescent="0.2">
      <c r="A32" s="1506" t="s">
        <v>1129</v>
      </c>
      <c r="B32" s="614" t="s">
        <v>737</v>
      </c>
      <c r="C32" s="477"/>
      <c r="D32" s="477"/>
      <c r="E32" s="477"/>
      <c r="F32" s="477"/>
      <c r="G32" s="477"/>
      <c r="H32" s="474"/>
      <c r="I32" s="616"/>
      <c r="J32" s="480"/>
      <c r="K32" s="1637">
        <f t="shared" si="0"/>
        <v>0</v>
      </c>
      <c r="L32" s="471"/>
    </row>
    <row r="33" spans="1:14" ht="12.75" customHeight="1" thickBot="1" x14ac:dyDescent="0.25">
      <c r="A33" s="1634" t="s">
        <v>1668</v>
      </c>
      <c r="B33" s="1635" t="s">
        <v>570</v>
      </c>
      <c r="C33" s="1636">
        <f>SUM(C5:C32)</f>
        <v>4608478</v>
      </c>
      <c r="D33" s="1636">
        <f t="shared" ref="D33:L33" si="1">SUM(D5:D32)</f>
        <v>1295508</v>
      </c>
      <c r="E33" s="1636">
        <f t="shared" si="1"/>
        <v>256925</v>
      </c>
      <c r="F33" s="1636">
        <f t="shared" si="1"/>
        <v>126644</v>
      </c>
      <c r="G33" s="1636">
        <f t="shared" si="1"/>
        <v>125958</v>
      </c>
      <c r="H33" s="1636">
        <f t="shared" si="1"/>
        <v>0</v>
      </c>
      <c r="I33" s="1636">
        <f t="shared" si="1"/>
        <v>0</v>
      </c>
      <c r="J33" s="1636">
        <f t="shared" si="1"/>
        <v>0</v>
      </c>
      <c r="K33" s="1636">
        <f t="shared" si="1"/>
        <v>6413513</v>
      </c>
      <c r="L33" s="1636">
        <f t="shared" si="1"/>
        <v>6064411</v>
      </c>
    </row>
    <row r="34" spans="1:14" s="620" customFormat="1" ht="15.75" customHeight="1" thickTop="1" x14ac:dyDescent="0.2">
      <c r="A34" s="1593" t="s">
        <v>46</v>
      </c>
      <c r="B34" s="1594"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275173</v>
      </c>
      <c r="D36" s="481">
        <v>41370</v>
      </c>
      <c r="E36" s="481">
        <v>37170</v>
      </c>
      <c r="F36" s="481"/>
      <c r="G36" s="481"/>
      <c r="H36" s="481"/>
      <c r="I36" s="467"/>
      <c r="J36" s="467"/>
      <c r="K36" s="1637">
        <f t="shared" ref="K36:K41" si="2">SUM(C36:J36)</f>
        <v>353713</v>
      </c>
      <c r="L36" s="466">
        <v>332814</v>
      </c>
    </row>
    <row r="37" spans="1:14" x14ac:dyDescent="0.2">
      <c r="A37" s="1504" t="s">
        <v>1090</v>
      </c>
      <c r="B37" s="614">
        <v>2120</v>
      </c>
      <c r="C37" s="466"/>
      <c r="D37" s="466"/>
      <c r="E37" s="466"/>
      <c r="F37" s="466"/>
      <c r="G37" s="466"/>
      <c r="H37" s="466"/>
      <c r="I37" s="467"/>
      <c r="J37" s="467"/>
      <c r="K37" s="1637">
        <f t="shared" si="2"/>
        <v>0</v>
      </c>
      <c r="L37" s="466"/>
    </row>
    <row r="38" spans="1:14" x14ac:dyDescent="0.2">
      <c r="A38" s="1504" t="s">
        <v>198</v>
      </c>
      <c r="B38" s="614">
        <v>2130</v>
      </c>
      <c r="C38" s="466">
        <v>1367613</v>
      </c>
      <c r="D38" s="466">
        <v>410962</v>
      </c>
      <c r="E38" s="466">
        <v>55318</v>
      </c>
      <c r="F38" s="466">
        <v>20417</v>
      </c>
      <c r="G38" s="466">
        <v>25874</v>
      </c>
      <c r="H38" s="466">
        <v>4152</v>
      </c>
      <c r="I38" s="467"/>
      <c r="J38" s="467"/>
      <c r="K38" s="1637">
        <f t="shared" si="2"/>
        <v>1884336</v>
      </c>
      <c r="L38" s="466">
        <v>1947717</v>
      </c>
    </row>
    <row r="39" spans="1:14" x14ac:dyDescent="0.2">
      <c r="A39" s="1504" t="s">
        <v>199</v>
      </c>
      <c r="B39" s="614">
        <v>2140</v>
      </c>
      <c r="C39" s="466"/>
      <c r="D39" s="466"/>
      <c r="E39" s="466">
        <v>114183</v>
      </c>
      <c r="F39" s="466"/>
      <c r="G39" s="466"/>
      <c r="H39" s="466"/>
      <c r="I39" s="467"/>
      <c r="J39" s="467"/>
      <c r="K39" s="1637">
        <f t="shared" si="2"/>
        <v>114183</v>
      </c>
      <c r="L39" s="466"/>
    </row>
    <row r="40" spans="1:14" x14ac:dyDescent="0.2">
      <c r="A40" s="1504" t="s">
        <v>200</v>
      </c>
      <c r="B40" s="614">
        <v>2150</v>
      </c>
      <c r="C40" s="466">
        <v>671120</v>
      </c>
      <c r="D40" s="466">
        <v>155976</v>
      </c>
      <c r="E40" s="466">
        <v>251948</v>
      </c>
      <c r="F40" s="466"/>
      <c r="G40" s="466"/>
      <c r="H40" s="466"/>
      <c r="I40" s="467"/>
      <c r="J40" s="467"/>
      <c r="K40" s="1637">
        <f t="shared" si="2"/>
        <v>1079044</v>
      </c>
      <c r="L40" s="466">
        <v>814350</v>
      </c>
    </row>
    <row r="41" spans="1:14" x14ac:dyDescent="0.2">
      <c r="A41" s="1504" t="s">
        <v>1669</v>
      </c>
      <c r="B41" s="614">
        <v>2190</v>
      </c>
      <c r="C41" s="466"/>
      <c r="D41" s="466"/>
      <c r="E41" s="466"/>
      <c r="F41" s="466"/>
      <c r="G41" s="466"/>
      <c r="H41" s="466"/>
      <c r="I41" s="467"/>
      <c r="J41" s="467"/>
      <c r="K41" s="1637">
        <f t="shared" si="2"/>
        <v>0</v>
      </c>
      <c r="L41" s="466"/>
    </row>
    <row r="42" spans="1:14" ht="12.75" customHeight="1" thickBot="1" x14ac:dyDescent="0.25">
      <c r="A42" s="1634" t="s">
        <v>560</v>
      </c>
      <c r="B42" s="1635" t="s">
        <v>716</v>
      </c>
      <c r="C42" s="1636">
        <f>SUM(C36:C41)</f>
        <v>2313906</v>
      </c>
      <c r="D42" s="1636">
        <f t="shared" ref="D42:L42" si="3">SUM(D36:D41)</f>
        <v>608308</v>
      </c>
      <c r="E42" s="1636">
        <f t="shared" si="3"/>
        <v>458619</v>
      </c>
      <c r="F42" s="1636">
        <f t="shared" si="3"/>
        <v>20417</v>
      </c>
      <c r="G42" s="1636">
        <f t="shared" si="3"/>
        <v>25874</v>
      </c>
      <c r="H42" s="1636">
        <f t="shared" si="3"/>
        <v>4152</v>
      </c>
      <c r="I42" s="1636">
        <f t="shared" si="3"/>
        <v>0</v>
      </c>
      <c r="J42" s="1636">
        <f t="shared" si="3"/>
        <v>0</v>
      </c>
      <c r="K42" s="1636">
        <f t="shared" si="3"/>
        <v>3431276</v>
      </c>
      <c r="L42" s="1636">
        <f t="shared" si="3"/>
        <v>3094881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39397</v>
      </c>
      <c r="D44" s="481">
        <v>7944</v>
      </c>
      <c r="E44" s="481">
        <v>162817</v>
      </c>
      <c r="F44" s="481">
        <v>8844</v>
      </c>
      <c r="G44" s="481">
        <v>929</v>
      </c>
      <c r="H44" s="481"/>
      <c r="I44" s="467"/>
      <c r="J44" s="467"/>
      <c r="K44" s="1638">
        <f>SUM(C44:J44)</f>
        <v>219931</v>
      </c>
      <c r="L44" s="481">
        <v>235068</v>
      </c>
    </row>
    <row r="45" spans="1:14" x14ac:dyDescent="0.2">
      <c r="A45" s="1504" t="s">
        <v>815</v>
      </c>
      <c r="B45" s="614">
        <v>2220</v>
      </c>
      <c r="C45" s="466"/>
      <c r="D45" s="466"/>
      <c r="E45" s="466"/>
      <c r="F45" s="466">
        <v>2856</v>
      </c>
      <c r="G45" s="466"/>
      <c r="H45" s="466"/>
      <c r="I45" s="467"/>
      <c r="J45" s="467"/>
      <c r="K45" s="1638">
        <f>SUM(C45:J45)</f>
        <v>2856</v>
      </c>
      <c r="L45" s="466">
        <v>3750</v>
      </c>
    </row>
    <row r="46" spans="1:14" x14ac:dyDescent="0.2">
      <c r="A46" s="1504" t="s">
        <v>816</v>
      </c>
      <c r="B46" s="614">
        <v>2230</v>
      </c>
      <c r="C46" s="466"/>
      <c r="D46" s="466"/>
      <c r="E46" s="466"/>
      <c r="F46" s="466">
        <v>4786</v>
      </c>
      <c r="G46" s="466"/>
      <c r="H46" s="466"/>
      <c r="I46" s="467"/>
      <c r="J46" s="467"/>
      <c r="K46" s="1638">
        <f>SUM(C46:J46)</f>
        <v>4786</v>
      </c>
      <c r="L46" s="466">
        <v>10000</v>
      </c>
    </row>
    <row r="47" spans="1:14" ht="12.75" customHeight="1" thickBot="1" x14ac:dyDescent="0.25">
      <c r="A47" s="1634" t="s">
        <v>561</v>
      </c>
      <c r="B47" s="1635" t="s">
        <v>32</v>
      </c>
      <c r="C47" s="1636">
        <f>SUM(C44:C46)</f>
        <v>39397</v>
      </c>
      <c r="D47" s="1636">
        <f t="shared" ref="D47:K47" si="4">SUM(D44:D46)</f>
        <v>7944</v>
      </c>
      <c r="E47" s="1636">
        <f t="shared" si="4"/>
        <v>162817</v>
      </c>
      <c r="F47" s="1636">
        <f t="shared" si="4"/>
        <v>16486</v>
      </c>
      <c r="G47" s="1636">
        <f t="shared" si="4"/>
        <v>929</v>
      </c>
      <c r="H47" s="1636">
        <f t="shared" si="4"/>
        <v>0</v>
      </c>
      <c r="I47" s="1636">
        <f t="shared" si="4"/>
        <v>0</v>
      </c>
      <c r="J47" s="1636">
        <f t="shared" si="4"/>
        <v>0</v>
      </c>
      <c r="K47" s="1636">
        <f t="shared" si="4"/>
        <v>227573</v>
      </c>
      <c r="L47" s="1636">
        <f>SUM(L44:L46)</f>
        <v>248818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48891</v>
      </c>
      <c r="F49" s="481"/>
      <c r="G49" s="481"/>
      <c r="H49" s="481"/>
      <c r="I49" s="467"/>
      <c r="J49" s="467"/>
      <c r="K49" s="1638">
        <f>SUM(C49:J49)</f>
        <v>48891</v>
      </c>
      <c r="L49" s="481">
        <v>30500</v>
      </c>
    </row>
    <row r="50" spans="1:14" x14ac:dyDescent="0.2">
      <c r="A50" s="1504" t="s">
        <v>818</v>
      </c>
      <c r="B50" s="614">
        <v>2320</v>
      </c>
      <c r="C50" s="466">
        <v>262808</v>
      </c>
      <c r="D50" s="466">
        <v>96767</v>
      </c>
      <c r="E50" s="466">
        <v>720449</v>
      </c>
      <c r="F50" s="466">
        <v>34958</v>
      </c>
      <c r="G50" s="466">
        <v>56278</v>
      </c>
      <c r="H50" s="466">
        <v>4297</v>
      </c>
      <c r="I50" s="467"/>
      <c r="J50" s="467"/>
      <c r="K50" s="1638">
        <f>SUM(C50:J50)</f>
        <v>1175557</v>
      </c>
      <c r="L50" s="466">
        <v>1082676</v>
      </c>
    </row>
    <row r="51" spans="1:14" x14ac:dyDescent="0.2">
      <c r="A51" s="1504" t="s">
        <v>42</v>
      </c>
      <c r="B51" s="614">
        <v>2330</v>
      </c>
      <c r="C51" s="466"/>
      <c r="D51" s="466"/>
      <c r="E51" s="466"/>
      <c r="F51" s="466"/>
      <c r="G51" s="466"/>
      <c r="H51" s="466"/>
      <c r="I51" s="467"/>
      <c r="J51" s="467"/>
      <c r="K51" s="1638">
        <f>SUM(C51:J51)</f>
        <v>0</v>
      </c>
      <c r="L51" s="466"/>
    </row>
    <row r="52" spans="1:14" ht="22.5" x14ac:dyDescent="0.2">
      <c r="A52" s="1505" t="s">
        <v>298</v>
      </c>
      <c r="B52" s="627" t="s">
        <v>366</v>
      </c>
      <c r="C52" s="474"/>
      <c r="D52" s="474"/>
      <c r="E52" s="474"/>
      <c r="F52" s="474"/>
      <c r="G52" s="474"/>
      <c r="H52" s="474"/>
      <c r="I52" s="474"/>
      <c r="J52" s="474"/>
      <c r="K52" s="1638">
        <f>SUM(C52:J52)</f>
        <v>0</v>
      </c>
      <c r="L52" s="474"/>
    </row>
    <row r="53" spans="1:14" ht="12.75" customHeight="1" thickBot="1" x14ac:dyDescent="0.25">
      <c r="A53" s="1634" t="s">
        <v>717</v>
      </c>
      <c r="B53" s="1635" t="s">
        <v>33</v>
      </c>
      <c r="C53" s="1636">
        <f>SUM(C49:C52)</f>
        <v>262808</v>
      </c>
      <c r="D53" s="1636">
        <f t="shared" ref="D53:L53" si="5">SUM(D49:D52)</f>
        <v>96767</v>
      </c>
      <c r="E53" s="1636">
        <f t="shared" si="5"/>
        <v>769340</v>
      </c>
      <c r="F53" s="1636">
        <f t="shared" si="5"/>
        <v>34958</v>
      </c>
      <c r="G53" s="1636">
        <f t="shared" si="5"/>
        <v>56278</v>
      </c>
      <c r="H53" s="1636">
        <f t="shared" si="5"/>
        <v>4297</v>
      </c>
      <c r="I53" s="1636">
        <f t="shared" si="5"/>
        <v>0</v>
      </c>
      <c r="J53" s="1636">
        <f t="shared" si="5"/>
        <v>0</v>
      </c>
      <c r="K53" s="1636">
        <f t="shared" si="5"/>
        <v>1224448</v>
      </c>
      <c r="L53" s="1636">
        <f t="shared" si="5"/>
        <v>1113176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366874</v>
      </c>
      <c r="D55" s="481">
        <v>163993</v>
      </c>
      <c r="E55" s="481">
        <v>1650</v>
      </c>
      <c r="F55" s="481">
        <v>6920</v>
      </c>
      <c r="G55" s="481"/>
      <c r="H55" s="481"/>
      <c r="I55" s="467"/>
      <c r="J55" s="467"/>
      <c r="K55" s="1638">
        <f>SUM(C55:J55)</f>
        <v>539437</v>
      </c>
      <c r="L55" s="481">
        <v>573455</v>
      </c>
    </row>
    <row r="56" spans="1:14" ht="12.75" customHeight="1" x14ac:dyDescent="0.2">
      <c r="A56" s="1508" t="s">
        <v>376</v>
      </c>
      <c r="B56" s="628">
        <v>2490</v>
      </c>
      <c r="C56" s="466"/>
      <c r="D56" s="466"/>
      <c r="E56" s="466"/>
      <c r="F56" s="466"/>
      <c r="G56" s="466"/>
      <c r="H56" s="466"/>
      <c r="I56" s="467"/>
      <c r="J56" s="467"/>
      <c r="K56" s="1638">
        <f>SUM(C56:J56)</f>
        <v>0</v>
      </c>
      <c r="L56" s="466"/>
    </row>
    <row r="57" spans="1:14" s="343" customFormat="1" ht="12.75" customHeight="1" thickBot="1" x14ac:dyDescent="0.25">
      <c r="A57" s="1634" t="s">
        <v>263</v>
      </c>
      <c r="B57" s="1639" t="s">
        <v>34</v>
      </c>
      <c r="C57" s="1640">
        <f>SUM(C55:C56)</f>
        <v>366874</v>
      </c>
      <c r="D57" s="1640">
        <f t="shared" ref="D57:K57" si="6">SUM(D55:D56)</f>
        <v>163993</v>
      </c>
      <c r="E57" s="1640">
        <f t="shared" si="6"/>
        <v>1650</v>
      </c>
      <c r="F57" s="1640">
        <f t="shared" si="6"/>
        <v>6920</v>
      </c>
      <c r="G57" s="1640">
        <f t="shared" si="6"/>
        <v>0</v>
      </c>
      <c r="H57" s="1640">
        <f t="shared" si="6"/>
        <v>0</v>
      </c>
      <c r="I57" s="1640">
        <f t="shared" si="6"/>
        <v>0</v>
      </c>
      <c r="J57" s="1640">
        <f t="shared" si="6"/>
        <v>0</v>
      </c>
      <c r="K57" s="1640">
        <f t="shared" si="6"/>
        <v>539437</v>
      </c>
      <c r="L57" s="1636">
        <f>SUM(L55:L56)</f>
        <v>573455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106404</v>
      </c>
      <c r="D59" s="481">
        <v>37094</v>
      </c>
      <c r="E59" s="481"/>
      <c r="F59" s="481"/>
      <c r="G59" s="481"/>
      <c r="H59" s="481"/>
      <c r="I59" s="467"/>
      <c r="J59" s="467"/>
      <c r="K59" s="1638">
        <f t="shared" ref="K59:K64" si="7">SUM(C59:J59)</f>
        <v>143498</v>
      </c>
      <c r="L59" s="481">
        <v>144402</v>
      </c>
      <c r="M59" s="609"/>
      <c r="N59" s="609"/>
    </row>
    <row r="60" spans="1:14" s="343" customFormat="1" x14ac:dyDescent="0.2">
      <c r="A60" s="1504" t="s">
        <v>463</v>
      </c>
      <c r="B60" s="614">
        <v>2520</v>
      </c>
      <c r="C60" s="466"/>
      <c r="D60" s="466"/>
      <c r="E60" s="466">
        <v>39405</v>
      </c>
      <c r="F60" s="466"/>
      <c r="G60" s="466"/>
      <c r="H60" s="466"/>
      <c r="I60" s="467"/>
      <c r="J60" s="467"/>
      <c r="K60" s="1638">
        <f t="shared" si="7"/>
        <v>39405</v>
      </c>
      <c r="L60" s="466">
        <v>64000</v>
      </c>
      <c r="M60" s="609"/>
      <c r="N60" s="609"/>
    </row>
    <row r="61" spans="1:14" s="343" customFormat="1" x14ac:dyDescent="0.2">
      <c r="A61" s="1504" t="s">
        <v>197</v>
      </c>
      <c r="B61" s="614">
        <v>2540</v>
      </c>
      <c r="C61" s="466"/>
      <c r="D61" s="466"/>
      <c r="E61" s="466">
        <v>128948</v>
      </c>
      <c r="F61" s="466">
        <v>46075</v>
      </c>
      <c r="G61" s="466">
        <v>55036</v>
      </c>
      <c r="H61" s="466"/>
      <c r="I61" s="467"/>
      <c r="J61" s="467"/>
      <c r="K61" s="1638">
        <f t="shared" si="7"/>
        <v>230059</v>
      </c>
      <c r="L61" s="466">
        <v>205500</v>
      </c>
      <c r="M61" s="609"/>
      <c r="N61" s="609"/>
    </row>
    <row r="62" spans="1:14" s="343" customFormat="1" x14ac:dyDescent="0.2">
      <c r="A62" s="1504" t="s">
        <v>953</v>
      </c>
      <c r="B62" s="614">
        <v>2550</v>
      </c>
      <c r="C62" s="466">
        <v>9437</v>
      </c>
      <c r="D62" s="466">
        <v>3598</v>
      </c>
      <c r="E62" s="466">
        <v>82678</v>
      </c>
      <c r="F62" s="466"/>
      <c r="G62" s="466"/>
      <c r="H62" s="466"/>
      <c r="I62" s="467"/>
      <c r="J62" s="467"/>
      <c r="K62" s="1638">
        <f t="shared" si="7"/>
        <v>95713</v>
      </c>
      <c r="L62" s="466">
        <v>90000</v>
      </c>
      <c r="M62" s="609"/>
      <c r="N62" s="609"/>
    </row>
    <row r="63" spans="1:14" s="609" customFormat="1" x14ac:dyDescent="0.2">
      <c r="A63" s="1504" t="s">
        <v>100</v>
      </c>
      <c r="B63" s="614">
        <v>2560</v>
      </c>
      <c r="C63" s="466"/>
      <c r="D63" s="466"/>
      <c r="E63" s="466">
        <v>172918</v>
      </c>
      <c r="F63" s="466"/>
      <c r="G63" s="466"/>
      <c r="H63" s="466"/>
      <c r="I63" s="467"/>
      <c r="J63" s="467"/>
      <c r="K63" s="1638">
        <f t="shared" si="7"/>
        <v>172918</v>
      </c>
      <c r="L63" s="466">
        <v>131000</v>
      </c>
    </row>
    <row r="64" spans="1:14" s="609" customFormat="1" x14ac:dyDescent="0.2">
      <c r="A64" s="1509" t="s">
        <v>101</v>
      </c>
      <c r="B64" s="630">
        <v>2570</v>
      </c>
      <c r="C64" s="481"/>
      <c r="D64" s="481"/>
      <c r="E64" s="481"/>
      <c r="F64" s="481"/>
      <c r="G64" s="481"/>
      <c r="H64" s="481"/>
      <c r="I64" s="467"/>
      <c r="J64" s="467"/>
      <c r="K64" s="1638">
        <f t="shared" si="7"/>
        <v>0</v>
      </c>
      <c r="L64" s="481"/>
    </row>
    <row r="65" spans="1:14" s="343" customFormat="1" ht="12.75" customHeight="1" thickBot="1" x14ac:dyDescent="0.25">
      <c r="A65" s="1634" t="s">
        <v>719</v>
      </c>
      <c r="B65" s="1635" t="s">
        <v>35</v>
      </c>
      <c r="C65" s="1636">
        <f>SUM(C59:C64)</f>
        <v>115841</v>
      </c>
      <c r="D65" s="1636">
        <f t="shared" ref="D65:L65" si="8">SUM(D59:D64)</f>
        <v>40692</v>
      </c>
      <c r="E65" s="1636">
        <f t="shared" si="8"/>
        <v>423949</v>
      </c>
      <c r="F65" s="1636">
        <f t="shared" si="8"/>
        <v>46075</v>
      </c>
      <c r="G65" s="1636">
        <f t="shared" si="8"/>
        <v>55036</v>
      </c>
      <c r="H65" s="1636">
        <f t="shared" si="8"/>
        <v>0</v>
      </c>
      <c r="I65" s="1636">
        <f t="shared" si="8"/>
        <v>0</v>
      </c>
      <c r="J65" s="1636">
        <f t="shared" si="8"/>
        <v>0</v>
      </c>
      <c r="K65" s="1636">
        <f t="shared" si="8"/>
        <v>681593</v>
      </c>
      <c r="L65" s="1636">
        <f t="shared" si="8"/>
        <v>634902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38">
        <f>SUM(C67:J67)</f>
        <v>0</v>
      </c>
      <c r="L67" s="481"/>
      <c r="M67" s="609"/>
      <c r="N67" s="609"/>
    </row>
    <row r="68" spans="1:14" s="343" customFormat="1" x14ac:dyDescent="0.2">
      <c r="A68" s="1504" t="s">
        <v>607</v>
      </c>
      <c r="B68" s="614">
        <v>2620</v>
      </c>
      <c r="C68" s="466"/>
      <c r="D68" s="466"/>
      <c r="E68" s="466"/>
      <c r="F68" s="466"/>
      <c r="G68" s="466"/>
      <c r="H68" s="466"/>
      <c r="I68" s="467"/>
      <c r="J68" s="467"/>
      <c r="K68" s="1638">
        <f>SUM(C68:J68)</f>
        <v>0</v>
      </c>
      <c r="L68" s="466"/>
      <c r="M68" s="609"/>
      <c r="N68" s="609"/>
    </row>
    <row r="69" spans="1:14" s="343" customFormat="1" x14ac:dyDescent="0.2">
      <c r="A69" s="1504" t="s">
        <v>1061</v>
      </c>
      <c r="B69" s="614">
        <v>2630</v>
      </c>
      <c r="C69" s="466"/>
      <c r="D69" s="466"/>
      <c r="E69" s="466"/>
      <c r="F69" s="466"/>
      <c r="G69" s="466"/>
      <c r="H69" s="466"/>
      <c r="I69" s="467"/>
      <c r="J69" s="467"/>
      <c r="K69" s="1638">
        <f>SUM(C69:J69)</f>
        <v>0</v>
      </c>
      <c r="L69" s="466"/>
      <c r="M69" s="609"/>
      <c r="N69" s="609"/>
    </row>
    <row r="70" spans="1:14" s="343" customFormat="1" x14ac:dyDescent="0.2">
      <c r="A70" s="1504" t="s">
        <v>403</v>
      </c>
      <c r="B70" s="614">
        <v>2640</v>
      </c>
      <c r="C70" s="466"/>
      <c r="D70" s="466"/>
      <c r="E70" s="466"/>
      <c r="F70" s="466"/>
      <c r="G70" s="466"/>
      <c r="H70" s="466"/>
      <c r="I70" s="467"/>
      <c r="J70" s="467"/>
      <c r="K70" s="1638">
        <f>SUM(C70:J70)</f>
        <v>0</v>
      </c>
      <c r="L70" s="466"/>
      <c r="M70" s="609"/>
      <c r="N70" s="609"/>
    </row>
    <row r="71" spans="1:14" s="343" customFormat="1" x14ac:dyDescent="0.2">
      <c r="A71" s="1504" t="s">
        <v>404</v>
      </c>
      <c r="B71" s="614">
        <v>2660</v>
      </c>
      <c r="C71" s="466"/>
      <c r="D71" s="466"/>
      <c r="E71" s="466">
        <v>63809</v>
      </c>
      <c r="F71" s="466"/>
      <c r="G71" s="466"/>
      <c r="H71" s="466"/>
      <c r="I71" s="467"/>
      <c r="J71" s="467"/>
      <c r="K71" s="1638">
        <f>SUM(C71:J71)</f>
        <v>63809</v>
      </c>
      <c r="L71" s="466">
        <v>75000</v>
      </c>
      <c r="M71" s="609"/>
      <c r="N71" s="609"/>
    </row>
    <row r="72" spans="1:14" s="343" customFormat="1" ht="12.75" customHeight="1" thickBot="1" x14ac:dyDescent="0.25">
      <c r="A72" s="1634" t="s">
        <v>37</v>
      </c>
      <c r="B72" s="1641" t="s">
        <v>36</v>
      </c>
      <c r="C72" s="1636">
        <f>SUM(C67:C71)</f>
        <v>0</v>
      </c>
      <c r="D72" s="1636">
        <f t="shared" ref="D72:K72" si="9">SUM(D67:D71)</f>
        <v>0</v>
      </c>
      <c r="E72" s="1636">
        <f t="shared" si="9"/>
        <v>63809</v>
      </c>
      <c r="F72" s="1636">
        <f t="shared" si="9"/>
        <v>0</v>
      </c>
      <c r="G72" s="1636">
        <f t="shared" si="9"/>
        <v>0</v>
      </c>
      <c r="H72" s="1636">
        <f t="shared" si="9"/>
        <v>0</v>
      </c>
      <c r="I72" s="1636">
        <f t="shared" si="9"/>
        <v>0</v>
      </c>
      <c r="J72" s="1636">
        <f t="shared" si="9"/>
        <v>0</v>
      </c>
      <c r="K72" s="1636">
        <f t="shared" si="9"/>
        <v>63809</v>
      </c>
      <c r="L72" s="1636">
        <f>SUM(L67:L71)</f>
        <v>75000</v>
      </c>
      <c r="M72" s="609"/>
      <c r="N72" s="609"/>
    </row>
    <row r="73" spans="1:14" s="343" customFormat="1" ht="14.25" thickTop="1" thickBot="1" x14ac:dyDescent="0.25">
      <c r="A73" s="1510" t="s">
        <v>980</v>
      </c>
      <c r="B73" s="632" t="s">
        <v>574</v>
      </c>
      <c r="C73" s="573"/>
      <c r="D73" s="573"/>
      <c r="E73" s="573"/>
      <c r="F73" s="573"/>
      <c r="G73" s="573"/>
      <c r="H73" s="573"/>
      <c r="I73" s="531"/>
      <c r="J73" s="531"/>
      <c r="K73" s="1636">
        <f>SUM(C73:J73)</f>
        <v>0</v>
      </c>
      <c r="L73" s="576"/>
      <c r="M73" s="609"/>
      <c r="N73" s="609"/>
    </row>
    <row r="74" spans="1:14" ht="12.75" customHeight="1" thickTop="1" thickBot="1" x14ac:dyDescent="0.25">
      <c r="A74" s="1634" t="s">
        <v>811</v>
      </c>
      <c r="B74" s="1642">
        <v>2000</v>
      </c>
      <c r="C74" s="1643">
        <f>SUM(C42,C47,C53,C57,C65,C72,C73)</f>
        <v>3098826</v>
      </c>
      <c r="D74" s="1643">
        <f t="shared" ref="D74:K74" si="10">SUM(D42,D47,D53,D57,D65,D72,D73)</f>
        <v>917704</v>
      </c>
      <c r="E74" s="1643">
        <f t="shared" si="10"/>
        <v>1880184</v>
      </c>
      <c r="F74" s="1643">
        <f t="shared" si="10"/>
        <v>124856</v>
      </c>
      <c r="G74" s="1643">
        <f t="shared" si="10"/>
        <v>138117</v>
      </c>
      <c r="H74" s="1643">
        <f t="shared" si="10"/>
        <v>8449</v>
      </c>
      <c r="I74" s="1643">
        <f t="shared" si="10"/>
        <v>0</v>
      </c>
      <c r="J74" s="1643">
        <f t="shared" si="10"/>
        <v>0</v>
      </c>
      <c r="K74" s="1643">
        <f t="shared" si="10"/>
        <v>6168136</v>
      </c>
      <c r="L74" s="1643">
        <f>SUM(L42,L47,L53,L57,L65,L72,L73)</f>
        <v>5740232</v>
      </c>
    </row>
    <row r="75" spans="1:14" s="259" customFormat="1" ht="15.75" customHeight="1" thickTop="1" thickBot="1" x14ac:dyDescent="0.25">
      <c r="A75" s="1595" t="s">
        <v>47</v>
      </c>
      <c r="B75" s="1596" t="s">
        <v>575</v>
      </c>
      <c r="C75" s="573"/>
      <c r="D75" s="573"/>
      <c r="E75" s="573"/>
      <c r="F75" s="573"/>
      <c r="G75" s="573"/>
      <c r="H75" s="573"/>
      <c r="I75" s="531"/>
      <c r="J75" s="531"/>
      <c r="K75" s="1636">
        <f>SUM(C75:J75)</f>
        <v>0</v>
      </c>
      <c r="L75" s="576"/>
      <c r="M75" s="613"/>
      <c r="N75" s="613"/>
    </row>
    <row r="76" spans="1:14" s="633" customFormat="1" ht="15.75" customHeight="1" thickTop="1" x14ac:dyDescent="0.2">
      <c r="A76" s="1597" t="s">
        <v>365</v>
      </c>
      <c r="B76" s="1594"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37">
        <f t="shared" ref="K78:K83" si="11">SUM(C78:J78)</f>
        <v>0</v>
      </c>
      <c r="L78" s="481"/>
    </row>
    <row r="79" spans="1:14" x14ac:dyDescent="0.2">
      <c r="A79" s="1504" t="s">
        <v>304</v>
      </c>
      <c r="B79" s="614">
        <v>4120</v>
      </c>
      <c r="C79" s="616"/>
      <c r="D79" s="616"/>
      <c r="E79" s="466">
        <v>12000</v>
      </c>
      <c r="F79" s="616"/>
      <c r="G79" s="616"/>
      <c r="H79" s="466">
        <v>3312862</v>
      </c>
      <c r="I79" s="477"/>
      <c r="J79" s="477"/>
      <c r="K79" s="1637">
        <f t="shared" si="11"/>
        <v>3324862</v>
      </c>
      <c r="L79" s="466">
        <v>3358345</v>
      </c>
    </row>
    <row r="80" spans="1:14" x14ac:dyDescent="0.2">
      <c r="A80" s="1504" t="s">
        <v>305</v>
      </c>
      <c r="B80" s="614">
        <v>4130</v>
      </c>
      <c r="C80" s="616"/>
      <c r="D80" s="616"/>
      <c r="E80" s="466"/>
      <c r="F80" s="616"/>
      <c r="G80" s="616"/>
      <c r="H80" s="466"/>
      <c r="I80" s="477"/>
      <c r="J80" s="477"/>
      <c r="K80" s="1637">
        <f t="shared" si="11"/>
        <v>0</v>
      </c>
      <c r="L80" s="466"/>
    </row>
    <row r="81" spans="1:12" x14ac:dyDescent="0.2">
      <c r="A81" s="1504" t="s">
        <v>697</v>
      </c>
      <c r="B81" s="614">
        <v>4140</v>
      </c>
      <c r="C81" s="616"/>
      <c r="D81" s="616"/>
      <c r="E81" s="466"/>
      <c r="F81" s="616"/>
      <c r="G81" s="616"/>
      <c r="H81" s="466"/>
      <c r="I81" s="477"/>
      <c r="J81" s="477"/>
      <c r="K81" s="1637">
        <f t="shared" si="11"/>
        <v>0</v>
      </c>
      <c r="L81" s="466"/>
    </row>
    <row r="82" spans="1:12" x14ac:dyDescent="0.2">
      <c r="A82" s="1504" t="s">
        <v>86</v>
      </c>
      <c r="B82" s="614">
        <v>4170</v>
      </c>
      <c r="C82" s="616"/>
      <c r="D82" s="616"/>
      <c r="E82" s="466"/>
      <c r="F82" s="616"/>
      <c r="G82" s="616"/>
      <c r="H82" s="466"/>
      <c r="I82" s="477"/>
      <c r="J82" s="477"/>
      <c r="K82" s="1637">
        <f t="shared" si="11"/>
        <v>0</v>
      </c>
      <c r="L82" s="466"/>
    </row>
    <row r="83" spans="1:12" x14ac:dyDescent="0.2">
      <c r="A83" s="1508" t="s">
        <v>698</v>
      </c>
      <c r="B83" s="628">
        <v>4190</v>
      </c>
      <c r="C83" s="616"/>
      <c r="D83" s="616"/>
      <c r="E83" s="466"/>
      <c r="F83" s="616"/>
      <c r="G83" s="616"/>
      <c r="H83" s="466"/>
      <c r="I83" s="477"/>
      <c r="J83" s="477"/>
      <c r="K83" s="1637">
        <f t="shared" si="11"/>
        <v>0</v>
      </c>
      <c r="L83" s="466"/>
    </row>
    <row r="84" spans="1:12" ht="13.5" thickBot="1" x14ac:dyDescent="0.25">
      <c r="A84" s="1634" t="s">
        <v>1485</v>
      </c>
      <c r="B84" s="1644">
        <v>4100</v>
      </c>
      <c r="C84" s="616"/>
      <c r="D84" s="616"/>
      <c r="E84" s="1636">
        <f>SUM(E78:E83)</f>
        <v>12000</v>
      </c>
      <c r="F84" s="616"/>
      <c r="G84" s="616"/>
      <c r="H84" s="1636">
        <f>SUM(H78:H83)</f>
        <v>3312862</v>
      </c>
      <c r="I84" s="477"/>
      <c r="J84" s="477"/>
      <c r="K84" s="1636">
        <f>SUM(K78:K83)</f>
        <v>3324862</v>
      </c>
      <c r="L84" s="1636">
        <f>SUM(L78:L83)</f>
        <v>3358345</v>
      </c>
    </row>
    <row r="85" spans="1:12" ht="12.75" customHeight="1" thickTop="1" thickBot="1" x14ac:dyDescent="0.25">
      <c r="A85" s="1511" t="s">
        <v>255</v>
      </c>
      <c r="B85" s="635">
        <v>4210</v>
      </c>
      <c r="C85" s="616"/>
      <c r="D85" s="616"/>
      <c r="E85" s="636"/>
      <c r="F85" s="616"/>
      <c r="G85" s="616"/>
      <c r="H85" s="535"/>
      <c r="I85" s="477"/>
      <c r="J85" s="477"/>
      <c r="K85" s="1643">
        <f>H85</f>
        <v>0</v>
      </c>
      <c r="L85" s="530"/>
    </row>
    <row r="86" spans="1:12" ht="12.75" customHeight="1" thickTop="1" thickBot="1" x14ac:dyDescent="0.25">
      <c r="A86" s="1512" t="s">
        <v>699</v>
      </c>
      <c r="B86" s="637">
        <v>4220</v>
      </c>
      <c r="C86" s="616"/>
      <c r="D86" s="616"/>
      <c r="E86" s="638"/>
      <c r="F86" s="616"/>
      <c r="G86" s="616"/>
      <c r="H86" s="467"/>
      <c r="I86" s="477"/>
      <c r="J86" s="477"/>
      <c r="K86" s="1643">
        <f t="shared" ref="K86:K98" si="12">H86</f>
        <v>0</v>
      </c>
      <c r="L86" s="530"/>
    </row>
    <row r="87" spans="1:12" ht="14.25" thickTop="1" thickBot="1" x14ac:dyDescent="0.25">
      <c r="A87" s="1513" t="s">
        <v>700</v>
      </c>
      <c r="B87" s="639">
        <v>4230</v>
      </c>
      <c r="C87" s="616"/>
      <c r="D87" s="616"/>
      <c r="E87" s="638"/>
      <c r="F87" s="616"/>
      <c r="G87" s="616"/>
      <c r="H87" s="467"/>
      <c r="I87" s="477"/>
      <c r="J87" s="477"/>
      <c r="K87" s="1643">
        <f t="shared" si="12"/>
        <v>0</v>
      </c>
      <c r="L87" s="530"/>
    </row>
    <row r="88" spans="1:12" ht="12.75" customHeight="1" thickTop="1" thickBot="1" x14ac:dyDescent="0.25">
      <c r="A88" s="1513" t="s">
        <v>765</v>
      </c>
      <c r="B88" s="639">
        <v>4240</v>
      </c>
      <c r="C88" s="616"/>
      <c r="D88" s="616"/>
      <c r="E88" s="638"/>
      <c r="F88" s="616"/>
      <c r="G88" s="616"/>
      <c r="H88" s="467"/>
      <c r="I88" s="477"/>
      <c r="J88" s="477"/>
      <c r="K88" s="1643">
        <f t="shared" si="12"/>
        <v>0</v>
      </c>
      <c r="L88" s="530"/>
    </row>
    <row r="89" spans="1:12" ht="12.75" customHeight="1" thickTop="1" thickBot="1" x14ac:dyDescent="0.25">
      <c r="A89" s="1513" t="s">
        <v>701</v>
      </c>
      <c r="B89" s="639">
        <v>4270</v>
      </c>
      <c r="C89" s="616"/>
      <c r="D89" s="616"/>
      <c r="E89" s="638"/>
      <c r="F89" s="616"/>
      <c r="G89" s="616"/>
      <c r="H89" s="467"/>
      <c r="I89" s="477"/>
      <c r="J89" s="477"/>
      <c r="K89" s="1643">
        <f t="shared" si="12"/>
        <v>0</v>
      </c>
      <c r="L89" s="530"/>
    </row>
    <row r="90" spans="1:12" ht="12.75" customHeight="1" thickTop="1" thickBot="1" x14ac:dyDescent="0.25">
      <c r="A90" s="1513" t="s">
        <v>686</v>
      </c>
      <c r="B90" s="639">
        <v>4280</v>
      </c>
      <c r="C90" s="616"/>
      <c r="D90" s="616"/>
      <c r="E90" s="638"/>
      <c r="F90" s="616"/>
      <c r="G90" s="616"/>
      <c r="H90" s="467"/>
      <c r="I90" s="477"/>
      <c r="J90" s="477"/>
      <c r="K90" s="1643">
        <f t="shared" si="12"/>
        <v>0</v>
      </c>
      <c r="L90" s="530"/>
    </row>
    <row r="91" spans="1:12" ht="12.75" customHeight="1" thickTop="1" thickBot="1" x14ac:dyDescent="0.25">
      <c r="A91" s="1513" t="s">
        <v>687</v>
      </c>
      <c r="B91" s="639">
        <v>4290</v>
      </c>
      <c r="C91" s="616"/>
      <c r="D91" s="616"/>
      <c r="E91" s="638"/>
      <c r="F91" s="616"/>
      <c r="G91" s="616"/>
      <c r="H91" s="467"/>
      <c r="I91" s="477"/>
      <c r="J91" s="477"/>
      <c r="K91" s="1643">
        <f t="shared" si="12"/>
        <v>0</v>
      </c>
      <c r="L91" s="530"/>
    </row>
    <row r="92" spans="1:12" ht="14.25" thickTop="1" thickBot="1" x14ac:dyDescent="0.25">
      <c r="A92" s="1646" t="s">
        <v>1560</v>
      </c>
      <c r="B92" s="1644">
        <v>4200</v>
      </c>
      <c r="C92" s="616"/>
      <c r="D92" s="616"/>
      <c r="E92" s="638"/>
      <c r="F92" s="616"/>
      <c r="G92" s="616"/>
      <c r="H92" s="1636">
        <f>SUM(H85:H91)</f>
        <v>0</v>
      </c>
      <c r="I92" s="477"/>
      <c r="J92" s="477"/>
      <c r="K92" s="1643">
        <f t="shared" si="12"/>
        <v>0</v>
      </c>
      <c r="L92" s="1636">
        <f>SUM(L85:L91)</f>
        <v>0</v>
      </c>
    </row>
    <row r="93" spans="1:12" ht="14.25" thickTop="1" thickBot="1" x14ac:dyDescent="0.25">
      <c r="A93" s="1512" t="s">
        <v>688</v>
      </c>
      <c r="B93" s="640">
        <v>4310</v>
      </c>
      <c r="C93" s="616"/>
      <c r="D93" s="616"/>
      <c r="E93" s="638"/>
      <c r="F93" s="616"/>
      <c r="G93" s="616"/>
      <c r="H93" s="641"/>
      <c r="I93" s="477"/>
      <c r="J93" s="477"/>
      <c r="K93" s="1643">
        <f t="shared" si="12"/>
        <v>0</v>
      </c>
      <c r="L93" s="532"/>
    </row>
    <row r="94" spans="1:12" ht="12.75" customHeight="1" thickTop="1" thickBot="1" x14ac:dyDescent="0.25">
      <c r="A94" s="1513" t="s">
        <v>689</v>
      </c>
      <c r="B94" s="639">
        <v>4320</v>
      </c>
      <c r="C94" s="616"/>
      <c r="D94" s="616"/>
      <c r="E94" s="638"/>
      <c r="F94" s="616"/>
      <c r="G94" s="616"/>
      <c r="H94" s="467"/>
      <c r="I94" s="477"/>
      <c r="J94" s="477"/>
      <c r="K94" s="1643">
        <f t="shared" si="12"/>
        <v>0</v>
      </c>
      <c r="L94" s="530"/>
    </row>
    <row r="95" spans="1:12" ht="15" customHeight="1" thickTop="1" thickBot="1" x14ac:dyDescent="0.25">
      <c r="A95" s="1513" t="s">
        <v>1488</v>
      </c>
      <c r="B95" s="639">
        <v>4330</v>
      </c>
      <c r="C95" s="616"/>
      <c r="D95" s="616"/>
      <c r="E95" s="638"/>
      <c r="F95" s="616"/>
      <c r="G95" s="616"/>
      <c r="H95" s="467"/>
      <c r="I95" s="477"/>
      <c r="J95" s="477"/>
      <c r="K95" s="1643">
        <f t="shared" si="12"/>
        <v>0</v>
      </c>
      <c r="L95" s="530"/>
    </row>
    <row r="96" spans="1:12" ht="14.25" thickTop="1" thickBot="1" x14ac:dyDescent="0.25">
      <c r="A96" s="1513" t="s">
        <v>690</v>
      </c>
      <c r="B96" s="639">
        <v>4340</v>
      </c>
      <c r="C96" s="616"/>
      <c r="D96" s="616"/>
      <c r="E96" s="638"/>
      <c r="F96" s="616"/>
      <c r="G96" s="616"/>
      <c r="H96" s="467"/>
      <c r="I96" s="477"/>
      <c r="J96" s="477"/>
      <c r="K96" s="1643">
        <f t="shared" si="12"/>
        <v>0</v>
      </c>
      <c r="L96" s="530"/>
    </row>
    <row r="97" spans="1:14" ht="12.75" customHeight="1" thickTop="1" thickBot="1" x14ac:dyDescent="0.25">
      <c r="A97" s="1513" t="s">
        <v>763</v>
      </c>
      <c r="B97" s="639">
        <v>4370</v>
      </c>
      <c r="C97" s="616"/>
      <c r="D97" s="616"/>
      <c r="E97" s="638"/>
      <c r="F97" s="616"/>
      <c r="G97" s="616"/>
      <c r="H97" s="467"/>
      <c r="I97" s="477"/>
      <c r="J97" s="477"/>
      <c r="K97" s="1643">
        <f t="shared" si="12"/>
        <v>0</v>
      </c>
      <c r="L97" s="530"/>
    </row>
    <row r="98" spans="1:14" ht="14.25" thickTop="1" thickBot="1" x14ac:dyDescent="0.25">
      <c r="A98" s="1513" t="s">
        <v>764</v>
      </c>
      <c r="B98" s="639">
        <v>4380</v>
      </c>
      <c r="C98" s="616"/>
      <c r="D98" s="616"/>
      <c r="E98" s="642"/>
      <c r="F98" s="616"/>
      <c r="G98" s="616"/>
      <c r="H98" s="467"/>
      <c r="I98" s="477"/>
      <c r="J98" s="477"/>
      <c r="K98" s="1643">
        <f t="shared" si="12"/>
        <v>0</v>
      </c>
      <c r="L98" s="530"/>
    </row>
    <row r="99" spans="1:14" ht="14.25" thickTop="1" thickBot="1" x14ac:dyDescent="0.25">
      <c r="A99" s="1513" t="s">
        <v>367</v>
      </c>
      <c r="B99" s="639">
        <v>4390</v>
      </c>
      <c r="C99" s="616"/>
      <c r="D99" s="616"/>
      <c r="E99" s="532"/>
      <c r="F99" s="616"/>
      <c r="G99" s="616"/>
      <c r="H99" s="467"/>
      <c r="I99" s="477"/>
      <c r="J99" s="477"/>
      <c r="K99" s="1643">
        <f>SUM(E99,H99)</f>
        <v>0</v>
      </c>
      <c r="L99" s="530"/>
    </row>
    <row r="100" spans="1:14" ht="14.25" thickTop="1" thickBot="1" x14ac:dyDescent="0.25">
      <c r="A100" s="1646" t="s">
        <v>1486</v>
      </c>
      <c r="B100" s="1647">
        <v>4300</v>
      </c>
      <c r="C100" s="616"/>
      <c r="D100" s="616"/>
      <c r="E100" s="1643">
        <f>SUM(E93:E99)</f>
        <v>0</v>
      </c>
      <c r="F100" s="616"/>
      <c r="G100" s="616"/>
      <c r="H100" s="1643">
        <f>SUM(H93:H99)</f>
        <v>0</v>
      </c>
      <c r="I100" s="477"/>
      <c r="J100" s="477"/>
      <c r="K100" s="1643">
        <f>SUM(K93:K99)</f>
        <v>0</v>
      </c>
      <c r="L100" s="1643">
        <f>SUM(L93:L99)</f>
        <v>0</v>
      </c>
    </row>
    <row r="101" spans="1:14" ht="12.75" customHeight="1" thickTop="1" thickBot="1" x14ac:dyDescent="0.25">
      <c r="A101" s="1510" t="s">
        <v>1489</v>
      </c>
      <c r="B101" s="643" t="s">
        <v>931</v>
      </c>
      <c r="C101" s="616"/>
      <c r="D101" s="616"/>
      <c r="E101" s="531"/>
      <c r="F101" s="616"/>
      <c r="G101" s="616"/>
      <c r="H101" s="531"/>
      <c r="I101" s="477"/>
      <c r="J101" s="477"/>
      <c r="K101" s="1645">
        <f>SUM(C101:J101)</f>
        <v>0</v>
      </c>
      <c r="L101" s="530"/>
    </row>
    <row r="102" spans="1:14" ht="12.75" customHeight="1" thickTop="1" thickBot="1" x14ac:dyDescent="0.25">
      <c r="A102" s="1634" t="s">
        <v>1487</v>
      </c>
      <c r="B102" s="1644">
        <v>4000</v>
      </c>
      <c r="C102" s="616"/>
      <c r="D102" s="616"/>
      <c r="E102" s="1643">
        <f>SUM(E84,E92,E100,E101)</f>
        <v>12000</v>
      </c>
      <c r="F102" s="616"/>
      <c r="G102" s="616"/>
      <c r="H102" s="1643">
        <f>SUM(H84,H92,H100,H101)</f>
        <v>3312862</v>
      </c>
      <c r="I102" s="477"/>
      <c r="J102" s="477"/>
      <c r="K102" s="1643">
        <f>SUM(K84,K92,K100,K101)</f>
        <v>3324862</v>
      </c>
      <c r="L102" s="1643">
        <f>SUM(L84,L92,L100,L101)</f>
        <v>3358345</v>
      </c>
    </row>
    <row r="103" spans="1:14" s="633" customFormat="1" ht="15.75" customHeight="1" thickTop="1" x14ac:dyDescent="0.2">
      <c r="A103" s="1597" t="s">
        <v>513</v>
      </c>
      <c r="B103" s="1594"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37">
        <f>H105</f>
        <v>0</v>
      </c>
      <c r="L105" s="481"/>
      <c r="M105" s="210"/>
      <c r="N105" s="210"/>
    </row>
    <row r="106" spans="1:14" s="597" customFormat="1" x14ac:dyDescent="0.2">
      <c r="A106" s="1504" t="s">
        <v>88</v>
      </c>
      <c r="B106" s="614">
        <v>5120</v>
      </c>
      <c r="C106" s="616"/>
      <c r="D106" s="616"/>
      <c r="E106" s="616"/>
      <c r="F106" s="616"/>
      <c r="G106" s="616"/>
      <c r="H106" s="466"/>
      <c r="I106" s="468"/>
      <c r="J106" s="468"/>
      <c r="K106" s="1637">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37">
        <f>H107</f>
        <v>0</v>
      </c>
      <c r="L107" s="466"/>
      <c r="M107" s="210"/>
      <c r="N107" s="210"/>
    </row>
    <row r="108" spans="1:14" s="597" customFormat="1" x14ac:dyDescent="0.2">
      <c r="A108" s="1504" t="s">
        <v>89</v>
      </c>
      <c r="B108" s="614" t="s">
        <v>589</v>
      </c>
      <c r="C108" s="616"/>
      <c r="D108" s="616"/>
      <c r="E108" s="616"/>
      <c r="F108" s="616"/>
      <c r="G108" s="616"/>
      <c r="H108" s="466"/>
      <c r="I108" s="468"/>
      <c r="J108" s="468"/>
      <c r="K108" s="1637">
        <f>H108</f>
        <v>0</v>
      </c>
      <c r="L108" s="466"/>
      <c r="M108" s="210"/>
      <c r="N108" s="210"/>
    </row>
    <row r="109" spans="1:14" s="597" customFormat="1" x14ac:dyDescent="0.2">
      <c r="A109" s="1504" t="s">
        <v>254</v>
      </c>
      <c r="B109" s="628">
        <v>5150</v>
      </c>
      <c r="C109" s="616"/>
      <c r="D109" s="616"/>
      <c r="E109" s="616"/>
      <c r="F109" s="616"/>
      <c r="G109" s="616"/>
      <c r="H109" s="466"/>
      <c r="I109" s="468"/>
      <c r="J109" s="468"/>
      <c r="K109" s="1637">
        <f>H109</f>
        <v>0</v>
      </c>
      <c r="L109" s="466"/>
      <c r="M109" s="210"/>
      <c r="N109" s="210"/>
    </row>
    <row r="110" spans="1:14" s="597" customFormat="1" ht="12.75" customHeight="1" thickBot="1" x14ac:dyDescent="0.25">
      <c r="A110" s="1634" t="s">
        <v>1102</v>
      </c>
      <c r="B110" s="1641" t="s">
        <v>718</v>
      </c>
      <c r="C110" s="616"/>
      <c r="D110" s="616"/>
      <c r="E110" s="616"/>
      <c r="F110" s="616"/>
      <c r="G110" s="616"/>
      <c r="H110" s="1636">
        <f>SUM(H105:H109)</f>
        <v>0</v>
      </c>
      <c r="I110" s="468"/>
      <c r="J110" s="468"/>
      <c r="K110" s="1636">
        <f>SUM(K105:K109)</f>
        <v>0</v>
      </c>
      <c r="L110" s="1636">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49">
        <f>H111</f>
        <v>0</v>
      </c>
      <c r="L111" s="532"/>
      <c r="M111" s="210"/>
      <c r="N111" s="210"/>
    </row>
    <row r="112" spans="1:14" s="597" customFormat="1" ht="12.75" customHeight="1" thickTop="1" thickBot="1" x14ac:dyDescent="0.25">
      <c r="A112" s="1634" t="s">
        <v>638</v>
      </c>
      <c r="B112" s="1635" t="s">
        <v>492</v>
      </c>
      <c r="C112" s="616"/>
      <c r="D112" s="616"/>
      <c r="E112" s="616"/>
      <c r="F112" s="616"/>
      <c r="G112" s="616"/>
      <c r="H112" s="1636">
        <f>SUM(H110:H111)</f>
        <v>0</v>
      </c>
      <c r="I112" s="468"/>
      <c r="J112" s="468"/>
      <c r="K112" s="1636">
        <f>SUM(K110:K111)</f>
        <v>0</v>
      </c>
      <c r="L112" s="1643">
        <f>SUM(L110,L111)</f>
        <v>0</v>
      </c>
      <c r="M112" s="210"/>
      <c r="N112" s="210"/>
    </row>
    <row r="113" spans="1:14" s="259" customFormat="1" ht="15.75" customHeight="1" thickTop="1" thickBot="1" x14ac:dyDescent="0.25">
      <c r="A113" s="1591" t="s">
        <v>514</v>
      </c>
      <c r="B113" s="1598" t="s">
        <v>861</v>
      </c>
      <c r="C113" s="623"/>
      <c r="D113" s="623"/>
      <c r="E113" s="616"/>
      <c r="F113" s="616"/>
      <c r="G113" s="616"/>
      <c r="H113" s="623"/>
      <c r="I113" s="468"/>
      <c r="J113" s="468"/>
      <c r="K113" s="623"/>
      <c r="L113" s="531"/>
      <c r="M113" s="613"/>
      <c r="N113" s="613"/>
    </row>
    <row r="114" spans="1:14" ht="12.75" customHeight="1" thickTop="1" thickBot="1" x14ac:dyDescent="0.25">
      <c r="A114" s="1634" t="s">
        <v>48</v>
      </c>
      <c r="B114" s="1648"/>
      <c r="C114" s="1636">
        <f>SUM(C33,C74,C75,C102,C112,C113)</f>
        <v>7707304</v>
      </c>
      <c r="D114" s="1636">
        <f t="shared" ref="D114:K114" si="13">SUM(D33,D74,D75,D102,D112,D113)</f>
        <v>2213212</v>
      </c>
      <c r="E114" s="1636">
        <f t="shared" si="13"/>
        <v>2149109</v>
      </c>
      <c r="F114" s="1636">
        <f t="shared" si="13"/>
        <v>251500</v>
      </c>
      <c r="G114" s="1636">
        <f t="shared" si="13"/>
        <v>264075</v>
      </c>
      <c r="H114" s="1636">
        <f>SUM(H33,H74,H75,H102,H112,H113)</f>
        <v>3321311</v>
      </c>
      <c r="I114" s="1636">
        <f t="shared" si="13"/>
        <v>0</v>
      </c>
      <c r="J114" s="1636">
        <f t="shared" si="13"/>
        <v>0</v>
      </c>
      <c r="K114" s="1636">
        <f t="shared" si="13"/>
        <v>15906511</v>
      </c>
      <c r="L114" s="1636">
        <f>SUM(L33,L74,L75,L102,L112,L113)</f>
        <v>15162988</v>
      </c>
    </row>
    <row r="115" spans="1:14" ht="13.5" thickTop="1" x14ac:dyDescent="0.2">
      <c r="A115" s="2208" t="s">
        <v>996</v>
      </c>
      <c r="B115" s="2209"/>
      <c r="C115" s="618"/>
      <c r="D115" s="618"/>
      <c r="E115" s="618"/>
      <c r="F115" s="618"/>
      <c r="G115" s="618"/>
      <c r="H115" s="618"/>
      <c r="I115" s="618"/>
      <c r="J115" s="618"/>
      <c r="K115" s="1650">
        <f>'Revenues 9-14'!C268-'Expenditures 15-22'!K114</f>
        <v>-700791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6" t="s">
        <v>296</v>
      </c>
      <c r="B117" s="2187"/>
      <c r="C117" s="1611"/>
      <c r="D117" s="1612"/>
      <c r="E117" s="1612"/>
      <c r="F117" s="1612"/>
      <c r="G117" s="1612"/>
      <c r="H117" s="1612"/>
      <c r="I117" s="1612"/>
      <c r="J117" s="1612"/>
      <c r="K117" s="1612"/>
      <c r="L117" s="1613"/>
      <c r="M117" s="175"/>
      <c r="N117" s="175"/>
    </row>
    <row r="118" spans="1:14" ht="15.75" customHeight="1" x14ac:dyDescent="0.2">
      <c r="A118" s="1599" t="s">
        <v>1035</v>
      </c>
      <c r="B118" s="1600"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3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36">
        <f>SUM(C122:J122)</f>
        <v>0</v>
      </c>
      <c r="L122" s="466"/>
    </row>
    <row r="123" spans="1:14" ht="14.25" thickTop="1" thickBot="1" x14ac:dyDescent="0.25">
      <c r="A123" s="1504" t="s">
        <v>4</v>
      </c>
      <c r="B123" s="614">
        <v>2530</v>
      </c>
      <c r="C123" s="466"/>
      <c r="D123" s="466"/>
      <c r="E123" s="466"/>
      <c r="F123" s="466"/>
      <c r="G123" s="466"/>
      <c r="H123" s="466"/>
      <c r="I123" s="467"/>
      <c r="J123" s="467"/>
      <c r="K123" s="1636">
        <f>SUM(C123:J123)</f>
        <v>0</v>
      </c>
      <c r="L123" s="466"/>
    </row>
    <row r="124" spans="1:14" ht="14.25" thickTop="1" thickBot="1" x14ac:dyDescent="0.25">
      <c r="A124" s="1504" t="s">
        <v>197</v>
      </c>
      <c r="B124" s="614">
        <v>2540</v>
      </c>
      <c r="C124" s="466"/>
      <c r="D124" s="466"/>
      <c r="E124" s="466"/>
      <c r="F124" s="466"/>
      <c r="G124" s="466"/>
      <c r="H124" s="466"/>
      <c r="I124" s="467"/>
      <c r="J124" s="467"/>
      <c r="K124" s="1636">
        <f>SUM(C124:J124)</f>
        <v>0</v>
      </c>
      <c r="L124" s="466"/>
    </row>
    <row r="125" spans="1:14" ht="14.25" thickTop="1" thickBot="1" x14ac:dyDescent="0.25">
      <c r="A125" s="1504" t="s">
        <v>953</v>
      </c>
      <c r="B125" s="614">
        <v>2550</v>
      </c>
      <c r="C125" s="466"/>
      <c r="D125" s="466"/>
      <c r="E125" s="466"/>
      <c r="F125" s="466"/>
      <c r="G125" s="466"/>
      <c r="H125" s="466"/>
      <c r="I125" s="467"/>
      <c r="J125" s="467"/>
      <c r="K125" s="1636">
        <f>SUM(C125:J125)</f>
        <v>0</v>
      </c>
      <c r="L125" s="466"/>
    </row>
    <row r="126" spans="1:14" ht="14.25" thickTop="1" thickBot="1" x14ac:dyDescent="0.25">
      <c r="A126" s="1504" t="s">
        <v>100</v>
      </c>
      <c r="B126" s="614">
        <v>2560</v>
      </c>
      <c r="C126" s="654"/>
      <c r="D126" s="654"/>
      <c r="E126" s="654"/>
      <c r="F126" s="654"/>
      <c r="G126" s="466"/>
      <c r="H126" s="654"/>
      <c r="I126" s="474"/>
      <c r="J126" s="616"/>
      <c r="K126" s="1636">
        <f>SUM(C126:J126)</f>
        <v>0</v>
      </c>
      <c r="L126" s="466"/>
    </row>
    <row r="127" spans="1:14" ht="12.75" customHeight="1" thickTop="1" thickBot="1" x14ac:dyDescent="0.25">
      <c r="A127" s="1634" t="s">
        <v>719</v>
      </c>
      <c r="B127" s="1635" t="s">
        <v>35</v>
      </c>
      <c r="C127" s="1636">
        <f>SUM(C122:C126)</f>
        <v>0</v>
      </c>
      <c r="D127" s="1636">
        <f t="shared" ref="D127:L127" si="14">SUM(D122:D126)</f>
        <v>0</v>
      </c>
      <c r="E127" s="1636">
        <f t="shared" si="14"/>
        <v>0</v>
      </c>
      <c r="F127" s="1636">
        <f t="shared" si="14"/>
        <v>0</v>
      </c>
      <c r="G127" s="1636">
        <f t="shared" si="14"/>
        <v>0</v>
      </c>
      <c r="H127" s="1636">
        <f t="shared" si="14"/>
        <v>0</v>
      </c>
      <c r="I127" s="1636">
        <f t="shared" si="14"/>
        <v>0</v>
      </c>
      <c r="J127" s="1636">
        <f t="shared" si="14"/>
        <v>0</v>
      </c>
      <c r="K127" s="1636">
        <f t="shared" si="14"/>
        <v>0</v>
      </c>
      <c r="L127" s="1636">
        <f t="shared" si="14"/>
        <v>0</v>
      </c>
    </row>
    <row r="128" spans="1:14" ht="12.75" customHeight="1" thickTop="1" x14ac:dyDescent="0.2">
      <c r="A128" s="1511" t="s">
        <v>980</v>
      </c>
      <c r="B128" s="655" t="s">
        <v>574</v>
      </c>
      <c r="C128" s="656"/>
      <c r="D128" s="656"/>
      <c r="E128" s="656"/>
      <c r="F128" s="656"/>
      <c r="G128" s="656"/>
      <c r="H128" s="656"/>
      <c r="I128" s="535"/>
      <c r="J128" s="535"/>
      <c r="K128" s="1651">
        <f>SUM(C128:J128)</f>
        <v>0</v>
      </c>
      <c r="L128" s="656"/>
    </row>
    <row r="129" spans="1:14" ht="12.75" customHeight="1" thickBot="1" x14ac:dyDescent="0.25">
      <c r="A129" s="1652" t="s">
        <v>811</v>
      </c>
      <c r="B129" s="1653" t="s">
        <v>569</v>
      </c>
      <c r="C129" s="1643">
        <f>SUM(C120,C127,C128)</f>
        <v>0</v>
      </c>
      <c r="D129" s="1643">
        <f t="shared" ref="D129:L129" si="15">SUM(D120,D127,D128)</f>
        <v>0</v>
      </c>
      <c r="E129" s="1643">
        <f t="shared" si="15"/>
        <v>0</v>
      </c>
      <c r="F129" s="1643">
        <f t="shared" si="15"/>
        <v>0</v>
      </c>
      <c r="G129" s="1643">
        <f t="shared" si="15"/>
        <v>0</v>
      </c>
      <c r="H129" s="1643">
        <f t="shared" si="15"/>
        <v>0</v>
      </c>
      <c r="I129" s="1643">
        <f t="shared" si="15"/>
        <v>0</v>
      </c>
      <c r="J129" s="1643">
        <f t="shared" si="15"/>
        <v>0</v>
      </c>
      <c r="K129" s="1643">
        <f t="shared" si="15"/>
        <v>0</v>
      </c>
      <c r="L129" s="1643">
        <f t="shared" si="15"/>
        <v>0</v>
      </c>
    </row>
    <row r="130" spans="1:14" ht="15.75" customHeight="1" thickTop="1" thickBot="1" x14ac:dyDescent="0.25">
      <c r="A130" s="1595" t="s">
        <v>1036</v>
      </c>
      <c r="B130" s="1596" t="s">
        <v>575</v>
      </c>
      <c r="C130" s="576"/>
      <c r="D130" s="576"/>
      <c r="E130" s="576"/>
      <c r="F130" s="576"/>
      <c r="G130" s="576"/>
      <c r="H130" s="576"/>
      <c r="I130" s="531"/>
      <c r="J130" s="531"/>
      <c r="K130" s="1636">
        <f>SUM(C130:J130)</f>
        <v>0</v>
      </c>
      <c r="L130" s="576"/>
    </row>
    <row r="131" spans="1:14" ht="15.75" customHeight="1" thickTop="1" x14ac:dyDescent="0.2">
      <c r="A131" s="1601" t="s">
        <v>616</v>
      </c>
      <c r="B131" s="1594"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00" t="s">
        <v>1841</v>
      </c>
      <c r="C133" s="468"/>
      <c r="D133" s="468"/>
      <c r="E133" s="641"/>
      <c r="F133" s="468"/>
      <c r="G133" s="468"/>
      <c r="H133" s="641"/>
      <c r="I133" s="468"/>
      <c r="J133" s="468"/>
      <c r="K133" s="1781">
        <f>SUM(E133,H133)</f>
        <v>0</v>
      </c>
      <c r="L133" s="641"/>
      <c r="M133" s="206"/>
      <c r="N133" s="206"/>
    </row>
    <row r="134" spans="1:14" x14ac:dyDescent="0.2">
      <c r="A134" s="1504" t="s">
        <v>304</v>
      </c>
      <c r="B134" s="614">
        <v>4120</v>
      </c>
      <c r="C134" s="616"/>
      <c r="D134" s="616"/>
      <c r="E134" s="478"/>
      <c r="F134" s="616"/>
      <c r="G134" s="616"/>
      <c r="H134" s="481"/>
      <c r="I134" s="477"/>
      <c r="J134" s="616"/>
      <c r="K134" s="1638">
        <f>SUM(E134,H134)</f>
        <v>0</v>
      </c>
      <c r="L134" s="481"/>
    </row>
    <row r="135" spans="1:14" x14ac:dyDescent="0.2">
      <c r="A135" s="1504" t="s">
        <v>697</v>
      </c>
      <c r="B135" s="614">
        <v>4140</v>
      </c>
      <c r="C135" s="616"/>
      <c r="D135" s="616"/>
      <c r="E135" s="467"/>
      <c r="F135" s="616"/>
      <c r="G135" s="616"/>
      <c r="H135" s="466"/>
      <c r="I135" s="477"/>
      <c r="J135" s="616"/>
      <c r="K135" s="1638">
        <f>SUM(E135,H135)</f>
        <v>0</v>
      </c>
      <c r="L135" s="466"/>
    </row>
    <row r="136" spans="1:14" x14ac:dyDescent="0.2">
      <c r="A136" s="1508" t="s">
        <v>698</v>
      </c>
      <c r="B136" s="628">
        <v>4190</v>
      </c>
      <c r="C136" s="616"/>
      <c r="D136" s="616"/>
      <c r="E136" s="467"/>
      <c r="F136" s="616"/>
      <c r="G136" s="616"/>
      <c r="H136" s="466"/>
      <c r="I136" s="477"/>
      <c r="J136" s="616"/>
      <c r="K136" s="1638">
        <f>SUM(E136,H136)</f>
        <v>0</v>
      </c>
      <c r="L136" s="466"/>
    </row>
    <row r="137" spans="1:14" ht="12.75" customHeight="1" thickBot="1" x14ac:dyDescent="0.25">
      <c r="A137" s="1634" t="s">
        <v>480</v>
      </c>
      <c r="B137" s="1644">
        <v>4100</v>
      </c>
      <c r="C137" s="616"/>
      <c r="D137" s="616"/>
      <c r="E137" s="1636">
        <f>SUM(E133:E136)</f>
        <v>0</v>
      </c>
      <c r="F137" s="616"/>
      <c r="G137" s="616"/>
      <c r="H137" s="1636">
        <f>SUM(H133:H136)</f>
        <v>0</v>
      </c>
      <c r="I137" s="477"/>
      <c r="J137" s="616"/>
      <c r="K137" s="1636">
        <f>SUM(K133:K136)</f>
        <v>0</v>
      </c>
      <c r="L137" s="1636">
        <f>SUM(L133:L136)</f>
        <v>0</v>
      </c>
    </row>
    <row r="138" spans="1:14" ht="12.75" customHeight="1" thickTop="1" thickBot="1" x14ac:dyDescent="0.25">
      <c r="A138" s="1510" t="s">
        <v>96</v>
      </c>
      <c r="B138" s="643" t="s">
        <v>931</v>
      </c>
      <c r="C138" s="616"/>
      <c r="D138" s="616"/>
      <c r="E138" s="479"/>
      <c r="F138" s="616"/>
      <c r="G138" s="616"/>
      <c r="H138" s="576"/>
      <c r="I138" s="477"/>
      <c r="J138" s="616"/>
      <c r="K138" s="1638">
        <f>SUM(E138,H138)</f>
        <v>0</v>
      </c>
      <c r="L138" s="576"/>
    </row>
    <row r="139" spans="1:14" ht="12.75" customHeight="1" thickTop="1" thickBot="1" x14ac:dyDescent="0.25">
      <c r="A139" s="1634" t="s">
        <v>1487</v>
      </c>
      <c r="B139" s="1644">
        <v>4000</v>
      </c>
      <c r="C139" s="616"/>
      <c r="D139" s="616"/>
      <c r="E139" s="1636">
        <f>SUM(E137,E138)</f>
        <v>0</v>
      </c>
      <c r="F139" s="616"/>
      <c r="G139" s="616"/>
      <c r="H139" s="1645">
        <f>SUM(H137:H138)</f>
        <v>0</v>
      </c>
      <c r="I139" s="477"/>
      <c r="J139" s="616"/>
      <c r="K139" s="1638">
        <f>SUM(K137,K138)</f>
        <v>0</v>
      </c>
      <c r="L139" s="1645">
        <f>SUM(L137,L138)</f>
        <v>0</v>
      </c>
    </row>
    <row r="140" spans="1:14" ht="15.75" customHeight="1" thickTop="1" x14ac:dyDescent="0.2">
      <c r="A140" s="1597" t="s">
        <v>1037</v>
      </c>
      <c r="B140" s="1598"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38">
        <f>SUM(H142)</f>
        <v>0</v>
      </c>
      <c r="L142" s="481"/>
    </row>
    <row r="143" spans="1:14" x14ac:dyDescent="0.2">
      <c r="A143" s="1504" t="s">
        <v>88</v>
      </c>
      <c r="B143" s="614">
        <v>5120</v>
      </c>
      <c r="C143" s="616"/>
      <c r="D143" s="616"/>
      <c r="E143" s="616"/>
      <c r="F143" s="616"/>
      <c r="G143" s="616"/>
      <c r="H143" s="466"/>
      <c r="I143" s="468"/>
      <c r="J143" s="616"/>
      <c r="K143" s="1638">
        <f>SUM(H143)</f>
        <v>0</v>
      </c>
      <c r="L143" s="466"/>
    </row>
    <row r="144" spans="1:14" ht="12.75" customHeight="1" x14ac:dyDescent="0.2">
      <c r="A144" s="1504" t="s">
        <v>1170</v>
      </c>
      <c r="B144" s="628" t="s">
        <v>617</v>
      </c>
      <c r="C144" s="616"/>
      <c r="D144" s="616"/>
      <c r="E144" s="616"/>
      <c r="F144" s="616"/>
      <c r="G144" s="616"/>
      <c r="H144" s="466"/>
      <c r="I144" s="468"/>
      <c r="J144" s="616"/>
      <c r="K144" s="1638">
        <f>SUM(H144)</f>
        <v>0</v>
      </c>
      <c r="L144" s="466"/>
    </row>
    <row r="145" spans="1:14" x14ac:dyDescent="0.2">
      <c r="A145" s="1504" t="s">
        <v>89</v>
      </c>
      <c r="B145" s="614" t="s">
        <v>589</v>
      </c>
      <c r="C145" s="616"/>
      <c r="D145" s="616"/>
      <c r="E145" s="616"/>
      <c r="F145" s="616"/>
      <c r="G145" s="616"/>
      <c r="H145" s="466"/>
      <c r="I145" s="468"/>
      <c r="J145" s="616"/>
      <c r="K145" s="1638">
        <f>SUM(H145)</f>
        <v>0</v>
      </c>
      <c r="L145" s="466"/>
    </row>
    <row r="146" spans="1:14" ht="12.75" customHeight="1" x14ac:dyDescent="0.2">
      <c r="A146" s="1504" t="s">
        <v>619</v>
      </c>
      <c r="B146" s="614" t="s">
        <v>618</v>
      </c>
      <c r="C146" s="616"/>
      <c r="D146" s="616"/>
      <c r="E146" s="616"/>
      <c r="F146" s="616"/>
      <c r="G146" s="616"/>
      <c r="H146" s="466"/>
      <c r="I146" s="468"/>
      <c r="J146" s="616"/>
      <c r="K146" s="1638">
        <f>SUM(H146)</f>
        <v>0</v>
      </c>
      <c r="L146" s="466"/>
    </row>
    <row r="147" spans="1:14" ht="12.75" customHeight="1" thickBot="1" x14ac:dyDescent="0.25">
      <c r="A147" s="1515" t="s">
        <v>626</v>
      </c>
      <c r="B147" s="659" t="s">
        <v>718</v>
      </c>
      <c r="C147" s="616"/>
      <c r="D147" s="616"/>
      <c r="E147" s="616"/>
      <c r="F147" s="616"/>
      <c r="G147" s="616"/>
      <c r="H147" s="1654">
        <f>SUM(H142:H146)</f>
        <v>0</v>
      </c>
      <c r="I147" s="468"/>
      <c r="J147" s="616"/>
      <c r="K147" s="1636">
        <f>SUM(K142:K146)</f>
        <v>0</v>
      </c>
      <c r="L147" s="1654">
        <f>SUM(L142:L146)</f>
        <v>0</v>
      </c>
    </row>
    <row r="148" spans="1:14" ht="15.75" customHeight="1" thickTop="1" x14ac:dyDescent="0.2">
      <c r="A148" s="660" t="s">
        <v>1103</v>
      </c>
      <c r="B148" s="661" t="s">
        <v>38</v>
      </c>
      <c r="C148" s="616"/>
      <c r="D148" s="616"/>
      <c r="E148" s="616"/>
      <c r="F148" s="616"/>
      <c r="G148" s="616"/>
      <c r="H148" s="479"/>
      <c r="I148" s="468"/>
      <c r="J148" s="616"/>
      <c r="K148" s="1638">
        <f>SUM(H148)</f>
        <v>0</v>
      </c>
      <c r="L148" s="492"/>
    </row>
    <row r="149" spans="1:14" ht="12.75" customHeight="1" thickBot="1" x14ac:dyDescent="0.25">
      <c r="A149" s="1507" t="s">
        <v>638</v>
      </c>
      <c r="B149" s="617" t="s">
        <v>492</v>
      </c>
      <c r="C149" s="616"/>
      <c r="D149" s="616"/>
      <c r="E149" s="616"/>
      <c r="F149" s="616"/>
      <c r="G149" s="616"/>
      <c r="H149" s="1636">
        <f>SUM(H147,H148)</f>
        <v>0</v>
      </c>
      <c r="I149" s="468"/>
      <c r="J149" s="616"/>
      <c r="K149" s="1636">
        <f>SUM(K147:K148)</f>
        <v>0</v>
      </c>
      <c r="L149" s="1636">
        <f>SUM(L142:L146,L148)</f>
        <v>0</v>
      </c>
    </row>
    <row r="150" spans="1:14" ht="15.75" customHeight="1" thickTop="1" thickBot="1" x14ac:dyDescent="0.25">
      <c r="A150" s="1591" t="s">
        <v>1038</v>
      </c>
      <c r="B150" s="1598" t="s">
        <v>861</v>
      </c>
      <c r="C150" s="616"/>
      <c r="D150" s="616"/>
      <c r="E150" s="616"/>
      <c r="F150" s="616"/>
      <c r="G150" s="616"/>
      <c r="H150" s="662"/>
      <c r="I150" s="521"/>
      <c r="J150" s="616"/>
      <c r="K150" s="623"/>
      <c r="L150" s="573"/>
    </row>
    <row r="151" spans="1:14" ht="12.75" customHeight="1" thickTop="1" thickBot="1" x14ac:dyDescent="0.25">
      <c r="A151" s="2198" t="s">
        <v>620</v>
      </c>
      <c r="B151" s="2180"/>
      <c r="C151" s="1636">
        <f>SUM(C129,C130,C139,C149,C150)</f>
        <v>0</v>
      </c>
      <c r="D151" s="1636">
        <f t="shared" ref="D151:K151" si="16">SUM(D129,D130,D139,D149,D150)</f>
        <v>0</v>
      </c>
      <c r="E151" s="1636">
        <f t="shared" si="16"/>
        <v>0</v>
      </c>
      <c r="F151" s="1636">
        <f t="shared" si="16"/>
        <v>0</v>
      </c>
      <c r="G151" s="1636">
        <f t="shared" si="16"/>
        <v>0</v>
      </c>
      <c r="H151" s="1636">
        <f t="shared" si="16"/>
        <v>0</v>
      </c>
      <c r="I151" s="1636">
        <f t="shared" si="16"/>
        <v>0</v>
      </c>
      <c r="J151" s="1636">
        <f t="shared" si="16"/>
        <v>0</v>
      </c>
      <c r="K151" s="1636">
        <f t="shared" si="16"/>
        <v>0</v>
      </c>
      <c r="L151" s="1636">
        <f>SUM(L129,L130,L139,L149,L150)</f>
        <v>0</v>
      </c>
    </row>
    <row r="152" spans="1:14" ht="12.75" customHeight="1" thickTop="1" x14ac:dyDescent="0.2">
      <c r="A152" s="2201" t="s">
        <v>1178</v>
      </c>
      <c r="B152" s="2202"/>
      <c r="C152" s="618"/>
      <c r="D152" s="618"/>
      <c r="E152" s="618"/>
      <c r="F152" s="618"/>
      <c r="G152" s="618"/>
      <c r="H152" s="618"/>
      <c r="I152" s="618"/>
      <c r="J152" s="616"/>
      <c r="K152" s="1650">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6" t="s">
        <v>621</v>
      </c>
      <c r="B154" s="2188"/>
      <c r="C154" s="1611"/>
      <c r="D154" s="1612"/>
      <c r="E154" s="1612"/>
      <c r="F154" s="1612"/>
      <c r="G154" s="1612"/>
      <c r="H154" s="1612"/>
      <c r="I154" s="1612"/>
      <c r="J154" s="1612"/>
      <c r="K154" s="1612"/>
      <c r="L154" s="1613"/>
      <c r="M154" s="667"/>
      <c r="N154" s="667"/>
    </row>
    <row r="155" spans="1:14" s="620" customFormat="1" ht="15.75" customHeight="1" thickBot="1" x14ac:dyDescent="0.25">
      <c r="A155" s="1602" t="s">
        <v>81</v>
      </c>
      <c r="B155" s="1603" t="s">
        <v>860</v>
      </c>
      <c r="C155" s="616"/>
      <c r="D155" s="616"/>
      <c r="E155" s="616"/>
      <c r="F155" s="616"/>
      <c r="G155" s="616"/>
      <c r="H155" s="1801"/>
      <c r="I155" s="616"/>
      <c r="J155" s="616"/>
      <c r="K155" s="1785"/>
      <c r="L155" s="1801"/>
      <c r="M155" s="619"/>
      <c r="N155" s="619"/>
    </row>
    <row r="156" spans="1:14" s="620" customFormat="1" ht="15.75" customHeight="1" thickTop="1" x14ac:dyDescent="0.2">
      <c r="A156" s="1782" t="s">
        <v>1842</v>
      </c>
      <c r="B156" s="1783"/>
      <c r="C156" s="616"/>
      <c r="D156" s="616"/>
      <c r="E156" s="616"/>
      <c r="F156" s="616"/>
      <c r="G156" s="616"/>
      <c r="H156" s="1802"/>
      <c r="I156" s="616"/>
      <c r="J156" s="616"/>
      <c r="K156" s="1784"/>
      <c r="L156" s="1802"/>
      <c r="M156" s="619"/>
      <c r="N156" s="619"/>
    </row>
    <row r="157" spans="1:14" s="620" customFormat="1" ht="12" x14ac:dyDescent="0.2">
      <c r="A157" s="1786" t="s">
        <v>496</v>
      </c>
      <c r="B157" s="1787" t="s">
        <v>1841</v>
      </c>
      <c r="C157" s="616"/>
      <c r="D157" s="616"/>
      <c r="E157" s="616"/>
      <c r="F157" s="616"/>
      <c r="G157" s="616"/>
      <c r="H157" s="641"/>
      <c r="I157" s="616"/>
      <c r="J157" s="616"/>
      <c r="K157" s="1637">
        <f>H157</f>
        <v>0</v>
      </c>
      <c r="L157" s="467"/>
      <c r="M157" s="619"/>
      <c r="N157" s="619"/>
    </row>
    <row r="158" spans="1:14" s="620" customFormat="1" ht="12" x14ac:dyDescent="0.2">
      <c r="A158" s="1786" t="s">
        <v>304</v>
      </c>
      <c r="B158" s="1787" t="s">
        <v>1843</v>
      </c>
      <c r="C158" s="616"/>
      <c r="D158" s="616"/>
      <c r="E158" s="616"/>
      <c r="F158" s="616"/>
      <c r="G158" s="616"/>
      <c r="H158" s="467"/>
      <c r="I158" s="616"/>
      <c r="J158" s="616"/>
      <c r="K158" s="1637">
        <f>H158</f>
        <v>0</v>
      </c>
      <c r="L158" s="467"/>
      <c r="M158" s="619"/>
      <c r="N158" s="619"/>
    </row>
    <row r="159" spans="1:14" s="620" customFormat="1" ht="12" x14ac:dyDescent="0.2">
      <c r="A159" s="1786" t="s">
        <v>1844</v>
      </c>
      <c r="B159" s="1787" t="s">
        <v>558</v>
      </c>
      <c r="C159" s="616"/>
      <c r="D159" s="616"/>
      <c r="E159" s="616"/>
      <c r="F159" s="616"/>
      <c r="G159" s="616"/>
      <c r="H159" s="467"/>
      <c r="I159" s="616"/>
      <c r="J159" s="616"/>
      <c r="K159" s="1637">
        <f>H159</f>
        <v>0</v>
      </c>
      <c r="L159" s="467"/>
      <c r="M159" s="619"/>
      <c r="N159" s="619"/>
    </row>
    <row r="160" spans="1:14" s="620" customFormat="1" ht="15.75" customHeight="1" thickBot="1" x14ac:dyDescent="0.25">
      <c r="A160" s="1788" t="s">
        <v>1845</v>
      </c>
      <c r="B160" s="1789" t="s">
        <v>860</v>
      </c>
      <c r="C160" s="616"/>
      <c r="D160" s="616"/>
      <c r="E160" s="616"/>
      <c r="F160" s="616"/>
      <c r="G160" s="616"/>
      <c r="H160" s="1654">
        <f>SUM(H157:H159)</f>
        <v>0</v>
      </c>
      <c r="I160" s="616"/>
      <c r="J160" s="616"/>
      <c r="K160" s="1636">
        <f>SUM(K157:K159)</f>
        <v>0</v>
      </c>
      <c r="L160" s="1654">
        <f>SUM(L157:L159)</f>
        <v>0</v>
      </c>
      <c r="M160" s="619"/>
      <c r="N160" s="619"/>
    </row>
    <row r="161" spans="1:14" s="259" customFormat="1" ht="15.75" customHeight="1" thickTop="1" x14ac:dyDescent="0.2">
      <c r="A161" s="1597" t="s">
        <v>82</v>
      </c>
      <c r="B161" s="1598"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37">
        <f>SUM(C163:J163)</f>
        <v>0</v>
      </c>
      <c r="L163" s="466"/>
    </row>
    <row r="164" spans="1:14" x14ac:dyDescent="0.2">
      <c r="A164" s="1504" t="s">
        <v>88</v>
      </c>
      <c r="B164" s="614">
        <v>5120</v>
      </c>
      <c r="C164" s="616"/>
      <c r="D164" s="616"/>
      <c r="E164" s="616"/>
      <c r="F164" s="616"/>
      <c r="G164" s="616"/>
      <c r="H164" s="466"/>
      <c r="I164" s="616"/>
      <c r="J164" s="616"/>
      <c r="K164" s="1637">
        <f>SUM(C164:J164)</f>
        <v>0</v>
      </c>
      <c r="L164" s="466"/>
    </row>
    <row r="165" spans="1:14" ht="12.75" customHeight="1" x14ac:dyDescent="0.2">
      <c r="A165" s="1504" t="s">
        <v>1170</v>
      </c>
      <c r="B165" s="614" t="s">
        <v>617</v>
      </c>
      <c r="C165" s="616"/>
      <c r="D165" s="616"/>
      <c r="E165" s="616"/>
      <c r="F165" s="616"/>
      <c r="G165" s="616"/>
      <c r="H165" s="466"/>
      <c r="I165" s="616"/>
      <c r="J165" s="616"/>
      <c r="K165" s="1637">
        <f>SUM(C165:J165)</f>
        <v>0</v>
      </c>
      <c r="L165" s="466"/>
    </row>
    <row r="166" spans="1:14" x14ac:dyDescent="0.2">
      <c r="A166" s="1504" t="s">
        <v>89</v>
      </c>
      <c r="B166" s="628" t="s">
        <v>589</v>
      </c>
      <c r="C166" s="616"/>
      <c r="D166" s="616"/>
      <c r="E166" s="616"/>
      <c r="F166" s="616"/>
      <c r="G166" s="616"/>
      <c r="H166" s="466"/>
      <c r="I166" s="616"/>
      <c r="J166" s="616"/>
      <c r="K166" s="1637">
        <f>SUM(C166:J166)</f>
        <v>0</v>
      </c>
      <c r="L166" s="466"/>
    </row>
    <row r="167" spans="1:14" ht="12.75" customHeight="1" x14ac:dyDescent="0.2">
      <c r="A167" s="1504" t="s">
        <v>619</v>
      </c>
      <c r="B167" s="614" t="s">
        <v>618</v>
      </c>
      <c r="C167" s="616"/>
      <c r="D167" s="616"/>
      <c r="E167" s="616"/>
      <c r="F167" s="616"/>
      <c r="G167" s="616"/>
      <c r="H167" s="466"/>
      <c r="I167" s="616"/>
      <c r="J167" s="616"/>
      <c r="K167" s="1637">
        <f>SUM(C167:J167)</f>
        <v>0</v>
      </c>
      <c r="L167" s="466"/>
    </row>
    <row r="168" spans="1:14" ht="13.5" thickBot="1" x14ac:dyDescent="0.25">
      <c r="A168" s="1634" t="s">
        <v>276</v>
      </c>
      <c r="B168" s="1641" t="s">
        <v>718</v>
      </c>
      <c r="C168" s="616"/>
      <c r="D168" s="616"/>
      <c r="E168" s="616"/>
      <c r="F168" s="616"/>
      <c r="G168" s="616"/>
      <c r="H168" s="1636">
        <f>SUM(H163:H167)</f>
        <v>0</v>
      </c>
      <c r="I168" s="616"/>
      <c r="J168" s="616"/>
      <c r="K168" s="1636">
        <f>SUM(K163:K167)</f>
        <v>0</v>
      </c>
      <c r="L168" s="1636">
        <f>SUM(L163:L167)</f>
        <v>0</v>
      </c>
    </row>
    <row r="169" spans="1:14" ht="15.75" customHeight="1" thickTop="1" x14ac:dyDescent="0.2">
      <c r="A169" s="669" t="s">
        <v>83</v>
      </c>
      <c r="B169" s="670" t="s">
        <v>38</v>
      </c>
      <c r="C169" s="616"/>
      <c r="D169" s="616"/>
      <c r="E169" s="616"/>
      <c r="F169" s="616"/>
      <c r="G169" s="616"/>
      <c r="H169" s="656">
        <v>100623</v>
      </c>
      <c r="I169" s="616"/>
      <c r="J169" s="616"/>
      <c r="K169" s="1637">
        <f>SUM(C169:H169)</f>
        <v>100623</v>
      </c>
      <c r="L169" s="656">
        <v>104983</v>
      </c>
    </row>
    <row r="170" spans="1:14" ht="33.75" customHeight="1" x14ac:dyDescent="0.2">
      <c r="A170" s="669" t="s">
        <v>1670</v>
      </c>
      <c r="B170" s="671" t="s">
        <v>31</v>
      </c>
      <c r="C170" s="616"/>
      <c r="D170" s="616"/>
      <c r="E170" s="616"/>
      <c r="F170" s="616"/>
      <c r="G170" s="616"/>
      <c r="H170" s="569">
        <v>455000</v>
      </c>
      <c r="I170" s="616"/>
      <c r="J170" s="616"/>
      <c r="K170" s="1637">
        <f>SUM(C170:J170)</f>
        <v>455000</v>
      </c>
      <c r="L170" s="569">
        <v>420000</v>
      </c>
    </row>
    <row r="171" spans="1:14" ht="15.75" customHeight="1" x14ac:dyDescent="0.2">
      <c r="A171" s="621" t="s">
        <v>766</v>
      </c>
      <c r="B171" s="672" t="s">
        <v>84</v>
      </c>
      <c r="C171" s="616"/>
      <c r="D171" s="616"/>
      <c r="E171" s="466"/>
      <c r="F171" s="616"/>
      <c r="G171" s="616"/>
      <c r="H171" s="569"/>
      <c r="I171" s="477"/>
      <c r="J171" s="616"/>
      <c r="K171" s="1637">
        <f>SUM(C171:J171)</f>
        <v>0</v>
      </c>
      <c r="L171" s="569"/>
    </row>
    <row r="172" spans="1:14" ht="12.75" customHeight="1" thickBot="1" x14ac:dyDescent="0.25">
      <c r="A172" s="1634" t="s">
        <v>638</v>
      </c>
      <c r="B172" s="1635" t="s">
        <v>492</v>
      </c>
      <c r="C172" s="616"/>
      <c r="D172" s="616"/>
      <c r="E172" s="1643">
        <f>SUM(E168,E169,E170,E171)</f>
        <v>0</v>
      </c>
      <c r="F172" s="616"/>
      <c r="G172" s="616"/>
      <c r="H172" s="1643">
        <f>SUM(H168,H169,H170,H171)</f>
        <v>555623</v>
      </c>
      <c r="I172" s="638"/>
      <c r="J172" s="616"/>
      <c r="K172" s="1643">
        <f>SUM(K168,K169,K170,K171)</f>
        <v>555623</v>
      </c>
      <c r="L172" s="1643">
        <f>SUM(L168,L169,L170,L171)</f>
        <v>524983</v>
      </c>
    </row>
    <row r="173" spans="1:14" ht="15.75" customHeight="1" thickTop="1" thickBot="1" x14ac:dyDescent="0.25">
      <c r="A173" s="1604" t="s">
        <v>85</v>
      </c>
      <c r="B173" s="1596" t="s">
        <v>861</v>
      </c>
      <c r="C173" s="616"/>
      <c r="D173" s="616"/>
      <c r="E173" s="623"/>
      <c r="F173" s="616"/>
      <c r="G173" s="616"/>
      <c r="H173" s="626"/>
      <c r="I173" s="638"/>
      <c r="J173" s="616"/>
      <c r="K173" s="623"/>
      <c r="L173" s="576"/>
    </row>
    <row r="174" spans="1:14" ht="12.75" customHeight="1" thickTop="1" thickBot="1" x14ac:dyDescent="0.25">
      <c r="A174" s="1655" t="s">
        <v>90</v>
      </c>
      <c r="B174" s="1656"/>
      <c r="C174" s="616"/>
      <c r="D174" s="616"/>
      <c r="E174" s="1643">
        <f>SUM(E172,E173)</f>
        <v>0</v>
      </c>
      <c r="F174" s="616"/>
      <c r="G174" s="616"/>
      <c r="H174" s="1643">
        <f>SUM(H160,H172,H173)</f>
        <v>555623</v>
      </c>
      <c r="I174" s="638"/>
      <c r="J174" s="616"/>
      <c r="K174" s="1643">
        <f>SUM(K160,K172,K173)</f>
        <v>555623</v>
      </c>
      <c r="L174" s="1643">
        <f>SUM(L160,L172,L173)</f>
        <v>524983</v>
      </c>
    </row>
    <row r="175" spans="1:14" ht="13.5" thickTop="1" x14ac:dyDescent="0.2">
      <c r="A175" s="2208" t="s">
        <v>996</v>
      </c>
      <c r="B175" s="2209"/>
      <c r="C175" s="616"/>
      <c r="D175" s="616"/>
      <c r="E175" s="616"/>
      <c r="F175" s="616"/>
      <c r="G175" s="616"/>
      <c r="H175" s="618"/>
      <c r="I175" s="616"/>
      <c r="J175" s="616"/>
      <c r="K175" s="1650">
        <f>'Revenues 9-14'!E268-'Expenditures 15-22'!K174</f>
        <v>-555623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9" t="s">
        <v>937</v>
      </c>
      <c r="B177" s="1540"/>
      <c r="C177" s="1536"/>
      <c r="D177" s="1537"/>
      <c r="E177" s="1537"/>
      <c r="F177" s="1537"/>
      <c r="G177" s="1537"/>
      <c r="H177" s="1537"/>
      <c r="I177" s="1537"/>
      <c r="J177" s="1537"/>
      <c r="K177" s="1537"/>
      <c r="L177" s="1538"/>
      <c r="M177" s="609"/>
      <c r="N177" s="609"/>
    </row>
    <row r="178" spans="1:14" s="674" customFormat="1" ht="15.75" customHeight="1" x14ac:dyDescent="0.2">
      <c r="A178" s="1605" t="s">
        <v>938</v>
      </c>
      <c r="B178" s="1606"/>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3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37">
        <f>SUM(C182:J182)</f>
        <v>0</v>
      </c>
      <c r="L182" s="466"/>
    </row>
    <row r="183" spans="1:14" ht="12.75" customHeight="1" thickBot="1" x14ac:dyDescent="0.25">
      <c r="A183" s="1509" t="s">
        <v>980</v>
      </c>
      <c r="B183" s="677">
        <v>2900</v>
      </c>
      <c r="C183" s="573"/>
      <c r="D183" s="573"/>
      <c r="E183" s="573"/>
      <c r="F183" s="573"/>
      <c r="G183" s="573"/>
      <c r="H183" s="573"/>
      <c r="I183" s="532"/>
      <c r="J183" s="532"/>
      <c r="K183" s="1643">
        <f>SUM(C183:J183)</f>
        <v>0</v>
      </c>
      <c r="L183" s="573"/>
    </row>
    <row r="184" spans="1:14" ht="12.75" customHeight="1" thickTop="1" thickBot="1" x14ac:dyDescent="0.25">
      <c r="A184" s="1657" t="s">
        <v>811</v>
      </c>
      <c r="B184" s="1635" t="s">
        <v>569</v>
      </c>
      <c r="C184" s="1643">
        <f>SUM(C180,C182,C183)</f>
        <v>0</v>
      </c>
      <c r="D184" s="1643">
        <f t="shared" ref="D184:J184" si="17">SUM(D180,D182,D183)</f>
        <v>0</v>
      </c>
      <c r="E184" s="1643">
        <f t="shared" si="17"/>
        <v>0</v>
      </c>
      <c r="F184" s="1643">
        <f t="shared" si="17"/>
        <v>0</v>
      </c>
      <c r="G184" s="1643">
        <f t="shared" si="17"/>
        <v>0</v>
      </c>
      <c r="H184" s="1643">
        <f t="shared" si="17"/>
        <v>0</v>
      </c>
      <c r="I184" s="1643">
        <f t="shared" si="17"/>
        <v>0</v>
      </c>
      <c r="J184" s="1643">
        <f t="shared" si="17"/>
        <v>0</v>
      </c>
      <c r="K184" s="1643">
        <f>SUM(K180,K182,K183)</f>
        <v>0</v>
      </c>
      <c r="L184" s="1643">
        <f>SUM(L180, L182:L183)</f>
        <v>0</v>
      </c>
    </row>
    <row r="185" spans="1:14" ht="15.75" customHeight="1" thickTop="1" thickBot="1" x14ac:dyDescent="0.25">
      <c r="A185" s="1607" t="s">
        <v>939</v>
      </c>
      <c r="B185" s="1596">
        <v>3000</v>
      </c>
      <c r="C185" s="576"/>
      <c r="D185" s="576"/>
      <c r="E185" s="576"/>
      <c r="F185" s="576"/>
      <c r="G185" s="576"/>
      <c r="H185" s="576"/>
      <c r="I185" s="531"/>
      <c r="J185" s="531"/>
      <c r="K185" s="1636">
        <f>SUM(C185:J185)</f>
        <v>0</v>
      </c>
      <c r="L185" s="576"/>
    </row>
    <row r="186" spans="1:14" s="674" customFormat="1" ht="15.75" customHeight="1" thickTop="1" x14ac:dyDescent="0.2">
      <c r="A186" s="1591" t="s">
        <v>91</v>
      </c>
      <c r="B186" s="1594"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37">
        <f t="shared" ref="K188:K193" si="18">SUM(E188,H188)</f>
        <v>0</v>
      </c>
      <c r="L188" s="466"/>
    </row>
    <row r="189" spans="1:14" x14ac:dyDescent="0.2">
      <c r="A189" s="1504" t="s">
        <v>304</v>
      </c>
      <c r="B189" s="614">
        <v>4120</v>
      </c>
      <c r="C189" s="616"/>
      <c r="D189" s="616"/>
      <c r="E189" s="466"/>
      <c r="F189" s="616"/>
      <c r="G189" s="616"/>
      <c r="H189" s="466"/>
      <c r="I189" s="477"/>
      <c r="J189" s="616"/>
      <c r="K189" s="1637">
        <f t="shared" si="18"/>
        <v>0</v>
      </c>
      <c r="L189" s="466"/>
    </row>
    <row r="190" spans="1:14" x14ac:dyDescent="0.2">
      <c r="A190" s="1504" t="s">
        <v>305</v>
      </c>
      <c r="B190" s="628">
        <v>4130</v>
      </c>
      <c r="C190" s="616"/>
      <c r="D190" s="616"/>
      <c r="E190" s="466"/>
      <c r="F190" s="616"/>
      <c r="G190" s="616"/>
      <c r="H190" s="466"/>
      <c r="I190" s="477"/>
      <c r="J190" s="616"/>
      <c r="K190" s="1637">
        <f t="shared" si="18"/>
        <v>0</v>
      </c>
      <c r="L190" s="466"/>
    </row>
    <row r="191" spans="1:14" x14ac:dyDescent="0.2">
      <c r="A191" s="1504" t="s">
        <v>697</v>
      </c>
      <c r="B191" s="614">
        <v>4140</v>
      </c>
      <c r="C191" s="616"/>
      <c r="D191" s="616"/>
      <c r="E191" s="466"/>
      <c r="F191" s="616"/>
      <c r="G191" s="616"/>
      <c r="H191" s="466"/>
      <c r="I191" s="477"/>
      <c r="J191" s="616"/>
      <c r="K191" s="1637">
        <f t="shared" si="18"/>
        <v>0</v>
      </c>
      <c r="L191" s="466"/>
    </row>
    <row r="192" spans="1:14" x14ac:dyDescent="0.2">
      <c r="A192" s="1504" t="s">
        <v>86</v>
      </c>
      <c r="B192" s="614">
        <v>4170</v>
      </c>
      <c r="C192" s="616"/>
      <c r="D192" s="616"/>
      <c r="E192" s="466"/>
      <c r="F192" s="616"/>
      <c r="G192" s="616"/>
      <c r="H192" s="466"/>
      <c r="I192" s="477"/>
      <c r="J192" s="616"/>
      <c r="K192" s="1637">
        <f t="shared" si="18"/>
        <v>0</v>
      </c>
      <c r="L192" s="466"/>
    </row>
    <row r="193" spans="1:14" x14ac:dyDescent="0.2">
      <c r="A193" s="1508" t="s">
        <v>698</v>
      </c>
      <c r="B193" s="628">
        <v>4190</v>
      </c>
      <c r="C193" s="616"/>
      <c r="D193" s="616"/>
      <c r="E193" s="466"/>
      <c r="F193" s="616"/>
      <c r="G193" s="616"/>
      <c r="H193" s="466"/>
      <c r="I193" s="477"/>
      <c r="J193" s="616"/>
      <c r="K193" s="1637">
        <f t="shared" si="18"/>
        <v>0</v>
      </c>
      <c r="L193" s="466"/>
    </row>
    <row r="194" spans="1:14" ht="12.75" customHeight="1" thickBot="1" x14ac:dyDescent="0.25">
      <c r="A194" s="1634" t="s">
        <v>1140</v>
      </c>
      <c r="B194" s="1635" t="s">
        <v>559</v>
      </c>
      <c r="C194" s="616"/>
      <c r="D194" s="616"/>
      <c r="E194" s="1636">
        <f>SUM(E188:E193)</f>
        <v>0</v>
      </c>
      <c r="F194" s="616"/>
      <c r="G194" s="616"/>
      <c r="H194" s="1636">
        <f>SUM(H188:H193)</f>
        <v>0</v>
      </c>
      <c r="I194" s="477"/>
      <c r="J194" s="616"/>
      <c r="K194" s="1636">
        <f>SUM(K188:K193)</f>
        <v>0</v>
      </c>
      <c r="L194" s="1636">
        <f>SUM(L188:L193)</f>
        <v>0</v>
      </c>
    </row>
    <row r="195" spans="1:14" ht="15.75" customHeight="1" thickTop="1" x14ac:dyDescent="0.2">
      <c r="A195" s="669" t="s">
        <v>92</v>
      </c>
      <c r="B195" s="678" t="s">
        <v>931</v>
      </c>
      <c r="C195" s="616"/>
      <c r="D195" s="616"/>
      <c r="E195" s="656"/>
      <c r="F195" s="616"/>
      <c r="G195" s="616"/>
      <c r="H195" s="656"/>
      <c r="I195" s="477"/>
      <c r="J195" s="616"/>
      <c r="K195" s="1651">
        <f>SUM(E195,H195)</f>
        <v>0</v>
      </c>
      <c r="L195" s="656"/>
    </row>
    <row r="196" spans="1:14" ht="12.75" customHeight="1" thickBot="1" x14ac:dyDescent="0.25">
      <c r="A196" s="1634" t="s">
        <v>1487</v>
      </c>
      <c r="B196" s="1635" t="s">
        <v>860</v>
      </c>
      <c r="C196" s="616"/>
      <c r="D196" s="616"/>
      <c r="E196" s="1643">
        <f>SUM(E194,E195)</f>
        <v>0</v>
      </c>
      <c r="F196" s="616"/>
      <c r="G196" s="616"/>
      <c r="H196" s="1643">
        <f>SUM(H194,H195)</f>
        <v>0</v>
      </c>
      <c r="I196" s="477"/>
      <c r="J196" s="616"/>
      <c r="K196" s="1643">
        <f>SUM(K194,K195)</f>
        <v>0</v>
      </c>
      <c r="L196" s="1643">
        <f>SUM(L194,L195)</f>
        <v>0</v>
      </c>
    </row>
    <row r="197" spans="1:14" s="674" customFormat="1" ht="15.75" customHeight="1" thickTop="1" x14ac:dyDescent="0.2">
      <c r="A197" s="1597" t="s">
        <v>940</v>
      </c>
      <c r="B197" s="1594"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37">
        <f>SUM(H199)</f>
        <v>0</v>
      </c>
      <c r="L199" s="466"/>
    </row>
    <row r="200" spans="1:14" x14ac:dyDescent="0.2">
      <c r="A200" s="1504" t="s">
        <v>88</v>
      </c>
      <c r="B200" s="614">
        <v>5120</v>
      </c>
      <c r="C200" s="616"/>
      <c r="D200" s="616"/>
      <c r="E200" s="616"/>
      <c r="F200" s="616"/>
      <c r="G200" s="616"/>
      <c r="H200" s="466"/>
      <c r="I200" s="616"/>
      <c r="J200" s="616"/>
      <c r="K200" s="1637">
        <f>SUM(H200)</f>
        <v>0</v>
      </c>
      <c r="L200" s="466"/>
    </row>
    <row r="201" spans="1:14" ht="12.75" customHeight="1" x14ac:dyDescent="0.2">
      <c r="A201" s="1504" t="s">
        <v>1170</v>
      </c>
      <c r="B201" s="628" t="s">
        <v>617</v>
      </c>
      <c r="C201" s="616"/>
      <c r="D201" s="616"/>
      <c r="E201" s="616"/>
      <c r="F201" s="616"/>
      <c r="G201" s="616"/>
      <c r="H201" s="466"/>
      <c r="I201" s="616"/>
      <c r="J201" s="616"/>
      <c r="K201" s="1637">
        <f>SUM(H201)</f>
        <v>0</v>
      </c>
      <c r="L201" s="466"/>
    </row>
    <row r="202" spans="1:14" x14ac:dyDescent="0.2">
      <c r="A202" s="1504" t="s">
        <v>89</v>
      </c>
      <c r="B202" s="614" t="s">
        <v>589</v>
      </c>
      <c r="C202" s="616"/>
      <c r="D202" s="616"/>
      <c r="E202" s="616"/>
      <c r="F202" s="616"/>
      <c r="G202" s="616"/>
      <c r="H202" s="466"/>
      <c r="I202" s="616"/>
      <c r="J202" s="616"/>
      <c r="K202" s="1637">
        <f>SUM(H202)</f>
        <v>0</v>
      </c>
      <c r="L202" s="466"/>
    </row>
    <row r="203" spans="1:14" x14ac:dyDescent="0.2">
      <c r="A203" s="1516" t="s">
        <v>619</v>
      </c>
      <c r="B203" s="614" t="s">
        <v>618</v>
      </c>
      <c r="C203" s="616"/>
      <c r="D203" s="616"/>
      <c r="E203" s="616"/>
      <c r="F203" s="616"/>
      <c r="G203" s="616"/>
      <c r="H203" s="471"/>
      <c r="I203" s="616"/>
      <c r="J203" s="616"/>
      <c r="K203" s="1637">
        <f>SUM(H203)</f>
        <v>0</v>
      </c>
      <c r="L203" s="471"/>
    </row>
    <row r="204" spans="1:14" ht="13.5" thickBot="1" x14ac:dyDescent="0.25">
      <c r="A204" s="1634" t="s">
        <v>276</v>
      </c>
      <c r="B204" s="1635" t="s">
        <v>718</v>
      </c>
      <c r="C204" s="616"/>
      <c r="D204" s="616"/>
      <c r="E204" s="616"/>
      <c r="F204" s="616"/>
      <c r="G204" s="616"/>
      <c r="H204" s="1636">
        <f>SUM(H199:H203)</f>
        <v>0</v>
      </c>
      <c r="I204" s="616"/>
      <c r="J204" s="616"/>
      <c r="K204" s="1636">
        <f>SUM(K199:K203)</f>
        <v>0</v>
      </c>
      <c r="L204" s="1636">
        <f>SUM(L199:L203)</f>
        <v>0</v>
      </c>
    </row>
    <row r="205" spans="1:14" ht="15.75" customHeight="1" thickTop="1" x14ac:dyDescent="0.2">
      <c r="A205" s="679" t="s">
        <v>83</v>
      </c>
      <c r="B205" s="680" t="s">
        <v>38</v>
      </c>
      <c r="C205" s="616"/>
      <c r="D205" s="616"/>
      <c r="E205" s="616"/>
      <c r="F205" s="616"/>
      <c r="G205" s="616"/>
      <c r="H205" s="535"/>
      <c r="I205" s="616"/>
      <c r="J205" s="616"/>
      <c r="K205" s="1651">
        <f>SUM(H205)</f>
        <v>0</v>
      </c>
      <c r="L205" s="535"/>
    </row>
    <row r="206" spans="1:14" ht="30" customHeight="1" x14ac:dyDescent="0.2">
      <c r="A206" s="681" t="s">
        <v>1671</v>
      </c>
      <c r="B206" s="672" t="s">
        <v>31</v>
      </c>
      <c r="C206" s="616"/>
      <c r="D206" s="616"/>
      <c r="E206" s="616"/>
      <c r="F206" s="616"/>
      <c r="G206" s="616"/>
      <c r="H206" s="466"/>
      <c r="I206" s="616"/>
      <c r="J206" s="616"/>
      <c r="K206" s="1637">
        <f>SUM(H206)</f>
        <v>0</v>
      </c>
      <c r="L206" s="466"/>
    </row>
    <row r="207" spans="1:14" ht="15.75" customHeight="1" x14ac:dyDescent="0.2">
      <c r="A207" s="621" t="s">
        <v>766</v>
      </c>
      <c r="B207" s="672" t="s">
        <v>84</v>
      </c>
      <c r="C207" s="616"/>
      <c r="D207" s="616"/>
      <c r="E207" s="616"/>
      <c r="F207" s="616"/>
      <c r="G207" s="616"/>
      <c r="H207" s="467"/>
      <c r="I207" s="616"/>
      <c r="J207" s="616"/>
      <c r="K207" s="1637">
        <f>H207</f>
        <v>0</v>
      </c>
      <c r="L207" s="466"/>
    </row>
    <row r="208" spans="1:14" ht="12.75" customHeight="1" thickBot="1" x14ac:dyDescent="0.25">
      <c r="A208" s="1652" t="s">
        <v>638</v>
      </c>
      <c r="B208" s="1653" t="s">
        <v>492</v>
      </c>
      <c r="C208" s="616"/>
      <c r="D208" s="616"/>
      <c r="E208" s="616"/>
      <c r="F208" s="616"/>
      <c r="G208" s="616"/>
      <c r="H208" s="1643">
        <f>SUM(H204,H205,H206,H207)</f>
        <v>0</v>
      </c>
      <c r="I208" s="616"/>
      <c r="J208" s="616"/>
      <c r="K208" s="1643">
        <f>SUM(K204,K205,K206,K207)</f>
        <v>0</v>
      </c>
      <c r="L208" s="1643">
        <f>SUM(L204,L205,L206,L207)</f>
        <v>0</v>
      </c>
    </row>
    <row r="209" spans="1:14" ht="15.75" customHeight="1" thickTop="1" thickBot="1" x14ac:dyDescent="0.25">
      <c r="A209" s="1591" t="s">
        <v>872</v>
      </c>
      <c r="B209" s="1598" t="s">
        <v>861</v>
      </c>
      <c r="C209" s="623"/>
      <c r="D209" s="623"/>
      <c r="E209" s="623"/>
      <c r="F209" s="623"/>
      <c r="G209" s="623"/>
      <c r="H209" s="623"/>
      <c r="I209" s="616"/>
      <c r="J209" s="616"/>
      <c r="K209" s="623"/>
      <c r="L209" s="576"/>
    </row>
    <row r="210" spans="1:14" ht="12.75" customHeight="1" thickTop="1" thickBot="1" x14ac:dyDescent="0.25">
      <c r="A210" s="1658" t="s">
        <v>277</v>
      </c>
      <c r="B210" s="1659"/>
      <c r="C210" s="1636">
        <f>SUM(C184,C185)</f>
        <v>0</v>
      </c>
      <c r="D210" s="1636">
        <f>SUM(D184,D185)</f>
        <v>0</v>
      </c>
      <c r="E210" s="1636">
        <f>SUM(E184,E185,E196)</f>
        <v>0</v>
      </c>
      <c r="F210" s="1636">
        <f>SUM(F184,F185)</f>
        <v>0</v>
      </c>
      <c r="G210" s="1636">
        <f>SUM(G184,G185)</f>
        <v>0</v>
      </c>
      <c r="H210" s="1636">
        <f>SUM(H184,H185,H196,H208,H209)</f>
        <v>0</v>
      </c>
      <c r="I210" s="1636">
        <f>SUM(I184,I185)</f>
        <v>0</v>
      </c>
      <c r="J210" s="1636">
        <f>SUM(J184,J185)</f>
        <v>0</v>
      </c>
      <c r="K210" s="1637">
        <f>SUM(K184,K185,K196,K208,K209)</f>
        <v>0</v>
      </c>
      <c r="L210" s="1636">
        <f>SUM(L184,L185,L196,L208,L209)</f>
        <v>0</v>
      </c>
    </row>
    <row r="211" spans="1:14" ht="13.5" thickTop="1" x14ac:dyDescent="0.2">
      <c r="A211" s="2208" t="s">
        <v>996</v>
      </c>
      <c r="B211" s="2209"/>
      <c r="C211" s="618"/>
      <c r="D211" s="618"/>
      <c r="E211" s="618"/>
      <c r="F211" s="618"/>
      <c r="G211" s="618"/>
      <c r="H211" s="618"/>
      <c r="I211" s="616"/>
      <c r="J211" s="616"/>
      <c r="K211" s="1650">
        <f>'Revenues 9-14'!F268-'Expenditures 15-22'!K210</f>
        <v>42492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3" t="s">
        <v>965</v>
      </c>
      <c r="B213" s="2204"/>
      <c r="C213" s="1536"/>
      <c r="D213" s="1537"/>
      <c r="E213" s="1537"/>
      <c r="F213" s="1537"/>
      <c r="G213" s="1537"/>
      <c r="H213" s="1537"/>
      <c r="I213" s="1537"/>
      <c r="J213" s="1537"/>
      <c r="K213" s="1537"/>
      <c r="L213" s="1538"/>
      <c r="M213" s="609"/>
      <c r="N213" s="609"/>
    </row>
    <row r="214" spans="1:14" s="674" customFormat="1" ht="15.75" customHeight="1" x14ac:dyDescent="0.2">
      <c r="A214" s="1608" t="s">
        <v>873</v>
      </c>
      <c r="B214" s="1600"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37">
        <f>D215</f>
        <v>0</v>
      </c>
      <c r="L215" s="466"/>
    </row>
    <row r="216" spans="1:14" x14ac:dyDescent="0.2">
      <c r="A216" s="1504" t="s">
        <v>163</v>
      </c>
      <c r="B216" s="614" t="s">
        <v>967</v>
      </c>
      <c r="C216" s="616"/>
      <c r="D216" s="467"/>
      <c r="E216" s="616"/>
      <c r="F216" s="616"/>
      <c r="G216" s="616"/>
      <c r="H216" s="616"/>
      <c r="I216" s="616"/>
      <c r="J216" s="616"/>
      <c r="K216" s="1637">
        <f t="shared" ref="K216:K228" si="19">D216</f>
        <v>0</v>
      </c>
      <c r="L216" s="466"/>
    </row>
    <row r="217" spans="1:14" x14ac:dyDescent="0.2">
      <c r="A217" s="1504" t="s">
        <v>164</v>
      </c>
      <c r="B217" s="614">
        <v>1200</v>
      </c>
      <c r="C217" s="616"/>
      <c r="D217" s="466"/>
      <c r="E217" s="616"/>
      <c r="F217" s="616"/>
      <c r="G217" s="616"/>
      <c r="H217" s="616"/>
      <c r="I217" s="616"/>
      <c r="J217" s="616"/>
      <c r="K217" s="1637">
        <f t="shared" si="19"/>
        <v>0</v>
      </c>
      <c r="L217" s="466"/>
    </row>
    <row r="218" spans="1:14" x14ac:dyDescent="0.2">
      <c r="A218" s="1504" t="s">
        <v>278</v>
      </c>
      <c r="B218" s="614" t="s">
        <v>968</v>
      </c>
      <c r="C218" s="616"/>
      <c r="D218" s="467"/>
      <c r="E218" s="616"/>
      <c r="F218" s="616"/>
      <c r="G218" s="616"/>
      <c r="H218" s="616"/>
      <c r="I218" s="616"/>
      <c r="J218" s="616"/>
      <c r="K218" s="1637">
        <f t="shared" si="19"/>
        <v>0</v>
      </c>
      <c r="L218" s="466"/>
    </row>
    <row r="219" spans="1:14" x14ac:dyDescent="0.2">
      <c r="A219" s="1504" t="s">
        <v>279</v>
      </c>
      <c r="B219" s="614">
        <v>1250</v>
      </c>
      <c r="C219" s="616"/>
      <c r="D219" s="466"/>
      <c r="E219" s="616"/>
      <c r="F219" s="616"/>
      <c r="G219" s="616"/>
      <c r="H219" s="616"/>
      <c r="I219" s="616"/>
      <c r="J219" s="616"/>
      <c r="K219" s="1637">
        <f t="shared" si="19"/>
        <v>0</v>
      </c>
      <c r="L219" s="466"/>
    </row>
    <row r="220" spans="1:14" x14ac:dyDescent="0.2">
      <c r="A220" s="1504" t="s">
        <v>280</v>
      </c>
      <c r="B220" s="614" t="s">
        <v>161</v>
      </c>
      <c r="C220" s="616"/>
      <c r="D220" s="467"/>
      <c r="E220" s="616"/>
      <c r="F220" s="616"/>
      <c r="G220" s="616"/>
      <c r="H220" s="616"/>
      <c r="I220" s="616"/>
      <c r="J220" s="616"/>
      <c r="K220" s="1637">
        <f t="shared" si="19"/>
        <v>0</v>
      </c>
      <c r="L220" s="466"/>
    </row>
    <row r="221" spans="1:14" x14ac:dyDescent="0.2">
      <c r="A221" s="1504" t="s">
        <v>962</v>
      </c>
      <c r="B221" s="614">
        <v>1300</v>
      </c>
      <c r="C221" s="616"/>
      <c r="D221" s="466"/>
      <c r="E221" s="616"/>
      <c r="F221" s="616"/>
      <c r="G221" s="616"/>
      <c r="H221" s="616"/>
      <c r="I221" s="616"/>
      <c r="J221" s="616"/>
      <c r="K221" s="1637">
        <f t="shared" si="19"/>
        <v>0</v>
      </c>
      <c r="L221" s="466"/>
    </row>
    <row r="222" spans="1:14" x14ac:dyDescent="0.2">
      <c r="A222" s="1504" t="s">
        <v>723</v>
      </c>
      <c r="B222" s="614">
        <v>1400</v>
      </c>
      <c r="C222" s="616"/>
      <c r="D222" s="466"/>
      <c r="E222" s="616"/>
      <c r="F222" s="616"/>
      <c r="G222" s="616"/>
      <c r="H222" s="616"/>
      <c r="I222" s="616"/>
      <c r="J222" s="616"/>
      <c r="K222" s="1637">
        <f t="shared" si="19"/>
        <v>0</v>
      </c>
      <c r="L222" s="466"/>
    </row>
    <row r="223" spans="1:14" x14ac:dyDescent="0.2">
      <c r="A223" s="1504" t="s">
        <v>963</v>
      </c>
      <c r="B223" s="614">
        <v>1500</v>
      </c>
      <c r="C223" s="616"/>
      <c r="D223" s="466"/>
      <c r="E223" s="616"/>
      <c r="F223" s="616"/>
      <c r="G223" s="616"/>
      <c r="H223" s="616"/>
      <c r="I223" s="616"/>
      <c r="J223" s="616"/>
      <c r="K223" s="1637">
        <f t="shared" si="19"/>
        <v>0</v>
      </c>
      <c r="L223" s="466"/>
    </row>
    <row r="224" spans="1:14" x14ac:dyDescent="0.2">
      <c r="A224" s="1504" t="s">
        <v>964</v>
      </c>
      <c r="B224" s="614">
        <v>1600</v>
      </c>
      <c r="C224" s="616"/>
      <c r="D224" s="466"/>
      <c r="E224" s="616"/>
      <c r="F224" s="616"/>
      <c r="G224" s="616"/>
      <c r="H224" s="616"/>
      <c r="I224" s="616"/>
      <c r="J224" s="616"/>
      <c r="K224" s="1637">
        <f t="shared" si="19"/>
        <v>0</v>
      </c>
      <c r="L224" s="466"/>
    </row>
    <row r="225" spans="1:12" x14ac:dyDescent="0.2">
      <c r="A225" s="1504" t="s">
        <v>987</v>
      </c>
      <c r="B225" s="614">
        <v>1650</v>
      </c>
      <c r="C225" s="616"/>
      <c r="D225" s="466"/>
      <c r="E225" s="616"/>
      <c r="F225" s="616"/>
      <c r="G225" s="616"/>
      <c r="H225" s="616"/>
      <c r="I225" s="616"/>
      <c r="J225" s="616"/>
      <c r="K225" s="1637">
        <f t="shared" si="19"/>
        <v>0</v>
      </c>
      <c r="L225" s="466"/>
    </row>
    <row r="226" spans="1:12" x14ac:dyDescent="0.2">
      <c r="A226" s="1504" t="s">
        <v>724</v>
      </c>
      <c r="B226" s="614" t="s">
        <v>162</v>
      </c>
      <c r="C226" s="616"/>
      <c r="D226" s="467"/>
      <c r="E226" s="616"/>
      <c r="F226" s="616"/>
      <c r="G226" s="616"/>
      <c r="H226" s="616"/>
      <c r="I226" s="616"/>
      <c r="J226" s="616"/>
      <c r="K226" s="1637">
        <f t="shared" si="19"/>
        <v>0</v>
      </c>
      <c r="L226" s="466"/>
    </row>
    <row r="227" spans="1:12" x14ac:dyDescent="0.2">
      <c r="A227" s="1504" t="s">
        <v>1087</v>
      </c>
      <c r="B227" s="614">
        <v>1800</v>
      </c>
      <c r="C227" s="616"/>
      <c r="D227" s="466"/>
      <c r="E227" s="616"/>
      <c r="F227" s="616"/>
      <c r="G227" s="616"/>
      <c r="H227" s="616"/>
      <c r="I227" s="616"/>
      <c r="J227" s="616"/>
      <c r="K227" s="1637">
        <f t="shared" si="19"/>
        <v>0</v>
      </c>
      <c r="L227" s="466"/>
    </row>
    <row r="228" spans="1:12" x14ac:dyDescent="0.2">
      <c r="A228" s="1504" t="s">
        <v>1088</v>
      </c>
      <c r="B228" s="614">
        <v>1900</v>
      </c>
      <c r="C228" s="616"/>
      <c r="D228" s="466"/>
      <c r="E228" s="616"/>
      <c r="F228" s="616"/>
      <c r="G228" s="616"/>
      <c r="H228" s="616"/>
      <c r="I228" s="616"/>
      <c r="J228" s="616"/>
      <c r="K228" s="1637">
        <f t="shared" si="19"/>
        <v>0</v>
      </c>
      <c r="L228" s="466"/>
    </row>
    <row r="229" spans="1:12" ht="12.75" customHeight="1" thickBot="1" x14ac:dyDescent="0.25">
      <c r="A229" s="1634" t="s">
        <v>715</v>
      </c>
      <c r="B229" s="1641" t="s">
        <v>570</v>
      </c>
      <c r="C229" s="616"/>
      <c r="D229" s="1636">
        <f>SUM(D215:D228)</f>
        <v>0</v>
      </c>
      <c r="E229" s="616"/>
      <c r="F229" s="616"/>
      <c r="G229" s="616"/>
      <c r="H229" s="616"/>
      <c r="I229" s="616"/>
      <c r="J229" s="616"/>
      <c r="K229" s="1636">
        <f>SUM(K215:K228)</f>
        <v>0</v>
      </c>
      <c r="L229" s="1636">
        <f>SUM(L215:L228)</f>
        <v>0</v>
      </c>
    </row>
    <row r="230" spans="1:12" ht="15.75" customHeight="1" thickTop="1" x14ac:dyDescent="0.2">
      <c r="A230" s="1597" t="s">
        <v>874</v>
      </c>
      <c r="B230" s="1598"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37">
        <f t="shared" ref="K232:K237" si="20">D232</f>
        <v>0</v>
      </c>
      <c r="L232" s="466"/>
    </row>
    <row r="233" spans="1:12" x14ac:dyDescent="0.2">
      <c r="A233" s="1504" t="s">
        <v>1090</v>
      </c>
      <c r="B233" s="614">
        <v>2120</v>
      </c>
      <c r="C233" s="616"/>
      <c r="D233" s="466"/>
      <c r="E233" s="616"/>
      <c r="F233" s="616"/>
      <c r="G233" s="616"/>
      <c r="H233" s="616"/>
      <c r="I233" s="616"/>
      <c r="J233" s="616"/>
      <c r="K233" s="1637">
        <f t="shared" si="20"/>
        <v>0</v>
      </c>
      <c r="L233" s="466"/>
    </row>
    <row r="234" spans="1:12" x14ac:dyDescent="0.2">
      <c r="A234" s="1504" t="s">
        <v>198</v>
      </c>
      <c r="B234" s="614">
        <v>2130</v>
      </c>
      <c r="C234" s="616"/>
      <c r="D234" s="466"/>
      <c r="E234" s="616"/>
      <c r="F234" s="616"/>
      <c r="G234" s="616"/>
      <c r="H234" s="616"/>
      <c r="I234" s="616"/>
      <c r="J234" s="616"/>
      <c r="K234" s="1637">
        <f t="shared" si="20"/>
        <v>0</v>
      </c>
      <c r="L234" s="466"/>
    </row>
    <row r="235" spans="1:12" x14ac:dyDescent="0.2">
      <c r="A235" s="1504" t="s">
        <v>199</v>
      </c>
      <c r="B235" s="614">
        <v>2140</v>
      </c>
      <c r="C235" s="616"/>
      <c r="D235" s="466"/>
      <c r="E235" s="616"/>
      <c r="F235" s="616"/>
      <c r="G235" s="616"/>
      <c r="H235" s="616"/>
      <c r="I235" s="616"/>
      <c r="J235" s="616"/>
      <c r="K235" s="1637">
        <f t="shared" si="20"/>
        <v>0</v>
      </c>
      <c r="L235" s="466"/>
    </row>
    <row r="236" spans="1:12" x14ac:dyDescent="0.2">
      <c r="A236" s="1504" t="s">
        <v>200</v>
      </c>
      <c r="B236" s="614">
        <v>2150</v>
      </c>
      <c r="C236" s="616"/>
      <c r="D236" s="466"/>
      <c r="E236" s="616"/>
      <c r="F236" s="616"/>
      <c r="G236" s="616"/>
      <c r="H236" s="616"/>
      <c r="I236" s="616"/>
      <c r="J236" s="616"/>
      <c r="K236" s="1637">
        <f t="shared" si="20"/>
        <v>0</v>
      </c>
      <c r="L236" s="466"/>
    </row>
    <row r="237" spans="1:12" x14ac:dyDescent="0.2">
      <c r="A237" s="1504" t="s">
        <v>165</v>
      </c>
      <c r="B237" s="614">
        <v>2190</v>
      </c>
      <c r="C237" s="616"/>
      <c r="D237" s="466"/>
      <c r="E237" s="616"/>
      <c r="F237" s="616"/>
      <c r="G237" s="616"/>
      <c r="H237" s="616"/>
      <c r="I237" s="616"/>
      <c r="J237" s="616"/>
      <c r="K237" s="1637">
        <f t="shared" si="20"/>
        <v>0</v>
      </c>
      <c r="L237" s="466"/>
    </row>
    <row r="238" spans="1:12" ht="12.75" customHeight="1" thickBot="1" x14ac:dyDescent="0.25">
      <c r="A238" s="1634" t="s">
        <v>560</v>
      </c>
      <c r="B238" s="1641" t="s">
        <v>716</v>
      </c>
      <c r="C238" s="616"/>
      <c r="D238" s="1636">
        <f>SUM(D232:D237)</f>
        <v>0</v>
      </c>
      <c r="E238" s="616"/>
      <c r="F238" s="616"/>
      <c r="G238" s="616"/>
      <c r="H238" s="616"/>
      <c r="I238" s="616"/>
      <c r="J238" s="616"/>
      <c r="K238" s="1636">
        <f>SUM(K232:K237)</f>
        <v>0</v>
      </c>
      <c r="L238" s="1636">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38">
        <f>D240</f>
        <v>0</v>
      </c>
      <c r="L240" s="481"/>
    </row>
    <row r="241" spans="1:12" x14ac:dyDescent="0.2">
      <c r="A241" s="1504" t="s">
        <v>815</v>
      </c>
      <c r="B241" s="614">
        <v>2220</v>
      </c>
      <c r="C241" s="616"/>
      <c r="D241" s="466"/>
      <c r="E241" s="616"/>
      <c r="F241" s="616"/>
      <c r="G241" s="616"/>
      <c r="H241" s="616"/>
      <c r="I241" s="616"/>
      <c r="J241" s="616"/>
      <c r="K241" s="1638">
        <f>D241</f>
        <v>0</v>
      </c>
      <c r="L241" s="466"/>
    </row>
    <row r="242" spans="1:12" x14ac:dyDescent="0.2">
      <c r="A242" s="1504" t="s">
        <v>816</v>
      </c>
      <c r="B242" s="614">
        <v>2230</v>
      </c>
      <c r="C242" s="616"/>
      <c r="D242" s="466"/>
      <c r="E242" s="616"/>
      <c r="F242" s="616"/>
      <c r="G242" s="616"/>
      <c r="H242" s="616"/>
      <c r="I242" s="616"/>
      <c r="J242" s="616"/>
      <c r="K242" s="1638">
        <f>D242</f>
        <v>0</v>
      </c>
      <c r="L242" s="466"/>
    </row>
    <row r="243" spans="1:12" ht="12.75" customHeight="1" thickBot="1" x14ac:dyDescent="0.25">
      <c r="A243" s="1660" t="s">
        <v>561</v>
      </c>
      <c r="B243" s="1661">
        <v>2200</v>
      </c>
      <c r="C243" s="616"/>
      <c r="D243" s="1636">
        <f>SUM(D240:D242)</f>
        <v>0</v>
      </c>
      <c r="E243" s="616"/>
      <c r="F243" s="616"/>
      <c r="G243" s="616"/>
      <c r="H243" s="616"/>
      <c r="I243" s="616"/>
      <c r="J243" s="616"/>
      <c r="K243" s="1636">
        <f>SUM(K240:K242)</f>
        <v>0</v>
      </c>
      <c r="L243" s="1636">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38">
        <f>D245</f>
        <v>0</v>
      </c>
      <c r="L245" s="481"/>
    </row>
    <row r="246" spans="1:12" x14ac:dyDescent="0.2">
      <c r="A246" s="1504" t="s">
        <v>818</v>
      </c>
      <c r="B246" s="614">
        <v>2320</v>
      </c>
      <c r="C246" s="616"/>
      <c r="D246" s="466"/>
      <c r="E246" s="616"/>
      <c r="F246" s="616"/>
      <c r="G246" s="616"/>
      <c r="H246" s="616"/>
      <c r="I246" s="616"/>
      <c r="J246" s="616"/>
      <c r="K246" s="1638">
        <f t="shared" ref="K246:K256" si="21">D246</f>
        <v>0</v>
      </c>
      <c r="L246" s="466"/>
    </row>
    <row r="247" spans="1:12" x14ac:dyDescent="0.2">
      <c r="A247" s="1504" t="s">
        <v>819</v>
      </c>
      <c r="B247" s="614">
        <v>2330</v>
      </c>
      <c r="C247" s="616"/>
      <c r="D247" s="466"/>
      <c r="E247" s="616"/>
      <c r="F247" s="616"/>
      <c r="G247" s="616"/>
      <c r="H247" s="616"/>
      <c r="I247" s="616"/>
      <c r="J247" s="616"/>
      <c r="K247" s="1638">
        <f t="shared" si="21"/>
        <v>0</v>
      </c>
      <c r="L247" s="466"/>
    </row>
    <row r="248" spans="1:12" x14ac:dyDescent="0.2">
      <c r="A248" s="1505" t="s">
        <v>299</v>
      </c>
      <c r="B248" s="602" t="s">
        <v>281</v>
      </c>
      <c r="C248" s="616"/>
      <c r="D248" s="474"/>
      <c r="E248" s="616"/>
      <c r="F248" s="616"/>
      <c r="G248" s="616"/>
      <c r="H248" s="616"/>
      <c r="I248" s="616"/>
      <c r="J248" s="616"/>
      <c r="K248" s="1638">
        <f t="shared" si="21"/>
        <v>0</v>
      </c>
      <c r="L248" s="466"/>
    </row>
    <row r="249" spans="1:12" x14ac:dyDescent="0.2">
      <c r="A249" s="1506" t="s">
        <v>1802</v>
      </c>
      <c r="B249" s="683" t="s">
        <v>282</v>
      </c>
      <c r="C249" s="616"/>
      <c r="D249" s="474"/>
      <c r="E249" s="616"/>
      <c r="F249" s="616"/>
      <c r="G249" s="616"/>
      <c r="H249" s="616"/>
      <c r="I249" s="616"/>
      <c r="J249" s="616"/>
      <c r="K249" s="1638">
        <f t="shared" si="21"/>
        <v>0</v>
      </c>
      <c r="L249" s="466"/>
    </row>
    <row r="250" spans="1:12" x14ac:dyDescent="0.2">
      <c r="A250" s="1505" t="s">
        <v>1803</v>
      </c>
      <c r="B250" s="602" t="s">
        <v>283</v>
      </c>
      <c r="C250" s="616"/>
      <c r="D250" s="474"/>
      <c r="E250" s="616"/>
      <c r="F250" s="616"/>
      <c r="G250" s="616"/>
      <c r="H250" s="616"/>
      <c r="I250" s="616"/>
      <c r="J250" s="616"/>
      <c r="K250" s="1638">
        <f t="shared" si="21"/>
        <v>0</v>
      </c>
      <c r="L250" s="466"/>
    </row>
    <row r="251" spans="1:12" x14ac:dyDescent="0.2">
      <c r="A251" s="1505" t="s">
        <v>238</v>
      </c>
      <c r="B251" s="602" t="s">
        <v>284</v>
      </c>
      <c r="C251" s="616"/>
      <c r="D251" s="474"/>
      <c r="E251" s="616"/>
      <c r="F251" s="616"/>
      <c r="G251" s="616"/>
      <c r="H251" s="616"/>
      <c r="I251" s="616"/>
      <c r="J251" s="616"/>
      <c r="K251" s="1638">
        <f t="shared" si="21"/>
        <v>0</v>
      </c>
      <c r="L251" s="466"/>
    </row>
    <row r="252" spans="1:12" x14ac:dyDescent="0.2">
      <c r="A252" s="1505" t="s">
        <v>702</v>
      </c>
      <c r="B252" s="602" t="s">
        <v>285</v>
      </c>
      <c r="C252" s="616"/>
      <c r="D252" s="474"/>
      <c r="E252" s="616"/>
      <c r="F252" s="616"/>
      <c r="G252" s="616"/>
      <c r="H252" s="616"/>
      <c r="I252" s="616"/>
      <c r="J252" s="616"/>
      <c r="K252" s="1638">
        <f t="shared" si="21"/>
        <v>0</v>
      </c>
      <c r="L252" s="466"/>
    </row>
    <row r="253" spans="1:12" x14ac:dyDescent="0.2">
      <c r="A253" s="1505" t="s">
        <v>239</v>
      </c>
      <c r="B253" s="602" t="s">
        <v>286</v>
      </c>
      <c r="C253" s="616"/>
      <c r="D253" s="474"/>
      <c r="E253" s="616"/>
      <c r="F253" s="616"/>
      <c r="G253" s="616"/>
      <c r="H253" s="616"/>
      <c r="I253" s="616"/>
      <c r="J253" s="616"/>
      <c r="K253" s="1638">
        <f t="shared" si="21"/>
        <v>0</v>
      </c>
      <c r="L253" s="466"/>
    </row>
    <row r="254" spans="1:12" ht="22.5" x14ac:dyDescent="0.2">
      <c r="A254" s="1505" t="s">
        <v>1029</v>
      </c>
      <c r="B254" s="683" t="s">
        <v>287</v>
      </c>
      <c r="C254" s="616"/>
      <c r="D254" s="474"/>
      <c r="E254" s="616"/>
      <c r="F254" s="616"/>
      <c r="G254" s="616"/>
      <c r="H254" s="616"/>
      <c r="I254" s="616"/>
      <c r="J254" s="616"/>
      <c r="K254" s="1638">
        <f t="shared" si="21"/>
        <v>0</v>
      </c>
      <c r="L254" s="466"/>
    </row>
    <row r="255" spans="1:12" x14ac:dyDescent="0.2">
      <c r="A255" s="1505" t="s">
        <v>1030</v>
      </c>
      <c r="B255" s="602" t="s">
        <v>288</v>
      </c>
      <c r="C255" s="616"/>
      <c r="D255" s="474"/>
      <c r="E255" s="616"/>
      <c r="F255" s="616"/>
      <c r="G255" s="616"/>
      <c r="H255" s="616"/>
      <c r="I255" s="616"/>
      <c r="J255" s="616"/>
      <c r="K255" s="1638">
        <f t="shared" si="21"/>
        <v>0</v>
      </c>
      <c r="L255" s="466"/>
    </row>
    <row r="256" spans="1:12" x14ac:dyDescent="0.2">
      <c r="A256" s="1505" t="s">
        <v>971</v>
      </c>
      <c r="B256" s="614" t="s">
        <v>289</v>
      </c>
      <c r="C256" s="616"/>
      <c r="D256" s="474"/>
      <c r="E256" s="616"/>
      <c r="F256" s="616"/>
      <c r="G256" s="616"/>
      <c r="H256" s="616"/>
      <c r="I256" s="616"/>
      <c r="J256" s="616"/>
      <c r="K256" s="1638">
        <f t="shared" si="21"/>
        <v>0</v>
      </c>
      <c r="L256" s="466"/>
    </row>
    <row r="257" spans="1:14" ht="12.75" customHeight="1" thickBot="1" x14ac:dyDescent="0.25">
      <c r="A257" s="1634" t="s">
        <v>717</v>
      </c>
      <c r="B257" s="1662">
        <v>2300</v>
      </c>
      <c r="C257" s="616"/>
      <c r="D257" s="1636">
        <f>SUM(D245:D256)</f>
        <v>0</v>
      </c>
      <c r="E257" s="616"/>
      <c r="F257" s="616"/>
      <c r="G257" s="616"/>
      <c r="H257" s="616"/>
      <c r="I257" s="616"/>
      <c r="J257" s="616"/>
      <c r="K257" s="1636">
        <f>SUM(K245:K256)</f>
        <v>0</v>
      </c>
      <c r="L257" s="1636">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38">
        <f>D259</f>
        <v>0</v>
      </c>
      <c r="L259" s="481"/>
    </row>
    <row r="260" spans="1:14" s="597" customFormat="1" x14ac:dyDescent="0.2">
      <c r="A260" s="1522" t="s">
        <v>1801</v>
      </c>
      <c r="B260" s="628">
        <v>2490</v>
      </c>
      <c r="C260" s="616"/>
      <c r="D260" s="466"/>
      <c r="E260" s="616"/>
      <c r="F260" s="616"/>
      <c r="G260" s="616"/>
      <c r="H260" s="616"/>
      <c r="I260" s="616"/>
      <c r="J260" s="616"/>
      <c r="K260" s="1638">
        <f>D260</f>
        <v>0</v>
      </c>
      <c r="L260" s="466"/>
      <c r="M260" s="210"/>
      <c r="N260" s="210"/>
    </row>
    <row r="261" spans="1:14" ht="12.75" customHeight="1" thickBot="1" x14ac:dyDescent="0.25">
      <c r="A261" s="1658" t="s">
        <v>263</v>
      </c>
      <c r="B261" s="1663" t="s">
        <v>34</v>
      </c>
      <c r="C261" s="616"/>
      <c r="D261" s="1636">
        <f>SUM(D259:D260)</f>
        <v>0</v>
      </c>
      <c r="E261" s="616"/>
      <c r="F261" s="616"/>
      <c r="G261" s="616"/>
      <c r="H261" s="616"/>
      <c r="I261" s="616"/>
      <c r="J261" s="616"/>
      <c r="K261" s="1636">
        <f>SUM(K259:K260)</f>
        <v>0</v>
      </c>
      <c r="L261" s="1636">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38">
        <f>D263</f>
        <v>0</v>
      </c>
      <c r="L263" s="481"/>
    </row>
    <row r="264" spans="1:14" x14ac:dyDescent="0.2">
      <c r="A264" s="1504" t="s">
        <v>463</v>
      </c>
      <c r="B264" s="685">
        <v>2520</v>
      </c>
      <c r="C264" s="616"/>
      <c r="D264" s="466"/>
      <c r="E264" s="616"/>
      <c r="F264" s="616"/>
      <c r="G264" s="616"/>
      <c r="H264" s="616"/>
      <c r="I264" s="616"/>
      <c r="J264" s="616"/>
      <c r="K264" s="1638">
        <f t="shared" ref="K264:K269" si="22">D264</f>
        <v>0</v>
      </c>
      <c r="L264" s="466"/>
    </row>
    <row r="265" spans="1:14" x14ac:dyDescent="0.2">
      <c r="A265" s="1504" t="s">
        <v>4</v>
      </c>
      <c r="B265" s="614">
        <v>2530</v>
      </c>
      <c r="C265" s="616"/>
      <c r="D265" s="466"/>
      <c r="E265" s="616"/>
      <c r="F265" s="616"/>
      <c r="G265" s="616"/>
      <c r="H265" s="616"/>
      <c r="I265" s="616"/>
      <c r="J265" s="616"/>
      <c r="K265" s="1638">
        <f t="shared" si="22"/>
        <v>0</v>
      </c>
      <c r="L265" s="466"/>
    </row>
    <row r="266" spans="1:14" x14ac:dyDescent="0.2">
      <c r="A266" s="1504" t="s">
        <v>197</v>
      </c>
      <c r="B266" s="614">
        <v>2540</v>
      </c>
      <c r="C266" s="616"/>
      <c r="D266" s="466"/>
      <c r="E266" s="616"/>
      <c r="F266" s="616"/>
      <c r="G266" s="616"/>
      <c r="H266" s="616"/>
      <c r="I266" s="616"/>
      <c r="J266" s="616"/>
      <c r="K266" s="1638">
        <f t="shared" si="22"/>
        <v>0</v>
      </c>
      <c r="L266" s="466"/>
    </row>
    <row r="267" spans="1:14" x14ac:dyDescent="0.2">
      <c r="A267" s="1504" t="s">
        <v>953</v>
      </c>
      <c r="B267" s="614">
        <v>2550</v>
      </c>
      <c r="C267" s="616"/>
      <c r="D267" s="466"/>
      <c r="E267" s="616"/>
      <c r="F267" s="616"/>
      <c r="G267" s="616"/>
      <c r="H267" s="616"/>
      <c r="I267" s="616"/>
      <c r="J267" s="616"/>
      <c r="K267" s="1638">
        <f t="shared" si="22"/>
        <v>0</v>
      </c>
      <c r="L267" s="466"/>
    </row>
    <row r="268" spans="1:14" x14ac:dyDescent="0.2">
      <c r="A268" s="1504" t="s">
        <v>100</v>
      </c>
      <c r="B268" s="614">
        <v>2560</v>
      </c>
      <c r="C268" s="616"/>
      <c r="D268" s="466"/>
      <c r="E268" s="616"/>
      <c r="F268" s="616"/>
      <c r="G268" s="616"/>
      <c r="H268" s="616"/>
      <c r="I268" s="616"/>
      <c r="J268" s="616"/>
      <c r="K268" s="1638">
        <f t="shared" si="22"/>
        <v>0</v>
      </c>
      <c r="L268" s="466"/>
    </row>
    <row r="269" spans="1:14" x14ac:dyDescent="0.2">
      <c r="A269" s="1504" t="s">
        <v>101</v>
      </c>
      <c r="B269" s="614">
        <v>2570</v>
      </c>
      <c r="C269" s="616"/>
      <c r="D269" s="466"/>
      <c r="E269" s="616"/>
      <c r="F269" s="616"/>
      <c r="G269" s="616"/>
      <c r="H269" s="616"/>
      <c r="I269" s="616"/>
      <c r="J269" s="616"/>
      <c r="K269" s="1638">
        <f t="shared" si="22"/>
        <v>0</v>
      </c>
      <c r="L269" s="466"/>
    </row>
    <row r="270" spans="1:14" ht="12.75" customHeight="1" thickBot="1" x14ac:dyDescent="0.25">
      <c r="A270" s="1634" t="s">
        <v>719</v>
      </c>
      <c r="B270" s="1641" t="s">
        <v>35</v>
      </c>
      <c r="C270" s="616"/>
      <c r="D270" s="1636">
        <f>SUM(D263:D269)</f>
        <v>0</v>
      </c>
      <c r="E270" s="616"/>
      <c r="F270" s="616"/>
      <c r="G270" s="616"/>
      <c r="H270" s="616"/>
      <c r="I270" s="616"/>
      <c r="J270" s="616"/>
      <c r="K270" s="1636">
        <f>SUM(K263:K269)</f>
        <v>0</v>
      </c>
      <c r="L270" s="1636">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38">
        <f>D272</f>
        <v>0</v>
      </c>
      <c r="L272" s="481"/>
    </row>
    <row r="273" spans="1:12" x14ac:dyDescent="0.2">
      <c r="A273" s="1504" t="s">
        <v>607</v>
      </c>
      <c r="B273" s="628">
        <v>2620</v>
      </c>
      <c r="C273" s="616"/>
      <c r="D273" s="466"/>
      <c r="E273" s="616"/>
      <c r="F273" s="616"/>
      <c r="G273" s="616"/>
      <c r="H273" s="616"/>
      <c r="I273" s="616"/>
      <c r="J273" s="616"/>
      <c r="K273" s="1638">
        <f>D273</f>
        <v>0</v>
      </c>
      <c r="L273" s="466"/>
    </row>
    <row r="274" spans="1:12" ht="12" customHeight="1" x14ac:dyDescent="0.2">
      <c r="A274" s="1504" t="s">
        <v>1061</v>
      </c>
      <c r="B274" s="614">
        <v>2630</v>
      </c>
      <c r="C274" s="616"/>
      <c r="D274" s="466"/>
      <c r="E274" s="616"/>
      <c r="F274" s="616"/>
      <c r="G274" s="616"/>
      <c r="H274" s="616"/>
      <c r="I274" s="616"/>
      <c r="J274" s="616"/>
      <c r="K274" s="1638">
        <f>D274</f>
        <v>0</v>
      </c>
      <c r="L274" s="466"/>
    </row>
    <row r="275" spans="1:12" x14ac:dyDescent="0.2">
      <c r="A275" s="1504" t="s">
        <v>403</v>
      </c>
      <c r="B275" s="614">
        <v>2640</v>
      </c>
      <c r="C275" s="616"/>
      <c r="D275" s="466"/>
      <c r="E275" s="616"/>
      <c r="F275" s="616"/>
      <c r="G275" s="616"/>
      <c r="H275" s="616"/>
      <c r="I275" s="616"/>
      <c r="J275" s="616"/>
      <c r="K275" s="1638">
        <f>D275</f>
        <v>0</v>
      </c>
      <c r="L275" s="466"/>
    </row>
    <row r="276" spans="1:12" x14ac:dyDescent="0.2">
      <c r="A276" s="1504" t="s">
        <v>404</v>
      </c>
      <c r="B276" s="614">
        <v>2660</v>
      </c>
      <c r="C276" s="616"/>
      <c r="D276" s="466"/>
      <c r="E276" s="616"/>
      <c r="F276" s="616"/>
      <c r="G276" s="616"/>
      <c r="H276" s="616"/>
      <c r="I276" s="616"/>
      <c r="J276" s="616"/>
      <c r="K276" s="1638">
        <f>D276</f>
        <v>0</v>
      </c>
      <c r="L276" s="466"/>
    </row>
    <row r="277" spans="1:12" ht="12.75" customHeight="1" thickBot="1" x14ac:dyDescent="0.25">
      <c r="A277" s="1657" t="s">
        <v>37</v>
      </c>
      <c r="B277" s="1635" t="s">
        <v>36</v>
      </c>
      <c r="C277" s="616"/>
      <c r="D277" s="1636">
        <f>SUM(D272:D276)</f>
        <v>0</v>
      </c>
      <c r="E277" s="616"/>
      <c r="F277" s="616"/>
      <c r="G277" s="616"/>
      <c r="H277" s="616"/>
      <c r="I277" s="616"/>
      <c r="J277" s="616"/>
      <c r="K277" s="1636">
        <f>SUM(K272:K276)</f>
        <v>0</v>
      </c>
      <c r="L277" s="1636">
        <f>SUM(L272:L276)</f>
        <v>0</v>
      </c>
    </row>
    <row r="278" spans="1:12" ht="13.5" customHeight="1" thickTop="1" x14ac:dyDescent="0.2">
      <c r="A278" s="1510" t="s">
        <v>980</v>
      </c>
      <c r="B278" s="655" t="s">
        <v>574</v>
      </c>
      <c r="C278" s="616"/>
      <c r="D278" s="656"/>
      <c r="E278" s="616"/>
      <c r="F278" s="616"/>
      <c r="G278" s="616"/>
      <c r="H278" s="616"/>
      <c r="I278" s="616"/>
      <c r="J278" s="616"/>
      <c r="K278" s="1651">
        <f>D278</f>
        <v>0</v>
      </c>
      <c r="L278" s="656"/>
    </row>
    <row r="279" spans="1:12" ht="12.75" customHeight="1" thickBot="1" x14ac:dyDescent="0.25">
      <c r="A279" s="1664" t="s">
        <v>811</v>
      </c>
      <c r="B279" s="1647">
        <v>2000</v>
      </c>
      <c r="C279" s="616"/>
      <c r="D279" s="1643">
        <f>SUM(D238,D243,D257,D261,D270,D277,D278)</f>
        <v>0</v>
      </c>
      <c r="E279" s="616"/>
      <c r="F279" s="616"/>
      <c r="G279" s="616"/>
      <c r="H279" s="616"/>
      <c r="I279" s="616"/>
      <c r="J279" s="616"/>
      <c r="K279" s="1643">
        <f>SUM(K238,K243,K257,K261,K270,K277,K278)</f>
        <v>0</v>
      </c>
      <c r="L279" s="1643">
        <f>SUM(L238,L243,L257,L261,L270,L277,L278)</f>
        <v>0</v>
      </c>
    </row>
    <row r="280" spans="1:12" ht="15.75" customHeight="1" thickTop="1" thickBot="1" x14ac:dyDescent="0.25">
      <c r="A280" s="1609" t="s">
        <v>875</v>
      </c>
      <c r="B280" s="1598">
        <v>3000</v>
      </c>
      <c r="C280" s="616"/>
      <c r="D280" s="576"/>
      <c r="E280" s="616"/>
      <c r="F280" s="616"/>
      <c r="G280" s="616"/>
      <c r="H280" s="616"/>
      <c r="I280" s="616"/>
      <c r="J280" s="616"/>
      <c r="K280" s="1645">
        <f>D280</f>
        <v>0</v>
      </c>
      <c r="L280" s="576"/>
    </row>
    <row r="281" spans="1:12" ht="15.75" customHeight="1" thickTop="1" x14ac:dyDescent="0.2">
      <c r="A281" s="1599" t="s">
        <v>142</v>
      </c>
      <c r="B281" s="1600" t="s">
        <v>860</v>
      </c>
      <c r="C281" s="616"/>
      <c r="D281" s="566"/>
      <c r="E281" s="616"/>
      <c r="F281" s="616"/>
      <c r="G281" s="616"/>
      <c r="H281" s="616"/>
      <c r="I281" s="616"/>
      <c r="J281" s="616"/>
      <c r="K281" s="616"/>
      <c r="L281" s="616"/>
    </row>
    <row r="282" spans="1:12" ht="15.75" customHeight="1" x14ac:dyDescent="0.2">
      <c r="A282" s="1790" t="s">
        <v>496</v>
      </c>
      <c r="B282" s="690" t="s">
        <v>1841</v>
      </c>
      <c r="C282" s="616"/>
      <c r="D282" s="467"/>
      <c r="E282" s="616"/>
      <c r="F282" s="616"/>
      <c r="G282" s="616"/>
      <c r="H282" s="616"/>
      <c r="I282" s="616"/>
      <c r="J282" s="616"/>
      <c r="K282" s="1637">
        <f>D282</f>
        <v>0</v>
      </c>
      <c r="L282" s="467"/>
    </row>
    <row r="283" spans="1:12" x14ac:dyDescent="0.2">
      <c r="A283" s="1504" t="s">
        <v>304</v>
      </c>
      <c r="B283" s="614">
        <v>4120</v>
      </c>
      <c r="C283" s="616"/>
      <c r="D283" s="466"/>
      <c r="E283" s="616"/>
      <c r="F283" s="616"/>
      <c r="G283" s="616"/>
      <c r="H283" s="616"/>
      <c r="I283" s="616"/>
      <c r="J283" s="616"/>
      <c r="K283" s="1637">
        <f>D283</f>
        <v>0</v>
      </c>
      <c r="L283" s="466"/>
    </row>
    <row r="284" spans="1:12" x14ac:dyDescent="0.2">
      <c r="A284" s="1504" t="s">
        <v>697</v>
      </c>
      <c r="B284" s="614">
        <v>4140</v>
      </c>
      <c r="C284" s="616"/>
      <c r="D284" s="467"/>
      <c r="E284" s="616"/>
      <c r="F284" s="616"/>
      <c r="G284" s="616"/>
      <c r="H284" s="616"/>
      <c r="I284" s="616"/>
      <c r="J284" s="616"/>
      <c r="K284" s="1637">
        <f>D284</f>
        <v>0</v>
      </c>
      <c r="L284" s="466"/>
    </row>
    <row r="285" spans="1:12" ht="12.75" customHeight="1" thickBot="1" x14ac:dyDescent="0.25">
      <c r="A285" s="1634" t="s">
        <v>1487</v>
      </c>
      <c r="B285" s="1635" t="s">
        <v>860</v>
      </c>
      <c r="C285" s="616"/>
      <c r="D285" s="1636">
        <f>SUM(D282:D284)</f>
        <v>0</v>
      </c>
      <c r="E285" s="616"/>
      <c r="F285" s="616"/>
      <c r="G285" s="616"/>
      <c r="H285" s="616"/>
      <c r="I285" s="616"/>
      <c r="J285" s="616"/>
      <c r="K285" s="1636">
        <f>SUM(K282:K284)</f>
        <v>0</v>
      </c>
      <c r="L285" s="1636">
        <f>SUM(L282:L284)</f>
        <v>0</v>
      </c>
    </row>
    <row r="286" spans="1:12" ht="15.75" customHeight="1" thickTop="1" x14ac:dyDescent="0.2">
      <c r="A286" s="1597" t="s">
        <v>876</v>
      </c>
      <c r="B286" s="1594"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37">
        <f>H288</f>
        <v>0</v>
      </c>
      <c r="L288" s="466"/>
    </row>
    <row r="289" spans="1:14" x14ac:dyDescent="0.2">
      <c r="A289" s="1504" t="s">
        <v>88</v>
      </c>
      <c r="B289" s="614">
        <v>5120</v>
      </c>
      <c r="C289" s="616"/>
      <c r="D289" s="616"/>
      <c r="E289" s="616"/>
      <c r="F289" s="616"/>
      <c r="G289" s="616"/>
      <c r="H289" s="466"/>
      <c r="I289" s="616"/>
      <c r="J289" s="616"/>
      <c r="K289" s="1637">
        <f>H289</f>
        <v>0</v>
      </c>
      <c r="L289" s="466"/>
    </row>
    <row r="290" spans="1:14" ht="12.75" customHeight="1" x14ac:dyDescent="0.2">
      <c r="A290" s="1504" t="s">
        <v>1170</v>
      </c>
      <c r="B290" s="628" t="s">
        <v>617</v>
      </c>
      <c r="C290" s="616"/>
      <c r="D290" s="616"/>
      <c r="E290" s="616"/>
      <c r="F290" s="616"/>
      <c r="G290" s="616"/>
      <c r="H290" s="466"/>
      <c r="I290" s="616"/>
      <c r="J290" s="616"/>
      <c r="K290" s="1637">
        <f>H290</f>
        <v>0</v>
      </c>
      <c r="L290" s="466"/>
    </row>
    <row r="291" spans="1:14" x14ac:dyDescent="0.2">
      <c r="A291" s="1504" t="s">
        <v>89</v>
      </c>
      <c r="B291" s="614" t="s">
        <v>589</v>
      </c>
      <c r="C291" s="616"/>
      <c r="D291" s="616"/>
      <c r="E291" s="616"/>
      <c r="F291" s="616"/>
      <c r="G291" s="616"/>
      <c r="H291" s="466"/>
      <c r="I291" s="616"/>
      <c r="J291" s="616"/>
      <c r="K291" s="1637">
        <f>H291</f>
        <v>0</v>
      </c>
      <c r="L291" s="466"/>
    </row>
    <row r="292" spans="1:14" x14ac:dyDescent="0.2">
      <c r="A292" s="1504" t="s">
        <v>762</v>
      </c>
      <c r="B292" s="614" t="s">
        <v>618</v>
      </c>
      <c r="C292" s="616"/>
      <c r="D292" s="616"/>
      <c r="E292" s="616"/>
      <c r="F292" s="616"/>
      <c r="G292" s="616"/>
      <c r="H292" s="466"/>
      <c r="I292" s="616"/>
      <c r="J292" s="616"/>
      <c r="K292" s="1637">
        <f>H292</f>
        <v>0</v>
      </c>
      <c r="L292" s="466"/>
    </row>
    <row r="293" spans="1:14" ht="12.75" customHeight="1" thickBot="1" x14ac:dyDescent="0.25">
      <c r="A293" s="1634" t="s">
        <v>484</v>
      </c>
      <c r="B293" s="1635" t="s">
        <v>492</v>
      </c>
      <c r="C293" s="616"/>
      <c r="D293" s="616"/>
      <c r="E293" s="616"/>
      <c r="F293" s="616"/>
      <c r="G293" s="616"/>
      <c r="H293" s="1636">
        <f>SUM(H288:H292)</f>
        <v>0</v>
      </c>
      <c r="I293" s="616"/>
      <c r="J293" s="616"/>
      <c r="K293" s="1636">
        <f>SUM(K288:K292)</f>
        <v>0</v>
      </c>
      <c r="L293" s="1636">
        <f>SUM(L288:L292)</f>
        <v>0</v>
      </c>
    </row>
    <row r="294" spans="1:14" ht="15.75" customHeight="1" thickTop="1" thickBot="1" x14ac:dyDescent="0.25">
      <c r="A294" s="1610" t="s">
        <v>877</v>
      </c>
      <c r="B294" s="1598" t="s">
        <v>861</v>
      </c>
      <c r="C294" s="616"/>
      <c r="D294" s="623"/>
      <c r="E294" s="616"/>
      <c r="F294" s="616"/>
      <c r="G294" s="616"/>
      <c r="H294" s="686"/>
      <c r="I294" s="616"/>
      <c r="J294" s="616"/>
      <c r="K294" s="686"/>
      <c r="L294" s="578"/>
    </row>
    <row r="295" spans="1:14" ht="12.75" customHeight="1" thickTop="1" thickBot="1" x14ac:dyDescent="0.25">
      <c r="A295" s="2199" t="s">
        <v>505</v>
      </c>
      <c r="B295" s="2200"/>
      <c r="C295" s="616"/>
      <c r="D295" s="1636">
        <f>SUM(D229,D279,D280,D285)</f>
        <v>0</v>
      </c>
      <c r="E295" s="616"/>
      <c r="F295" s="616"/>
      <c r="G295" s="616"/>
      <c r="H295" s="1636">
        <f>H293</f>
        <v>0</v>
      </c>
      <c r="I295" s="616"/>
      <c r="J295" s="616"/>
      <c r="K295" s="1636">
        <f>SUM(K229,K279,K280,K285,K293,K294)</f>
        <v>0</v>
      </c>
      <c r="L295" s="1636">
        <f>SUM(L229,L279,L280,L285,L293,L294)</f>
        <v>0</v>
      </c>
    </row>
    <row r="296" spans="1:14" ht="13.5" thickTop="1" x14ac:dyDescent="0.2">
      <c r="A296" s="2208" t="s">
        <v>996</v>
      </c>
      <c r="B296" s="2209"/>
      <c r="C296" s="616"/>
      <c r="D296" s="618"/>
      <c r="E296" s="616"/>
      <c r="F296" s="616"/>
      <c r="G296" s="616"/>
      <c r="H296" s="687"/>
      <c r="I296" s="616"/>
      <c r="J296" s="616"/>
      <c r="K296" s="1650">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1" t="s">
        <v>143</v>
      </c>
      <c r="B298" s="2185"/>
      <c r="C298" s="1536"/>
      <c r="D298" s="1537"/>
      <c r="E298" s="1537"/>
      <c r="F298" s="1537"/>
      <c r="G298" s="1537"/>
      <c r="H298" s="1537"/>
      <c r="I298" s="1537"/>
      <c r="J298" s="1537"/>
      <c r="K298" s="1537"/>
      <c r="L298" s="1538"/>
    </row>
    <row r="299" spans="1:14" ht="15.75" customHeight="1" x14ac:dyDescent="0.2">
      <c r="A299" s="1597" t="s">
        <v>144</v>
      </c>
      <c r="B299" s="1600"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37">
        <f>SUM(C301:J301)</f>
        <v>0</v>
      </c>
      <c r="L301" s="467"/>
    </row>
    <row r="302" spans="1:14" ht="13.5" customHeight="1" x14ac:dyDescent="0.2">
      <c r="A302" s="1517" t="s">
        <v>980</v>
      </c>
      <c r="B302" s="614" t="s">
        <v>574</v>
      </c>
      <c r="C302" s="466"/>
      <c r="D302" s="466"/>
      <c r="E302" s="466"/>
      <c r="F302" s="466"/>
      <c r="G302" s="466"/>
      <c r="H302" s="466"/>
      <c r="I302" s="467"/>
      <c r="J302" s="467"/>
      <c r="K302" s="1637">
        <f>SUM(C302:J302)</f>
        <v>0</v>
      </c>
      <c r="L302" s="466"/>
    </row>
    <row r="303" spans="1:14" ht="12.75" customHeight="1" thickBot="1" x14ac:dyDescent="0.25">
      <c r="A303" s="1634" t="s">
        <v>811</v>
      </c>
      <c r="B303" s="1635" t="s">
        <v>569</v>
      </c>
      <c r="C303" s="1643">
        <f>SUM(C301:C302)</f>
        <v>0</v>
      </c>
      <c r="D303" s="1643">
        <f t="shared" ref="D303:L303" si="23">SUM(D301:D302)</f>
        <v>0</v>
      </c>
      <c r="E303" s="1643">
        <f t="shared" si="23"/>
        <v>0</v>
      </c>
      <c r="F303" s="1643">
        <f t="shared" si="23"/>
        <v>0</v>
      </c>
      <c r="G303" s="1643">
        <f t="shared" si="23"/>
        <v>0</v>
      </c>
      <c r="H303" s="1643">
        <f t="shared" si="23"/>
        <v>0</v>
      </c>
      <c r="I303" s="1643">
        <f t="shared" si="23"/>
        <v>0</v>
      </c>
      <c r="J303" s="1643">
        <f t="shared" si="23"/>
        <v>0</v>
      </c>
      <c r="K303" s="1643">
        <f t="shared" si="23"/>
        <v>0</v>
      </c>
      <c r="L303" s="1643">
        <f t="shared" si="23"/>
        <v>0</v>
      </c>
    </row>
    <row r="304" spans="1:14" ht="15.75" customHeight="1" thickTop="1" x14ac:dyDescent="0.2">
      <c r="A304" s="1597" t="s">
        <v>145</v>
      </c>
      <c r="B304" s="1598"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37">
        <f>SUM(E306,H306)</f>
        <v>0</v>
      </c>
      <c r="L306" s="467"/>
    </row>
    <row r="307" spans="1:14" x14ac:dyDescent="0.2">
      <c r="A307" s="1504" t="s">
        <v>304</v>
      </c>
      <c r="B307" s="614">
        <v>4120</v>
      </c>
      <c r="C307" s="616"/>
      <c r="D307" s="616"/>
      <c r="E307" s="467"/>
      <c r="F307" s="616"/>
      <c r="G307" s="616"/>
      <c r="H307" s="467"/>
      <c r="I307" s="477"/>
      <c r="J307" s="616"/>
      <c r="K307" s="1637">
        <f>SUM(E307,H307)</f>
        <v>0</v>
      </c>
      <c r="L307" s="466"/>
    </row>
    <row r="308" spans="1:14" x14ac:dyDescent="0.2">
      <c r="A308" s="1504" t="s">
        <v>697</v>
      </c>
      <c r="B308" s="614">
        <v>4140</v>
      </c>
      <c r="C308" s="616"/>
      <c r="D308" s="616"/>
      <c r="E308" s="467"/>
      <c r="F308" s="616"/>
      <c r="G308" s="616"/>
      <c r="H308" s="467"/>
      <c r="I308" s="477"/>
      <c r="J308" s="616"/>
      <c r="K308" s="1637">
        <f>SUM(E308,H308)</f>
        <v>0</v>
      </c>
      <c r="L308" s="466"/>
    </row>
    <row r="309" spans="1:14" ht="12.75" customHeight="1" x14ac:dyDescent="0.2">
      <c r="A309" s="1508" t="s">
        <v>698</v>
      </c>
      <c r="B309" s="628">
        <v>4190</v>
      </c>
      <c r="C309" s="616"/>
      <c r="D309" s="616"/>
      <c r="E309" s="467"/>
      <c r="F309" s="616"/>
      <c r="G309" s="616"/>
      <c r="H309" s="467"/>
      <c r="I309" s="477"/>
      <c r="J309" s="616"/>
      <c r="K309" s="1637">
        <f>SUM(E309,H309)</f>
        <v>0</v>
      </c>
      <c r="L309" s="466"/>
    </row>
    <row r="310" spans="1:14" ht="12.75" customHeight="1" thickBot="1" x14ac:dyDescent="0.25">
      <c r="A310" s="1634" t="s">
        <v>1487</v>
      </c>
      <c r="B310" s="1641" t="s">
        <v>860</v>
      </c>
      <c r="C310" s="616"/>
      <c r="D310" s="616"/>
      <c r="E310" s="1636">
        <f>SUM(E306:E309)</f>
        <v>0</v>
      </c>
      <c r="F310" s="616"/>
      <c r="G310" s="616"/>
      <c r="H310" s="1636">
        <f>SUM(H306:H309)</f>
        <v>0</v>
      </c>
      <c r="I310" s="477"/>
      <c r="J310" s="616"/>
      <c r="K310" s="1636">
        <f>SUM(K306:K309)</f>
        <v>0</v>
      </c>
      <c r="L310" s="1643">
        <f>SUM(L306:L309)</f>
        <v>0</v>
      </c>
    </row>
    <row r="311" spans="1:14" ht="15.75" customHeight="1" thickTop="1" thickBot="1" x14ac:dyDescent="0.25">
      <c r="A311" s="1604" t="s">
        <v>895</v>
      </c>
      <c r="B311" s="1596" t="s">
        <v>861</v>
      </c>
      <c r="C311" s="623"/>
      <c r="D311" s="623"/>
      <c r="E311" s="623"/>
      <c r="F311" s="623"/>
      <c r="G311" s="623"/>
      <c r="H311" s="623"/>
      <c r="I311" s="623"/>
      <c r="J311" s="616"/>
      <c r="K311" s="623"/>
      <c r="L311" s="576"/>
    </row>
    <row r="312" spans="1:14" s="674" customFormat="1" ht="12.75" customHeight="1" thickTop="1" thickBot="1" x14ac:dyDescent="0.25">
      <c r="A312" s="2196" t="s">
        <v>277</v>
      </c>
      <c r="B312" s="2197"/>
      <c r="C312" s="1636">
        <f>SUM(C303)</f>
        <v>0</v>
      </c>
      <c r="D312" s="1636">
        <f>SUM(D303)</f>
        <v>0</v>
      </c>
      <c r="E312" s="1636">
        <f>SUM(E303,E310)</f>
        <v>0</v>
      </c>
      <c r="F312" s="1636">
        <f>SUM(F303)</f>
        <v>0</v>
      </c>
      <c r="G312" s="1636">
        <f>SUM(G303)</f>
        <v>0</v>
      </c>
      <c r="H312" s="1636">
        <f>SUM(H303,H310)</f>
        <v>0</v>
      </c>
      <c r="I312" s="1636">
        <f>SUM(I303)</f>
        <v>0</v>
      </c>
      <c r="J312" s="1636">
        <f>SUM(J303)</f>
        <v>0</v>
      </c>
      <c r="K312" s="1636">
        <f>SUM(K303,K310,K311)</f>
        <v>0</v>
      </c>
      <c r="L312" s="1636">
        <f>SUM(L303,L310,L311)</f>
        <v>0</v>
      </c>
      <c r="M312" s="665"/>
      <c r="N312" s="665"/>
    </row>
    <row r="313" spans="1:14" ht="13.5" thickTop="1" x14ac:dyDescent="0.2">
      <c r="A313" s="2192" t="s">
        <v>996</v>
      </c>
      <c r="B313" s="2193"/>
      <c r="C313" s="626"/>
      <c r="D313" s="626"/>
      <c r="E313" s="626"/>
      <c r="F313" s="626"/>
      <c r="G313" s="626"/>
      <c r="H313" s="626"/>
      <c r="I313" s="626"/>
      <c r="J313" s="626"/>
      <c r="K313" s="1651">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5" t="s">
        <v>149</v>
      </c>
      <c r="B315" s="2206"/>
      <c r="C315" s="1541"/>
      <c r="D315" s="1542"/>
      <c r="E315" s="1542"/>
      <c r="F315" s="1542"/>
      <c r="G315" s="1542"/>
      <c r="H315" s="1542"/>
      <c r="I315" s="1542"/>
      <c r="J315" s="1542"/>
      <c r="K315" s="1542"/>
      <c r="L315" s="154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7" t="s">
        <v>898</v>
      </c>
      <c r="B317" s="2206"/>
      <c r="C317" s="1541"/>
      <c r="D317" s="1542"/>
      <c r="E317" s="1542"/>
      <c r="F317" s="1542"/>
      <c r="G317" s="1542"/>
      <c r="H317" s="1542"/>
      <c r="I317" s="1542"/>
      <c r="J317" s="1542"/>
      <c r="K317" s="1542"/>
      <c r="L317" s="1543"/>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37">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37">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37">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37">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37">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37">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37">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37">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37">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65">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65">
        <f>SUM(C329:J329)</f>
        <v>0</v>
      </c>
      <c r="L329" s="474"/>
      <c r="M329" s="665"/>
      <c r="N329" s="665"/>
    </row>
    <row r="330" spans="1:14" s="674" customFormat="1" ht="12.75" customHeight="1" thickBot="1" x14ac:dyDescent="0.25">
      <c r="A330" s="1666" t="s">
        <v>717</v>
      </c>
      <c r="B330" s="1635" t="s">
        <v>569</v>
      </c>
      <c r="C330" s="1636">
        <f>SUM(C319:C329)</f>
        <v>0</v>
      </c>
      <c r="D330" s="1636">
        <f t="shared" ref="D330:J330" si="25">SUM(D319:D329)</f>
        <v>0</v>
      </c>
      <c r="E330" s="1636">
        <f t="shared" si="25"/>
        <v>0</v>
      </c>
      <c r="F330" s="1636">
        <f t="shared" si="25"/>
        <v>0</v>
      </c>
      <c r="G330" s="1636">
        <f t="shared" si="25"/>
        <v>0</v>
      </c>
      <c r="H330" s="1636">
        <f t="shared" si="25"/>
        <v>0</v>
      </c>
      <c r="I330" s="1636">
        <f t="shared" si="25"/>
        <v>0</v>
      </c>
      <c r="J330" s="1636">
        <f t="shared" si="25"/>
        <v>0</v>
      </c>
      <c r="K330" s="1636">
        <f>SUM(K319:K329)</f>
        <v>0</v>
      </c>
      <c r="L330" s="1636">
        <f>SUM(L319:L329)</f>
        <v>0</v>
      </c>
      <c r="M330" s="665"/>
      <c r="N330" s="665"/>
    </row>
    <row r="331" spans="1:14" s="674" customFormat="1" ht="12.75" customHeight="1" thickTop="1" x14ac:dyDescent="0.2">
      <c r="A331" s="1791" t="s">
        <v>1847</v>
      </c>
      <c r="B331" s="647" t="s">
        <v>860</v>
      </c>
      <c r="C331" s="1793"/>
      <c r="D331" s="1793"/>
      <c r="E331" s="1793"/>
      <c r="F331" s="1793"/>
      <c r="G331" s="1793"/>
      <c r="H331" s="1793"/>
      <c r="I331" s="1793"/>
      <c r="J331" s="1793"/>
      <c r="K331" s="1793"/>
      <c r="L331" s="1793"/>
      <c r="M331" s="665"/>
      <c r="N331" s="665"/>
    </row>
    <row r="332" spans="1:14" s="674" customFormat="1" ht="12.75" customHeight="1" x14ac:dyDescent="0.2">
      <c r="A332" s="1792" t="s">
        <v>496</v>
      </c>
      <c r="B332" s="1787" t="s">
        <v>1841</v>
      </c>
      <c r="C332" s="1793"/>
      <c r="D332" s="1793"/>
      <c r="E332" s="1793"/>
      <c r="F332" s="1793"/>
      <c r="G332" s="1793"/>
      <c r="H332" s="467"/>
      <c r="I332" s="1793"/>
      <c r="J332" s="1793"/>
      <c r="K332" s="1637">
        <f>H332</f>
        <v>0</v>
      </c>
      <c r="L332" s="467"/>
      <c r="M332" s="665"/>
      <c r="N332" s="665"/>
    </row>
    <row r="333" spans="1:14" s="674" customFormat="1" ht="12.75" customHeight="1" x14ac:dyDescent="0.2">
      <c r="A333" s="1792" t="s">
        <v>304</v>
      </c>
      <c r="B333" s="1787" t="s">
        <v>1843</v>
      </c>
      <c r="C333" s="1793"/>
      <c r="D333" s="1793"/>
      <c r="E333" s="1793"/>
      <c r="F333" s="1793"/>
      <c r="G333" s="1793"/>
      <c r="H333" s="467"/>
      <c r="I333" s="1793"/>
      <c r="J333" s="1793"/>
      <c r="K333" s="1637">
        <f>H333</f>
        <v>0</v>
      </c>
      <c r="L333" s="467"/>
      <c r="M333" s="665"/>
      <c r="N333" s="665"/>
    </row>
    <row r="334" spans="1:14" s="674" customFormat="1" ht="12.75" customHeight="1" thickBot="1" x14ac:dyDescent="0.25">
      <c r="A334" s="1792" t="s">
        <v>1848</v>
      </c>
      <c r="B334" s="1787" t="s">
        <v>860</v>
      </c>
      <c r="C334" s="1793"/>
      <c r="D334" s="1793"/>
      <c r="E334" s="1793"/>
      <c r="F334" s="1793"/>
      <c r="G334" s="1793"/>
      <c r="H334" s="1636">
        <f>SUM(H332:H333)</f>
        <v>0</v>
      </c>
      <c r="I334" s="1793"/>
      <c r="J334" s="1793"/>
      <c r="K334" s="1636">
        <f>SUM(K332:K333)</f>
        <v>0</v>
      </c>
      <c r="L334" s="1636">
        <f>SUM(L332:L333)</f>
        <v>0</v>
      </c>
      <c r="M334" s="665"/>
      <c r="N334" s="665"/>
    </row>
    <row r="335" spans="1:14" ht="15.75" customHeight="1" thickTop="1" x14ac:dyDescent="0.2">
      <c r="A335" s="1601" t="s">
        <v>899</v>
      </c>
      <c r="B335" s="1592"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37">
        <f>H337</f>
        <v>0</v>
      </c>
      <c r="L337" s="478"/>
    </row>
    <row r="338" spans="1:14" ht="12.75" customHeight="1" x14ac:dyDescent="0.2">
      <c r="A338" s="1518" t="s">
        <v>1170</v>
      </c>
      <c r="B338" s="690" t="s">
        <v>617</v>
      </c>
      <c r="C338" s="638"/>
      <c r="D338" s="638"/>
      <c r="E338" s="638"/>
      <c r="F338" s="638"/>
      <c r="G338" s="638"/>
      <c r="H338" s="478"/>
      <c r="I338" s="638"/>
      <c r="J338" s="638"/>
      <c r="K338" s="1637">
        <f>H338</f>
        <v>0</v>
      </c>
      <c r="L338" s="478"/>
    </row>
    <row r="339" spans="1:14" x14ac:dyDescent="0.2">
      <c r="A339" s="1504" t="s">
        <v>901</v>
      </c>
      <c r="B339" s="628">
        <v>5150</v>
      </c>
      <c r="C339" s="638"/>
      <c r="D339" s="638"/>
      <c r="E339" s="638"/>
      <c r="F339" s="638"/>
      <c r="G339" s="638"/>
      <c r="H339" s="467"/>
      <c r="I339" s="638"/>
      <c r="J339" s="638"/>
      <c r="K339" s="1637">
        <f>H339</f>
        <v>0</v>
      </c>
      <c r="L339" s="467"/>
    </row>
    <row r="340" spans="1:14" ht="13.5" thickBot="1" x14ac:dyDescent="0.25">
      <c r="A340" s="1660" t="s">
        <v>902</v>
      </c>
      <c r="B340" s="1635" t="s">
        <v>492</v>
      </c>
      <c r="C340" s="616"/>
      <c r="D340" s="616"/>
      <c r="E340" s="616"/>
      <c r="F340" s="616"/>
      <c r="G340" s="616"/>
      <c r="H340" s="1654">
        <f>SUM(H337:H339)</f>
        <v>0</v>
      </c>
      <c r="I340" s="616"/>
      <c r="J340" s="616"/>
      <c r="K340" s="1654">
        <f>SUM(K337:K339)</f>
        <v>0</v>
      </c>
      <c r="L340" s="1654">
        <f>SUM(L337:L339)</f>
        <v>0</v>
      </c>
    </row>
    <row r="341" spans="1:14" ht="15.75" customHeight="1" thickTop="1" thickBot="1" x14ac:dyDescent="0.25">
      <c r="A341" s="1604" t="s">
        <v>903</v>
      </c>
      <c r="B341" s="1596" t="s">
        <v>861</v>
      </c>
      <c r="C341" s="616"/>
      <c r="D341" s="616"/>
      <c r="E341" s="477"/>
      <c r="F341" s="468"/>
      <c r="G341" s="468"/>
      <c r="H341" s="477"/>
      <c r="I341" s="477"/>
      <c r="J341" s="468"/>
      <c r="K341" s="477"/>
      <c r="L341" s="576"/>
    </row>
    <row r="342" spans="1:14" ht="12.75" customHeight="1" thickTop="1" thickBot="1" x14ac:dyDescent="0.25">
      <c r="A342" s="1652" t="s">
        <v>505</v>
      </c>
      <c r="B342" s="1667"/>
      <c r="C342" s="1636">
        <f>SUM(C330)</f>
        <v>0</v>
      </c>
      <c r="D342" s="1636">
        <f>SUM(D330)</f>
        <v>0</v>
      </c>
      <c r="E342" s="1636">
        <f>SUM(E330)</f>
        <v>0</v>
      </c>
      <c r="F342" s="1636">
        <f>SUM(F330)</f>
        <v>0</v>
      </c>
      <c r="G342" s="1636">
        <f>SUM(G330)</f>
        <v>0</v>
      </c>
      <c r="H342" s="1636">
        <f>SUM(H330,H334,H340)</f>
        <v>0</v>
      </c>
      <c r="I342" s="1636">
        <f>SUM(I330)</f>
        <v>0</v>
      </c>
      <c r="J342" s="1636">
        <f>SUM(J330)</f>
        <v>0</v>
      </c>
      <c r="K342" s="1636">
        <f>SUM(K330,K334,K340)</f>
        <v>0</v>
      </c>
      <c r="L342" s="1643">
        <f>SUM(L330,L334,L340,L341)</f>
        <v>0</v>
      </c>
    </row>
    <row r="343" spans="1:14" ht="12.75" customHeight="1" thickTop="1" x14ac:dyDescent="0.2">
      <c r="A343" s="2194" t="s">
        <v>996</v>
      </c>
      <c r="B343" s="2195"/>
      <c r="C343" s="616"/>
      <c r="D343" s="616"/>
      <c r="E343" s="616"/>
      <c r="F343" s="616"/>
      <c r="G343" s="616"/>
      <c r="H343" s="616"/>
      <c r="I343" s="616"/>
      <c r="J343" s="616"/>
      <c r="K343" s="1650">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4" t="s">
        <v>966</v>
      </c>
      <c r="B345" s="2185"/>
      <c r="C345" s="1536"/>
      <c r="D345" s="1537"/>
      <c r="E345" s="1537"/>
      <c r="F345" s="1537"/>
      <c r="G345" s="1537"/>
      <c r="H345" s="1537"/>
      <c r="I345" s="1537"/>
      <c r="J345" s="1537"/>
      <c r="K345" s="1537"/>
      <c r="L345" s="1538"/>
      <c r="M345" s="667"/>
      <c r="N345" s="667"/>
    </row>
    <row r="346" spans="1:14" s="343" customFormat="1" ht="15.75" customHeight="1" x14ac:dyDescent="0.2">
      <c r="A346" s="1608" t="s">
        <v>844</v>
      </c>
      <c r="B346" s="1600"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37">
        <f>SUM(C348:J348)</f>
        <v>0</v>
      </c>
      <c r="L348" s="466"/>
    </row>
    <row r="349" spans="1:14" x14ac:dyDescent="0.2">
      <c r="A349" s="1504" t="s">
        <v>197</v>
      </c>
      <c r="B349" s="614">
        <v>2540</v>
      </c>
      <c r="C349" s="466"/>
      <c r="D349" s="466"/>
      <c r="E349" s="466"/>
      <c r="F349" s="466"/>
      <c r="G349" s="466"/>
      <c r="H349" s="466"/>
      <c r="I349" s="467"/>
      <c r="J349" s="467"/>
      <c r="K349" s="1637">
        <f>SUM(C349:J349)</f>
        <v>0</v>
      </c>
      <c r="L349" s="466"/>
    </row>
    <row r="350" spans="1:14" ht="12.75" customHeight="1" thickBot="1" x14ac:dyDescent="0.25">
      <c r="A350" s="1634" t="s">
        <v>719</v>
      </c>
      <c r="B350" s="1635" t="s">
        <v>35</v>
      </c>
      <c r="C350" s="1636">
        <f>SUM(C348:C349)</f>
        <v>0</v>
      </c>
      <c r="D350" s="1636">
        <f t="shared" ref="D350:L350" si="26">SUM(D348:D349)</f>
        <v>0</v>
      </c>
      <c r="E350" s="1636">
        <f t="shared" si="26"/>
        <v>0</v>
      </c>
      <c r="F350" s="1636">
        <f t="shared" si="26"/>
        <v>0</v>
      </c>
      <c r="G350" s="1636">
        <f t="shared" si="26"/>
        <v>0</v>
      </c>
      <c r="H350" s="1636">
        <f t="shared" si="26"/>
        <v>0</v>
      </c>
      <c r="I350" s="1636">
        <f t="shared" si="26"/>
        <v>0</v>
      </c>
      <c r="J350" s="1636">
        <f t="shared" si="26"/>
        <v>0</v>
      </c>
      <c r="K350" s="1636">
        <f t="shared" si="26"/>
        <v>0</v>
      </c>
      <c r="L350" s="1636">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34" t="s">
        <v>624</v>
      </c>
      <c r="B352" s="1641" t="s">
        <v>569</v>
      </c>
      <c r="C352" s="1636">
        <f>SUM(C350:C351)</f>
        <v>0</v>
      </c>
      <c r="D352" s="1636">
        <f t="shared" ref="D352:L352" si="27">SUM(D350:D351)</f>
        <v>0</v>
      </c>
      <c r="E352" s="1636">
        <f t="shared" si="27"/>
        <v>0</v>
      </c>
      <c r="F352" s="1636">
        <f t="shared" si="27"/>
        <v>0</v>
      </c>
      <c r="G352" s="1636">
        <f t="shared" si="27"/>
        <v>0</v>
      </c>
      <c r="H352" s="1636">
        <f t="shared" si="27"/>
        <v>0</v>
      </c>
      <c r="I352" s="1636">
        <f t="shared" si="27"/>
        <v>0</v>
      </c>
      <c r="J352" s="1636">
        <f t="shared" si="27"/>
        <v>0</v>
      </c>
      <c r="K352" s="1636">
        <f t="shared" si="27"/>
        <v>0</v>
      </c>
      <c r="L352" s="1636">
        <f t="shared" si="27"/>
        <v>0</v>
      </c>
    </row>
    <row r="353" spans="1:14" s="343" customFormat="1" ht="15.75" customHeight="1" thickTop="1" x14ac:dyDescent="0.2">
      <c r="A353" s="1597" t="s">
        <v>625</v>
      </c>
      <c r="B353" s="1594" t="s">
        <v>860</v>
      </c>
      <c r="C353" s="616"/>
      <c r="D353" s="616"/>
      <c r="E353" s="616"/>
      <c r="F353" s="616"/>
      <c r="G353" s="616"/>
      <c r="H353" s="616"/>
      <c r="I353" s="616"/>
      <c r="J353" s="616"/>
      <c r="K353" s="616"/>
      <c r="L353" s="616"/>
      <c r="M353" s="609"/>
      <c r="N353" s="609"/>
    </row>
    <row r="354" spans="1:14" x14ac:dyDescent="0.2">
      <c r="A354" s="1794" t="s">
        <v>1849</v>
      </c>
      <c r="B354" s="683" t="s">
        <v>1841</v>
      </c>
      <c r="C354" s="616"/>
      <c r="D354" s="616"/>
      <c r="E354" s="616"/>
      <c r="F354" s="616"/>
      <c r="G354" s="616"/>
      <c r="H354" s="474"/>
      <c r="I354" s="701"/>
      <c r="J354" s="616"/>
      <c r="K354" s="1665">
        <f>H354</f>
        <v>0</v>
      </c>
      <c r="L354" s="471"/>
    </row>
    <row r="355" spans="1:14" ht="12.75" customHeight="1" x14ac:dyDescent="0.2">
      <c r="A355" s="1513" t="s">
        <v>1850</v>
      </c>
      <c r="B355" s="690" t="s">
        <v>1843</v>
      </c>
      <c r="C355" s="616"/>
      <c r="D355" s="616"/>
      <c r="E355" s="616"/>
      <c r="F355" s="616"/>
      <c r="G355" s="616"/>
      <c r="H355" s="467"/>
      <c r="I355" s="701"/>
      <c r="J355" s="616"/>
      <c r="K355" s="1709">
        <f>H355</f>
        <v>0</v>
      </c>
      <c r="L355" s="467"/>
    </row>
    <row r="356" spans="1:14" ht="12.75" customHeight="1" x14ac:dyDescent="0.2">
      <c r="A356" s="1794" t="s">
        <v>698</v>
      </c>
      <c r="B356" s="683" t="s">
        <v>558</v>
      </c>
      <c r="C356" s="616"/>
      <c r="D356" s="616"/>
      <c r="E356" s="616"/>
      <c r="F356" s="616"/>
      <c r="G356" s="616"/>
      <c r="H356" s="479"/>
      <c r="I356" s="701"/>
      <c r="J356" s="616"/>
      <c r="K356" s="1706">
        <f>H356</f>
        <v>0</v>
      </c>
      <c r="L356" s="479"/>
    </row>
    <row r="357" spans="1:14" ht="12.75" customHeight="1" thickBot="1" x14ac:dyDescent="0.25">
      <c r="A357" s="1634" t="s">
        <v>1487</v>
      </c>
      <c r="B357" s="1635" t="s">
        <v>860</v>
      </c>
      <c r="C357" s="616"/>
      <c r="D357" s="616"/>
      <c r="E357" s="616"/>
      <c r="F357" s="616"/>
      <c r="G357" s="616"/>
      <c r="H357" s="1654">
        <f>SUM(H354:H356)</f>
        <v>0</v>
      </c>
      <c r="I357" s="701"/>
      <c r="J357" s="616"/>
      <c r="K357" s="1654">
        <f>SUM(K354:K356)</f>
        <v>0</v>
      </c>
      <c r="L357" s="1654">
        <f>SUM(L354:L356)</f>
        <v>0</v>
      </c>
    </row>
    <row r="358" spans="1:14" s="343" customFormat="1" ht="15.75" customHeight="1" thickTop="1" x14ac:dyDescent="0.2">
      <c r="A358" s="1597" t="s">
        <v>948</v>
      </c>
      <c r="B358" s="1594"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37">
        <f>SUM(C360:J360)</f>
        <v>0</v>
      </c>
      <c r="L360" s="466"/>
    </row>
    <row r="361" spans="1:14" ht="12.75" customHeight="1" x14ac:dyDescent="0.2">
      <c r="A361" s="1505" t="s">
        <v>619</v>
      </c>
      <c r="B361" s="602" t="s">
        <v>618</v>
      </c>
      <c r="C361" s="616"/>
      <c r="D361" s="616"/>
      <c r="E361" s="616"/>
      <c r="F361" s="616"/>
      <c r="G361" s="616"/>
      <c r="H361" s="467"/>
      <c r="I361" s="616"/>
      <c r="J361" s="616"/>
      <c r="K361" s="1637">
        <f>SUM(C361:J361)</f>
        <v>0</v>
      </c>
      <c r="L361" s="466"/>
    </row>
    <row r="362" spans="1:14" ht="12.75" customHeight="1" thickBot="1" x14ac:dyDescent="0.25">
      <c r="A362" s="1634" t="s">
        <v>626</v>
      </c>
      <c r="B362" s="1635" t="s">
        <v>718</v>
      </c>
      <c r="C362" s="616"/>
      <c r="D362" s="616"/>
      <c r="E362" s="616"/>
      <c r="F362" s="616"/>
      <c r="G362" s="616"/>
      <c r="H362" s="1669">
        <f>SUM(H360:H361)</f>
        <v>0</v>
      </c>
      <c r="I362" s="616"/>
      <c r="J362" s="616"/>
      <c r="K362" s="1669">
        <f>SUM(K360:K361)</f>
        <v>0</v>
      </c>
      <c r="L362" s="1669">
        <f>SUM(L360:L361)</f>
        <v>0</v>
      </c>
    </row>
    <row r="363" spans="1:14" s="674" customFormat="1" ht="15.75" customHeight="1" thickTop="1" x14ac:dyDescent="0.2">
      <c r="A363" s="660" t="s">
        <v>83</v>
      </c>
      <c r="B363" s="661" t="s">
        <v>38</v>
      </c>
      <c r="C363" s="638"/>
      <c r="D363" s="638"/>
      <c r="E363" s="638"/>
      <c r="F363" s="638"/>
      <c r="G363" s="638"/>
      <c r="H363" s="479"/>
      <c r="I363" s="638"/>
      <c r="J363" s="638"/>
      <c r="K363" s="1665">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37">
        <f>SUM(C364:J364)</f>
        <v>0</v>
      </c>
      <c r="L364" s="707"/>
    </row>
    <row r="365" spans="1:14" s="674" customFormat="1" ht="12.75" customHeight="1" thickBot="1" x14ac:dyDescent="0.25">
      <c r="A365" s="1521" t="s">
        <v>590</v>
      </c>
      <c r="B365" s="659" t="s">
        <v>492</v>
      </c>
      <c r="C365" s="638"/>
      <c r="D365" s="638"/>
      <c r="E365" s="638"/>
      <c r="F365" s="638"/>
      <c r="G365" s="638"/>
      <c r="H365" s="1669">
        <f>SUM(H362,H363,H364)</f>
        <v>0</v>
      </c>
      <c r="I365" s="638"/>
      <c r="J365" s="638"/>
      <c r="K365" s="1669">
        <f>SUM(K362,K363,K364)</f>
        <v>0</v>
      </c>
      <c r="L365" s="1669">
        <f>SUM(L362,L363,L364)</f>
        <v>0</v>
      </c>
      <c r="M365" s="665"/>
      <c r="N365" s="665"/>
    </row>
    <row r="366" spans="1:14" s="343" customFormat="1" ht="15.75" customHeight="1" thickTop="1" thickBot="1" x14ac:dyDescent="0.25">
      <c r="A366" s="1591" t="s">
        <v>949</v>
      </c>
      <c r="B366" s="1598" t="s">
        <v>861</v>
      </c>
      <c r="C366" s="623"/>
      <c r="D366" s="623"/>
      <c r="E366" s="623"/>
      <c r="F366" s="623"/>
      <c r="G366" s="623"/>
      <c r="H366" s="623"/>
      <c r="I366" s="623"/>
      <c r="J366" s="616"/>
      <c r="K366" s="623"/>
      <c r="L366" s="573"/>
      <c r="M366" s="609"/>
      <c r="N366" s="609"/>
    </row>
    <row r="367" spans="1:14" ht="12.75" customHeight="1" thickTop="1" thickBot="1" x14ac:dyDescent="0.25">
      <c r="A367" s="1658" t="s">
        <v>505</v>
      </c>
      <c r="B367" s="1670"/>
      <c r="C367" s="1636">
        <f t="shared" ref="C367:L367" si="28">SUM(C352,C357,C365,C366)</f>
        <v>0</v>
      </c>
      <c r="D367" s="1636">
        <f t="shared" si="28"/>
        <v>0</v>
      </c>
      <c r="E367" s="1636">
        <f t="shared" si="28"/>
        <v>0</v>
      </c>
      <c r="F367" s="1636">
        <f t="shared" si="28"/>
        <v>0</v>
      </c>
      <c r="G367" s="1636">
        <f t="shared" si="28"/>
        <v>0</v>
      </c>
      <c r="H367" s="1636">
        <f t="shared" si="28"/>
        <v>0</v>
      </c>
      <c r="I367" s="1636">
        <f t="shared" si="28"/>
        <v>0</v>
      </c>
      <c r="J367" s="1636">
        <f t="shared" si="28"/>
        <v>0</v>
      </c>
      <c r="K367" s="1636">
        <f t="shared" si="28"/>
        <v>0</v>
      </c>
      <c r="L367" s="1636">
        <f t="shared" si="28"/>
        <v>0</v>
      </c>
    </row>
    <row r="368" spans="1:14" ht="13.5" thickTop="1" x14ac:dyDescent="0.2">
      <c r="A368" s="2208" t="s">
        <v>996</v>
      </c>
      <c r="B368" s="2209"/>
      <c r="C368" s="654"/>
      <c r="D368" s="654"/>
      <c r="E368" s="626"/>
      <c r="F368" s="626"/>
      <c r="G368" s="626"/>
      <c r="H368" s="626"/>
      <c r="I368" s="626"/>
      <c r="J368" s="623"/>
      <c r="K368" s="1637">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1"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6ce3111e-7420-4802-b50a-75d4e9a0b980"/>
    <ds:schemaRef ds:uri="http://schemas.microsoft.com/office/2006/documentManagement/types"/>
    <ds:schemaRef ds:uri="4d435f69-8686-490b-bd6d-b153bf22ab50"/>
    <ds:schemaRef ds:uri="http://schemas.microsoft.com/sharepoint/v3"/>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Contracts Paid in CY 29</vt:lpstr>
      <vt:lpstr>PCTC-OEPP 27-28</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2020-01-10T17:21:28Z</cp:lastPrinted>
  <dcterms:created xsi:type="dcterms:W3CDTF">2003-10-29T19:06:34Z</dcterms:created>
  <dcterms:modified xsi:type="dcterms:W3CDTF">2020-01-13T22:09:33Z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