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6D4FFB7-77E7-4F8F-AA5B-65E6E8B7B095}"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3" i="173" l="1"/>
  <c r="J25" i="179" l="1"/>
  <c r="I25" i="179"/>
  <c r="F25" i="179"/>
  <c r="L24" i="179"/>
  <c r="L23" i="179"/>
  <c r="G18" i="179"/>
  <c r="E18" i="179"/>
  <c r="J27" i="179" l="1"/>
  <c r="J16" i="183"/>
  <c r="L25" i="179"/>
  <c r="L27" i="179" s="1"/>
  <c r="F27" i="179"/>
  <c r="I27" i="179"/>
  <c r="I18" i="179" l="1"/>
  <c r="I16" i="183" s="1"/>
  <c r="G16" i="183"/>
  <c r="F18" i="179"/>
  <c r="F16" i="183" s="1"/>
  <c r="E16" i="183"/>
  <c r="L27" i="183"/>
  <c r="L26" i="183"/>
  <c r="L25" i="183"/>
  <c r="L24" i="183"/>
  <c r="L23" i="183"/>
  <c r="L22" i="183"/>
  <c r="L21" i="183"/>
  <c r="L20" i="183"/>
  <c r="L19" i="183"/>
  <c r="L18" i="183"/>
  <c r="L17" i="183"/>
  <c r="L15" i="183"/>
  <c r="L14" i="183"/>
  <c r="L13" i="183"/>
  <c r="L12" i="183"/>
  <c r="L11" i="183"/>
  <c r="B4" i="183"/>
  <c r="L16" i="183" l="1"/>
  <c r="D45" i="174"/>
  <c r="L18" i="17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D167" i="34" l="1"/>
  <c r="D166" i="34"/>
  <c r="C167" i="34"/>
  <c r="C166" i="34"/>
  <c r="J24" i="24" l="1"/>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17" i="179" l="1"/>
  <c r="L16" i="179"/>
  <c r="L15" i="179"/>
  <c r="L14" i="179"/>
  <c r="L13" i="179"/>
  <c r="K333" i="29" l="1"/>
  <c r="B7788" i="106" s="1"/>
  <c r="B7787" i="106"/>
  <c r="H137" i="29"/>
  <c r="B7775" i="106"/>
  <c r="B15" i="7"/>
  <c r="B7777" i="106"/>
  <c r="K157" i="29"/>
  <c r="H160" i="29"/>
  <c r="B7810" i="106"/>
  <c r="D7810" i="106" s="1"/>
  <c r="D285" i="29"/>
  <c r="K282" i="29"/>
  <c r="B7784" i="106" s="1"/>
  <c r="B7783" i="106"/>
  <c r="B7809" i="106"/>
  <c r="D7809" i="106" s="1"/>
  <c r="F166" i="34"/>
  <c r="D17" i="171"/>
  <c r="K356" i="29"/>
  <c r="B7811" i="106"/>
  <c r="D7811" i="106" s="1"/>
  <c r="B7814" i="106"/>
  <c r="D7814" i="106" s="1"/>
  <c r="B7816" i="106"/>
  <c r="D7816" i="106" s="1"/>
  <c r="F29" i="34"/>
  <c r="B5196" i="106"/>
  <c r="F167" i="34"/>
  <c r="B7813" i="106"/>
  <c r="D7813" i="106" s="1"/>
  <c r="K158" i="29"/>
  <c r="B7780" i="106" s="1"/>
  <c r="B7779" i="106"/>
  <c r="E137" i="29"/>
  <c r="E139" i="29" s="1"/>
  <c r="K133" i="29"/>
  <c r="B7776" i="106" s="1"/>
  <c r="B7774" i="106"/>
  <c r="H334" i="29"/>
  <c r="B7789" i="106" s="1"/>
  <c r="K332" i="29"/>
  <c r="B7785" i="106"/>
  <c r="K159" i="29"/>
  <c r="B7782" i="106" s="1"/>
  <c r="B7781" i="106"/>
  <c r="B7815" i="106"/>
  <c r="D7815" i="106" s="1"/>
  <c r="B7812" i="106"/>
  <c r="D7812" i="106" s="1"/>
  <c r="B7793" i="106"/>
  <c r="K355" i="29"/>
  <c r="B7794" i="106" s="1"/>
  <c r="H357" i="29"/>
  <c r="B7791" i="106"/>
  <c r="K354" i="29"/>
  <c r="D14" i="17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92" i="106" l="1"/>
  <c r="K357" i="29"/>
  <c r="K15" i="4" s="1"/>
  <c r="B7778" i="106"/>
  <c r="K160" i="29"/>
  <c r="K334" i="29"/>
  <c r="B7786" i="106"/>
  <c r="B2" i="179"/>
  <c r="B2" i="183"/>
  <c r="B2" i="177"/>
  <c r="A2" i="170"/>
  <c r="B2" i="174"/>
  <c r="A2" i="173"/>
  <c r="A1" i="171"/>
  <c r="B1" i="179"/>
  <c r="B2" i="176"/>
  <c r="B1" i="175"/>
  <c r="B1" i="177"/>
  <c r="A1" i="170"/>
  <c r="A2" i="171"/>
  <c r="A1" i="173"/>
  <c r="B1" i="174"/>
  <c r="B2" i="175"/>
  <c r="B1" i="176"/>
  <c r="E15" i="4" l="1"/>
  <c r="F60" i="34"/>
  <c r="F74" i="34"/>
  <c r="B7790" i="106"/>
  <c r="J15" i="4"/>
  <c r="B7796" i="106" s="1"/>
  <c r="B7773" i="106"/>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6833" i="106" s="1"/>
  <c r="D6833" i="106" s="1"/>
  <c r="B7761" i="106"/>
  <c r="D7761" i="106" s="1"/>
  <c r="L127" i="29"/>
  <c r="L129" i="29" s="1"/>
  <c r="L139" i="29"/>
  <c r="L149" i="29"/>
  <c r="I7" i="145"/>
  <c r="I6" i="145"/>
  <c r="D82" i="36"/>
  <c r="D78" i="36"/>
  <c r="K75" i="29"/>
  <c r="K130" i="29"/>
  <c r="B2805" i="106" s="1"/>
  <c r="D2805"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K83" i="29"/>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F26" i="108"/>
  <c r="E27" i="108"/>
  <c r="G27" i="108"/>
  <c r="F31" i="108"/>
  <c r="F36" i="108"/>
  <c r="F37" i="108"/>
  <c r="G28"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C57" i="34"/>
  <c r="D57" i="34"/>
  <c r="C61" i="34"/>
  <c r="C62" i="34"/>
  <c r="F62" i="34"/>
  <c r="C63" i="34"/>
  <c r="D63" i="34"/>
  <c r="C64" i="34"/>
  <c r="F64" i="34"/>
  <c r="C67" i="34"/>
  <c r="D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F27" i="108" l="1"/>
  <c r="F42" i="34"/>
  <c r="F50" i="34"/>
  <c r="F36" i="34"/>
  <c r="G39" i="108"/>
  <c r="F56" i="34"/>
  <c r="D14" i="4"/>
  <c r="B2570" i="106" s="1"/>
  <c r="D2570" i="106" s="1"/>
  <c r="B7047" i="106"/>
  <c r="D7047" i="106" s="1"/>
  <c r="F37" i="34"/>
  <c r="G29" i="108"/>
  <c r="E29" i="108"/>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K184" i="29"/>
  <c r="F13" i="4" s="1"/>
  <c r="B2596" i="106" s="1"/>
  <c r="D2596" i="106" s="1"/>
  <c r="F77" i="4"/>
  <c r="B3255" i="106" s="1"/>
  <c r="D3255" i="106" s="1"/>
  <c r="G38" i="108"/>
  <c r="E38" i="108"/>
  <c r="G30" i="108"/>
  <c r="B1274" i="106"/>
  <c r="D1274" i="106" s="1"/>
  <c r="F70" i="34"/>
  <c r="E30" i="108"/>
  <c r="B2895" i="106"/>
  <c r="D2895" i="106" s="1"/>
  <c r="G210" i="29"/>
  <c r="I210" i="29"/>
  <c r="B7071" i="106" s="1"/>
  <c r="D7071" i="106" s="1"/>
  <c r="E26" i="108"/>
  <c r="G15" i="145"/>
  <c r="G26" i="108"/>
  <c r="B6995" i="106"/>
  <c r="D6995" i="106" s="1"/>
  <c r="F28" i="108"/>
  <c r="F41" i="108" s="1"/>
  <c r="G43" i="108" s="1"/>
  <c r="E28" i="108"/>
  <c r="B1124" i="106"/>
  <c r="D1124" i="106" s="1"/>
  <c r="F34" i="34"/>
  <c r="J352" i="29"/>
  <c r="J367" i="29" s="1"/>
  <c r="B7245" i="106" s="1"/>
  <c r="D7245" i="106" s="1"/>
  <c r="H342" i="29"/>
  <c r="B7221" i="106" s="1"/>
  <c r="D7221" i="106" s="1"/>
  <c r="H112" i="29"/>
  <c r="B7018" i="106" s="1"/>
  <c r="D7018" i="106" s="1"/>
  <c r="J77" i="4"/>
  <c r="B6262" i="106" s="1"/>
  <c r="D6262" i="106" s="1"/>
  <c r="H76" i="4"/>
  <c r="B3298" i="106" s="1"/>
  <c r="D3298" i="106" s="1"/>
  <c r="H365" i="29"/>
  <c r="B7242" i="106" s="1"/>
  <c r="D7242" i="106" s="1"/>
  <c r="C342" i="29"/>
  <c r="B7216" i="106" s="1"/>
  <c r="D7216" i="106" s="1"/>
  <c r="L15" i="11"/>
  <c r="B3459" i="106" s="1"/>
  <c r="D3459" i="106" s="1"/>
  <c r="H33" i="118"/>
  <c r="C129" i="29"/>
  <c r="B1225" i="106" s="1"/>
  <c r="D1225" i="106" s="1"/>
  <c r="L367" i="29"/>
  <c r="D6103" i="106"/>
  <c r="B3647" i="106"/>
  <c r="D3647" i="106" s="1"/>
  <c r="C352" i="29"/>
  <c r="B3621" i="106" s="1"/>
  <c r="D3621" i="106" s="1"/>
  <c r="K76" i="4"/>
  <c r="B3586" i="106" s="1"/>
  <c r="D3586" i="106" s="1"/>
  <c r="L13" i="11"/>
  <c r="B2060" i="106" s="1"/>
  <c r="D2060" i="106" s="1"/>
  <c r="B1308" i="106"/>
  <c r="D1308" i="106" s="1"/>
  <c r="E174" i="29"/>
  <c r="B1309" i="106" s="1"/>
  <c r="D1309" i="106" s="1"/>
  <c r="B1126" i="106"/>
  <c r="D1126" i="106" s="1"/>
  <c r="D17" i="7"/>
  <c r="B4104" i="106" s="1"/>
  <c r="D4104" i="106" s="1"/>
  <c r="D9" i="7"/>
  <c r="B1767" i="106" s="1"/>
  <c r="D1767" i="106" s="1"/>
  <c r="K28" i="118"/>
  <c r="O27" i="118" s="1"/>
  <c r="O29" i="118"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66" i="5"/>
  <c r="J24" i="12"/>
  <c r="B7730" i="106"/>
  <c r="D7730" i="106" s="1"/>
  <c r="B7270" i="106"/>
  <c r="I151" i="29" l="1"/>
  <c r="F59" i="34" s="1"/>
  <c r="B4435" i="106"/>
  <c r="D4435" i="106" s="1"/>
  <c r="B1266" i="106"/>
  <c r="D1266" i="106" s="1"/>
  <c r="F66" i="34"/>
  <c r="B1328" i="106"/>
  <c r="D1328" i="106" s="1"/>
  <c r="J151" i="29"/>
  <c r="B7052" i="106" s="1"/>
  <c r="D7052" i="106" s="1"/>
  <c r="B1381" i="106"/>
  <c r="D1381" i="106" s="1"/>
  <c r="K365" i="29"/>
  <c r="K16" i="4" s="1"/>
  <c r="M23" i="3"/>
  <c r="B273" i="106"/>
  <c r="D273" i="106" s="1"/>
  <c r="L16" i="11"/>
  <c r="B2061" i="106" s="1"/>
  <c r="D2061" i="106" s="1"/>
  <c r="H77" i="4"/>
  <c r="B3299" i="106" s="1"/>
  <c r="D3299" i="106" s="1"/>
  <c r="B7235" i="106"/>
  <c r="D7235" i="106" s="1"/>
  <c r="B2914" i="106"/>
  <c r="D2914" i="106" s="1"/>
  <c r="L34" i="3"/>
  <c r="C367" i="29"/>
  <c r="B3622" i="106" s="1"/>
  <c r="D3622" i="106" s="1"/>
  <c r="J16" i="4"/>
  <c r="B6226" i="106" s="1"/>
  <c r="D6226" i="106" s="1"/>
  <c r="B1365" i="106"/>
  <c r="D1365" i="106" s="1"/>
  <c r="F65" i="34"/>
  <c r="B1317" i="106"/>
  <c r="D1317" i="106" s="1"/>
  <c r="C151" i="29"/>
  <c r="B1226" i="106" s="1"/>
  <c r="D1226" i="106" s="1"/>
  <c r="L114" i="29"/>
  <c r="C114" i="29"/>
  <c r="B757" i="106" s="1"/>
  <c r="D757" i="106" s="1"/>
  <c r="B5527" i="106"/>
  <c r="D5527" i="106" s="1"/>
  <c r="K77" i="4"/>
  <c r="B3587" i="106" s="1"/>
  <c r="D3587" i="106" s="1"/>
  <c r="F174" i="34"/>
  <c r="K342" i="29"/>
  <c r="F13" i="34"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B1145" i="106"/>
  <c r="D1145" i="106" s="1"/>
  <c r="K367" i="29"/>
  <c r="B3678" i="106" s="1"/>
  <c r="D3678" i="106" s="1"/>
  <c r="B279" i="106"/>
  <c r="D279" i="106" s="1"/>
  <c r="B2916" i="106"/>
  <c r="D2916" i="106" s="1"/>
  <c r="L41" i="3"/>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F8" i="4"/>
  <c r="F10" i="4" s="1"/>
  <c r="B4125" i="106" s="1"/>
  <c r="D4125" i="106" s="1"/>
  <c r="B280" i="106"/>
  <c r="D280" i="106" s="1"/>
  <c r="M41" i="3"/>
  <c r="B2917" i="106"/>
  <c r="D2917" i="106" s="1"/>
  <c r="D53" i="36"/>
  <c r="K17" i="4"/>
  <c r="K20" i="4"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D58" i="36" s="1"/>
  <c r="B212" i="106"/>
  <c r="D212" i="106" s="1"/>
  <c r="H41" i="3"/>
  <c r="B6216" i="106"/>
  <c r="D6216" i="106" s="1"/>
  <c r="D51" i="36"/>
  <c r="B2912" i="106"/>
  <c r="D2912" i="106" s="1"/>
  <c r="I41" i="3"/>
  <c r="B3567" i="106"/>
  <c r="D3567" i="106" s="1"/>
  <c r="K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B1644" i="106"/>
  <c r="D1644" i="106" s="1"/>
  <c r="D41" i="3"/>
  <c r="D45" i="36" s="1"/>
  <c r="B123" i="106"/>
  <c r="D123" i="106" s="1"/>
  <c r="N21" i="3"/>
  <c r="B140" i="106"/>
  <c r="D140" i="106" s="1"/>
  <c r="E41" i="3"/>
  <c r="J16" i="37"/>
  <c r="B4269" i="106" s="1"/>
  <c r="D4269" i="106" s="1"/>
  <c r="D76" i="36"/>
  <c r="B2913" i="106"/>
  <c r="D2913" i="106" s="1"/>
  <c r="D50" i="36"/>
  <c r="B92" i="106"/>
  <c r="D92" i="106" s="1"/>
  <c r="C41" i="3"/>
  <c r="B3568" i="106"/>
  <c r="D3568" i="106" s="1"/>
  <c r="D52" i="36"/>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B124" i="106" l="1"/>
  <c r="D124" i="106" s="1"/>
  <c r="O11" i="118"/>
  <c r="O13" i="118" s="1"/>
  <c r="J20" i="118"/>
  <c r="D60" i="36"/>
  <c r="D46" i="36"/>
  <c r="B141" i="106"/>
  <c r="D141" i="106" s="1"/>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B171" i="106"/>
  <c r="D171" i="106" s="1"/>
  <c r="D47"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<sst xmlns="http://schemas.openxmlformats.org/spreadsheetml/2006/main" count="5290" uniqueCount="2181">
  <si>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</si>
  <si>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</si>
  <si>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</si>
  <si>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</si>
  <si>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</si>
  <si>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</si>
  <si>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</si>
  <si>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</si>
  <si>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</si>
  <si>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</si>
  <si>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</si>
  <si>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</si>
  <si>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</si>
  <si>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</si>
  <si>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</si>
  <si>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</si>
  <si>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</si>
  <si>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</si>
  <si>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</si>
  <si>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</si>
  <si>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</si>
  <si>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</si>
  <si>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</si>
  <si>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</si>
  <si>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</si>
  <si>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</si>
  <si>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</si>
  <si>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</si>
  <si>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</si>
  <si>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</si>
  <si>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</si>
  <si>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</si>
  <si>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</si>
  <si>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</si>
  <si>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</si>
  <si>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</si>
  <si>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</si>
  <si>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</si>
  <si>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</si>
  <si>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</si>
  <si>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</si>
  <si>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</si>
  <si>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</si>
  <si>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</si>
  <si>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</si>
  <si>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</si>
  <si>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</si>
  <si>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</si>
  <si>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</si>
  <si>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</si>
  <si>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</si>
  <si>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</si>
  <si>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</si>
  <si>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</si>
  <si>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</si>
  <si>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</si>
  <si>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</si>
  <si>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</si>
  <si>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</si>
  <si>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</si>
  <si>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</si>
  <si>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</si>
  <si>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</si>
  <si>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</si>
  <si>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</si>
  <si>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</si>
  <si>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</si>
  <si>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</si>
  <si>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</si>
  <si>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</si>
  <si>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</si>
  <si>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</si>
  <si>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</si>
  <si>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</si>
  <si>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</si>
  <si>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</si>
  <si>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</si>
  <si>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</si>
  <si>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</si>
  <si>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</si>
  <si>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</si>
  <si>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</si>
  <si>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</si>
  <si>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</si>
  <si>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</si>
  <si>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</si>
  <si>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</si>
  <si>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</si>
  <si>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</si>
  <si>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</si>
  <si>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</si>
  <si>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</si>
  <si>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</si>
  <si>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</si>
  <si>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</si>
  <si>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</si>
  <si>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</si>
  <si>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</si>
  <si>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</si>
  <si>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</si>
  <si>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</si>
  <si>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</si>
  <si>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</si>
  <si>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</si>
  <si>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</si>
  <si>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</si>
  <si>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</si>
  <si>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</si>
  <si>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</si>
  <si>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</si>
  <si>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</si>
  <si>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</si>
  <si>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</si>
  <si>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</si>
  <si>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</si>
  <si>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</si>
  <si>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</si>
  <si>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</si>
  <si>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</si>
  <si>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</si>
  <si>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</si>
  <si>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</si>
  <si>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</si>
  <si>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</si>
  <si>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</si>
  <si>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</si>
  <si>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</si>
  <si>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</si>
  <si>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</si>
  <si>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</si>
  <si>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</si>
  <si>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</si>
  <si>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</si>
  <si>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</si>
  <si>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</si>
  <si>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</si>
  <si>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</si>
  <si>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</si>
  <si>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</si>
  <si>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</si>
  <si>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</si>
  <si>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</si>
  <si>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</si>
  <si>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</si>
  <si>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</si>
  <si>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</si>
  <si>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</si>
  <si>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</si>
  <si>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</si>
  <si>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</si>
  <si>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</si>
  <si>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</si>
  <si>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</si>
  <si>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</si>
  <si>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</si>
  <si>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</si>
  <si>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</si>
  <si>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</si>
  <si>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</si>
  <si>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</si>
  <si>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</si>
  <si>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</si>
  <si>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</si>
  <si>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</si>
  <si>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</si>
  <si>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</si>
  <si>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</si>
  <si>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</si>
  <si>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</si>
  <si>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</si>
  <si>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</si>
  <si>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</si>
  <si>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</si>
  <si>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</si>
  <si>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</si>
  <si>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</si>
  <si>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</si>
  <si>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</si>
  <si>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</si>
  <si>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</si>
  <si>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</si>
  <si>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</si>
  <si>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</si>
  <si>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</si>
  <si>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</si>
  <si>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</si>
  <si>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</si>
  <si>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</si>
  <si>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</si>
  <si>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</si>
  <si>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</si>
  <si>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</si>
  <si>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</si>
  <si>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</si>
  <si>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</si>
  <si>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</si>
  <si>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</si>
  <si>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</si>
  <si>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</si>
  <si>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</si>
  <si>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</si>
  <si>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</si>
  <si>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</si>
  <si>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</si>
  <si>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</si>
  <si>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</si>
  <si>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</si>
  <si>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</si>
  <si>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</si>
  <si>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</si>
  <si>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</si>
  <si>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</si>
  <si>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</si>
  <si>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</si>
  <si>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</si>
  <si>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</si>
  <si>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</si>
  <si>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</si>
  <si>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</si>
  <si>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</si>
  <si>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</si>
  <si>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</si>
  <si>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</si>
  <si>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</si>
  <si>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</si>
  <si>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</si>
  <si>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</si>
  <si>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</si>
  <si>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</si>
  <si>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</si>
  <si>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</si>
  <si>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</si>
  <si>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</si>
  <si>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</si>
  <si>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</si>
  <si>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</si>
  <si>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</si>
  <si>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</si>
  <si>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</si>
  <si>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</si>
  <si>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</si>
  <si>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</si>
  <si>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</si>
  <si>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</si>
  <si>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</si>
  <si>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</si>
  <si>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</si>
  <si>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</si>
  <si>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</si>
  <si>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</si>
  <si>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</si>
  <si>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</si>
  <si>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</si>
  <si>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</si>
  <si>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</si>
  <si>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</si>
  <si>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</si>
  <si>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</si>
  <si>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</si>
  <si>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</si>
  <si>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</si>
  <si>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</si>
  <si>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</si>
  <si>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</si>
  <si>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</si>
  <si>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</si>
  <si>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</si>
  <si>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</si>
  <si>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</si>
  <si>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</si>
  <si>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</si>
  <si>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</si>
  <si>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</si>
  <si>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</si>
  <si>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</si>
  <si>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</si>
  <si>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</si>
  <si>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</si>
  <si>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</si>
  <si>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</si>
  <si>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</si>
  <si>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</si>
  <si>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</si>
  <si>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</si>
  <si>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</si>
  <si>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</si>
  <si>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</si>
  <si>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</si>
  <si>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</si>
  <si>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</si>
  <si>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</si>
  <si>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</si>
  <si>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</si>
  <si>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</si>
  <si>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</si>
  <si>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</si>
  <si>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</si>
  <si>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</si>
  <si>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</si>
  <si>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</si>
  <si>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</si>
  <si>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</si>
  <si>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</si>
  <si>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</si>
  <si>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</si>
  <si>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</si>
  <si>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</si>
  <si>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</si>
  <si>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</si>
  <si>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</si>
  <si>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</si>
  <si>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</si>
  <si>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</si>
  <si>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</si>
  <si>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</si>
  <si>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</si>
  <si>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</si>
  <si>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</si>
  <si>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</si>
  <si>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</si>
  <si>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</si>
  <si>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</si>
  <si>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</si>
  <si>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</si>
  <si>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</si>
  <si>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</si>
  <si>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</si>
  <si>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</si>
  <si>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</si>
  <si>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</si>
  <si>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</si>
  <si>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</si>
  <si>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</si>
  <si>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</si>
  <si>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</si>
  <si>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</si>
  <si>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</si>
  <si>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</si>
  <si>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</si>
  <si>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</si>
  <si>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</si>
  <si>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</si>
  <si>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</si>
  <si>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</si>
  <si>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</si>
  <si>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</si>
  <si>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</si>
  <si>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</si>
  <si>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</si>
  <si>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</si>
  <si>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</si>
  <si>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</si>
  <si>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</si>
  <si>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</si>
  <si>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</si>
  <si>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</si>
  <si>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</si>
  <si>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</si>
  <si>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</si>
  <si>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</si>
  <si>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</si>
  <si>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</si>
  <si>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</si>
  <si>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</si>
  <si>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</si>
  <si>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</si>
  <si>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</si>
  <si>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</si>
  <si>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</si>
  <si>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</si>
  <si>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</si>
  <si>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</si>
  <si>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</si>
  <si>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</si>
  <si>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</si>
  <si>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</si>
  <si>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</si>
  <si>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</si>
  <si>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</si>
  <si>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</si>
  <si>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</si>
  <si>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</si>
  <si>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</si>
  <si>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</si>
  <si>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</si>
  <si>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</si>
  <si>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</si>
  <si>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</si>
  <si>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</si>
  <si>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</si>
  <si>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</si>
  <si>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</si>
  <si>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</si>
  <si>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</si>
  <si>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</si>
  <si>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</si>
  <si>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</si>
  <si>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</si>
  <si>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</si>
  <si>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</si>
  <si>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</si>
  <si>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</si>
  <si>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</si>
  <si>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</si>
  <si>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</si>
  <si>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</si>
  <si>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</si>
  <si>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</si>
  <si>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</si>
  <si>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</si>
  <si>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</si>
  <si>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</si>
  <si>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</si>
  <si>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</si>
  <si>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</si>
  <si>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</si>
  <si>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</si>
  <si>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</si>
  <si>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</si>
  <si>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</si>
  <si>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</si>
  <si>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</si>
  <si>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</si>
  <si>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</si>
  <si>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</si>
  <si>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</si>
  <si>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</si>
  <si>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</si>
  <si>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</si>
  <si>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</si>
  <si>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</si>
  <si>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</si>
  <si>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</si>
  <si>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</si>
  <si>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</si>
  <si>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</si>
  <si>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</si>
  <si>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</si>
  <si>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</si>
  <si>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</si>
  <si>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</si>
  <si>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</si>
  <si>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</si>
  <si>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</si>
  <si>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</si>
  <si>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</si>
  <si>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</si>
  <si>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</si>
  <si>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</si>
  <si>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</si>
  <si>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</si>
  <si>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</si>
  <si>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</si>
  <si>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</si>
  <si>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</si>
  <si>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</si>
  <si>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</si>
  <si>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</si>
  <si>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</si>
  <si>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</si>
  <si>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</si>
  <si>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</si>
  <si>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</si>
  <si>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</si>
  <si>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</si>
  <si>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</si>
  <si>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</si>
  <si>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</si>
  <si>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</si>
  <si>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</si>
  <si>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</si>
  <si>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</si>
  <si>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</si>
  <si>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</si>
  <si>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</si>
  <si>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</si>
  <si>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</si>
  <si>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</si>
  <si>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</si>
  <si>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</si>
  <si>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</si>
  <si>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</si>
  <si>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</si>
  <si>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</si>
  <si>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</si>
  <si>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</si>
  <si>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</si>
  <si>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</si>
  <si>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</si>
  <si>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</si>
  <si>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</si>
  <si>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</si>
  <si>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</si>
  <si>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</si>
  <si>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</si>
  <si>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</si>
  <si>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</si>
  <si>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</si>
  <si>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</si>
  <si>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</si>
  <si>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</si>
  <si>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</si>
  <si>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</si>
  <si>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</si>
  <si>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</si>
  <si>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</si>
  <si>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</si>
  <si>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</si>
  <si>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</si>
  <si>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</si>
  <si>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</si>
  <si>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</si>
  <si>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</si>
  <si>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</si>
  <si>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</si>
  <si>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</si>
  <si>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</si>
  <si>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</si>
  <si>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</si>
  <si>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</si>
  <si>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</si>
  <si>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</si>
  <si>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</si>
  <si>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</si>
  <si>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</si>
  <si>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</si>
  <si>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</si>
  <si>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</si>
  <si>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</si>
  <si>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</si>
  <si>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</si>
  <si>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</si>
  <si>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</si>
  <si>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</si>
  <si>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</si>
  <si>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</si>
  <si>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</si>
  <si>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</si>
  <si>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</si>
  <si>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</si>
  <si>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</si>
  <si>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</si>
  <si>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</si>
  <si>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</si>
  <si>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</si>
  <si>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</si>
  <si>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</si>
  <si>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</si>
  <si>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</si>
  <si>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</si>
  <si>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</si>
  <si>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</si>
  <si>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</si>
  <si>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</si>
  <si>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</si>
  <si>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</si>
  <si>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</si>
  <si>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</si>
  <si>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</si>
  <si>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</si>
  <si>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</si>
  <si>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</si>
  <si>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</si>
  <si>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</si>
  <si>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</si>
  <si>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</si>
  <si>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</si>
  <si>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</si>
  <si>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</si>
  <si>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</si>
  <si>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</si>
  <si>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</si>
  <si>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</si>
  <si>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</si>
  <si>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</si>
  <si>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</si>
  <si>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</si>
  <si>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</si>
  <si>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</si>
  <si>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</si>
  <si>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</si>
  <si>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</si>
  <si>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</si>
  <si>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</si>
  <si>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</si>
  <si>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</si>
  <si>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</si>
  <si>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</si>
  <si>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</si>
  <si>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</si>
  <si>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</si>
  <si>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</si>
  <si>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</si>
  <si>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</si>
  <si>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</si>
  <si>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</si>
  <si>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</si>
  <si>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</si>
  <si>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</si>
  <si>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</si>
  <si>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</si>
  <si>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</si>
  <si>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</si>
  <si>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</si>
  <si>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</si>
  <si>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</si>
  <si>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</si>
  <si>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</si>
  <si>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</si>
  <si>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</si>
  <si>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</si>
  <si>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</si>
  <si>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</si>
  <si>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</si>
  <si>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</si>
  <si>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</si>
  <si>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</si>
  <si>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</si>
  <si>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</si>
  <si>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</si>
  <si>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</si>
  <si>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</si>
  <si>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</si>
  <si>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</si>
  <si>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</si>
  <si>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</si>
  <si>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</si>
  <si>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</si>
  <si>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</si>
  <si>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</si>
  <si>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</si>
  <si>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</si>
  <si>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</si>
  <si>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</si>
  <si>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</si>
  <si>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</si>
  <si>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</si>
  <si>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</si>
  <si>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</si>
  <si>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</si>
  <si>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</si>
  <si>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</si>
  <si>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</si>
  <si>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</si>
  <si>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</si>
  <si>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</si>
  <si>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</si>
  <si>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</si>
  <si>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</si>
  <si>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</si>
  <si>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</si>
  <si>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</si>
  <si>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</si>
  <si>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</si>
  <si>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</si>
  <si>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</si>
  <si>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</si>
  <si>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</si>
  <si>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</si>
  <si>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</si>
  <si>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</si>
  <si>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</si>
  <si>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</si>
  <si>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</si>
  <si>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</si>
  <si>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</si>
  <si>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</si>
  <si>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</si>
  <si>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</si>
  <si>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</si>
  <si>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</si>
  <si>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</si>
  <si>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</si>
  <si>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</si>
  <si>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</si>
  <si>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</si>
  <si>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</si>
  <si>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</si>
  <si>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</si>
  <si>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</si>
  <si>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</si>
  <si>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</si>
  <si>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</si>
  <si>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</si>
  <si>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</si>
  <si>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</si>
  <si>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</si>
  <si>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</si>
  <si>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</si>
  <si>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</si>
  <si>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</si>
  <si>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</si>
  <si>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</si>
  <si>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</si>
  <si>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</si>
  <si>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</si>
  <si>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</si>
  <si>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</si>
  <si>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</si>
  <si>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</si>
  <si>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</si>
  <si>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</si>
  <si>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</si>
  <si>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</si>
  <si>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</si>
  <si>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</si>
  <si>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</si>
  <si>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</si>
  <si>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</si>
  <si>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</si>
  <si>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</si>
  <si>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</si>
  <si>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</si>
  <si>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</si>
  <si>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</si>
  <si>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</si>
  <si>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</si>
  <si>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</si>
  <si>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</si>
  <si>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</si>
  <si>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</si>
  <si>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</si>
  <si>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</si>
  <si>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</si>
  <si>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</si>
  <si>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</si>
  <si>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</si>
  <si>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</si>
  <si>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</si>
  <si>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</si>
  <si>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</si>
  <si>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</si>
  <si>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</si>
  <si>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</si>
  <si>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</si>
  <si>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</si>
  <si>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</si>
  <si>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</si>
  <si>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</si>
  <si>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</si>
  <si>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</si>
  <si>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</si>
  <si>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</si>
  <si>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</si>
  <si>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</si>
  <si>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</si>
  <si>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</si>
  <si>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</si>
  <si>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</si>
  <si>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</si>
  <si>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</si>
  <si>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</si>
  <si>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</si>
  <si>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</si>
  <si>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</si>
  <si>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</si>
  <si>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</si>
  <si>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</si>
  <si>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</si>
  <si>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</si>
  <si>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</si>
  <si>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</si>
  <si>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</si>
  <si>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</si>
  <si>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</si>
  <si>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</si>
  <si>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</si>
  <si>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</si>
  <si>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</si>
  <si>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</si>
  <si>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</si>
  <si>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</si>
  <si>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</si>
  <si>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</si>
  <si>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</si>
  <si>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</si>
  <si>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</si>
  <si>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</si>
  <si>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</si>
  <si>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</si>
  <si>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</si>
  <si>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</si>
  <si>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</si>
  <si>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</si>
  <si>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</si>
  <si>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</si>
  <si>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</si>
  <si>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</si>
  <si>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</si>
  <si>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</si>
  <si>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</si>
  <si>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</si>
  <si>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</si>
  <si>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</si>
  <si>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</si>
  <si>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</si>
  <si>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</si>
  <si>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</si>
  <si>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</si>
  <si>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</si>
  <si>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</si>
  <si>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</si>
  <si>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</si>
  <si>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</si>
  <si>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</si>
  <si>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</si>
  <si>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</si>
  <si>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</si>
  <si>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</si>
  <si>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</si>
  <si>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</si>
  <si>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</si>
  <si>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</si>
  <si>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</si>
  <si>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</si>
  <si>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</si>
  <si>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</si>
  <si>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</si>
  <si>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</si>
  <si>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</si>
  <si>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</si>
  <si>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</si>
  <si>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</si>
  <si>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</si>
  <si>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</si>
  <si>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</si>
  <si>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</si>
  <si>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</si>
  <si>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</si>
  <si>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</si>
  <si>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</si>
  <si>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</si>
  <si>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</si>
  <si>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</si>
  <si>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</si>
  <si>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</si>
  <si>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</si>
  <si>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</si>
  <si>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</si>
  <si>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</si>
  <si>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</si>
  <si>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</si>
  <si>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</si>
  <si>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</si>
  <si>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</si>
  <si>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</si>
  <si>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</si>
  <si>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</si>
  <si>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</si>
  <si>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</si>
  <si>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</si>
  <si>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</si>
  <si>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</si>
  <si>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</si>
  <si>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</si>
  <si>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</si>
  <si>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</si>
  <si>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</si>
  <si>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</si>
  <si>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</si>
  <si>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</si>
  <si>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</si>
  <si>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</si>
  <si>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</si>
  <si>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</si>
  <si>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</si>
  <si>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</si>
  <si>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</si>
  <si>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</si>
  <si>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</si>
  <si>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</si>
  <si>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</si>
  <si>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</si>
  <si>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</si>
  <si>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</si>
  <si>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</si>
  <si>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</si>
  <si>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</si>
  <si>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</si>
  <si>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</si>
  <si>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</si>
  <si>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</si>
  <si>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</si>
  <si>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</si>
  <si>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</si>
  <si>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</si>
  <si>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</si>
  <si>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</si>
  <si>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</si>
  <si>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</si>
  <si>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</si>
  <si>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</si>
  <si>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</si>
  <si>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</si>
  <si>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</si>
  <si>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</si>
  <si>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</si>
  <si>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</si>
  <si>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</si>
  <si>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</si>
  <si>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</si>
  <si>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</si>
  <si>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</si>
  <si>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</si>
  <si>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</si>
  <si>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</si>
  <si>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</si>
  <si>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</si>
  <si>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</si>
  <si>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</si>
  <si>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</si>
  <si>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</si>
  <si>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</si>
  <si>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</si>
  <si>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</si>
  <si>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</si>
  <si>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</si>
  <si>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</si>
  <si>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</si>
  <si>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</si>
  <si>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</si>
  <si>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</si>
  <si>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</si>
  <si>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</si>
  <si>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</si>
  <si>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</si>
  <si>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</si>
  <si>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</si>
  <si>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</si>
  <si>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</si>
  <si>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</si>
  <si>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</si>
  <si>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</si>
  <si>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</si>
  <si>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</si>
  <si>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</si>
  <si>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</si>
  <si>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</si>
  <si>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</si>
  <si>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</si>
  <si>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</si>
  <si>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</si>
  <si>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</si>
  <si>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</si>
  <si>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</si>
  <si>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</si>
  <si>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</si>
  <si>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</si>
  <si>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</si>
  <si>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</si>
  <si>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</si>
  <si>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</si>
  <si>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</si>
  <si>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</si>
  <si>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</si>
  <si>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</si>
  <si>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</si>
  <si>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</si>
  <si>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</si>
  <si>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</si>
  <si>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</si>
  <si>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</si>
  <si>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</si>
  <si>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</si>
  <si>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</si>
  <si>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</si>
  <si>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</si>
  <si>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</si>
  <si>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</si>
  <si>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</si>
  <si>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</si>
  <si>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</si>
  <si>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</si>
  <si>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</si>
  <si>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</si>
  <si>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</si>
  <si>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</si>
  <si>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</si>
  <si>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</si>
  <si>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</si>
  <si>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</si>
  <si>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</si>
  <si>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</si>
  <si>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</si>
  <si>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</si>
  <si>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</si>
  <si>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</si>
  <si>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</si>
  <si>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</si>
  <si>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</si>
  <si>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</si>
  <si>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</si>
  <si>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</si>
  <si>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</si>
  <si>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</si>
  <si>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</si>
  <si>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</si>
  <si>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</si>
  <si>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</si>
  <si>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</si>
  <si>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</si>
  <si>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</si>
  <si>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</si>
  <si>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</si>
  <si>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</si>
  <si>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</si>
  <si>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</si>
  <si>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</si>
  <si>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</si>
  <si>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</si>
  <si>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</si>
  <si>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</si>
  <si>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</si>
  <si>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</si>
  <si>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</si>
  <si>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</si>
  <si>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</si>
  <si>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</si>
  <si>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</si>
  <si>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</si>
  <si>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</si>
  <si>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</si>
  <si>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</si>
  <si>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</si>
  <si>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</si>
  <si>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</si>
  <si>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</si>
  <si>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</si>
  <si>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</si>
  <si>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</si>
  <si>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</si>
  <si>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</si>
  <si>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</si>
  <si>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</si>
  <si>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</si>
  <si>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</si>
  <si>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</si>
  <si>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</si>
  <si>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</si>
  <si>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</si>
  <si>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</si>
  <si>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</si>
  <si>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</si>
  <si>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</si>
  <si>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</si>
  <si>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</si>
  <si>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</si>
  <si>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</si>
  <si>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</si>
  <si>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</si>
  <si>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</si>
  <si>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</si>
  <si>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</si>
  <si>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</si>
  <si>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</si>
  <si>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</si>
  <si>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</si>
  <si>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</si>
  <si>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</si>
  <si>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</si>
  <si>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</si>
  <si>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</si>
  <si>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</si>
  <si>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</si>
  <si>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</si>
  <si>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</si>
  <si>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</si>
  <si>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</si>
  <si>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</si>
  <si>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</si>
  <si>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</si>
  <si>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</si>
  <si>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</si>
  <si>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</si>
  <si>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</si>
  <si>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</si>
  <si>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</si>
  <si>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</si>
  <si>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</si>
  <si>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</si>
  <si>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</si>
  <si>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</si>
  <si>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</si>
  <si>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</si>
  <si>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</si>
  <si>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</si>
  <si>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</si>
  <si>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</si>
  <si>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</si>
  <si>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</si>
  <si>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</si>
  <si>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</si>
  <si>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</si>
  <si>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</si>
  <si>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</si>
  <si>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</si>
  <si>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</si>
  <si>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</si>
  <si>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</si>
  <si>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</si>
  <si>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</si>
  <si>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</si>
  <si>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</si>
  <si>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</si>
  <si>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</si>
  <si>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</si>
  <si>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</si>
  <si>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</si>
  <si>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</si>
  <si>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</si>
  <si>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</si>
  <si>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</si>
  <si>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</si>
  <si>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</si>
  <si>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</si>
  <si>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</si>
  <si>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</si>
  <si>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</si>
  <si>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</si>
  <si>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</si>
  <si>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</si>
  <si>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</si>
  <si>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</si>
  <si>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</si>
  <si>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</si>
  <si>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</si>
  <si>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</si>
  <si>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</si>
  <si>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</si>
  <si>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</si>
  <si>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</si>
  <si>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</si>
  <si>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</si>
  <si>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</si>
  <si>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</si>
  <si>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</si>
  <si>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</si>
  <si>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</si>
  <si>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</si>
  <si>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</si>
  <si>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</si>
  <si>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</si>
  <si>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</si>
  <si>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</si>
  <si>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</si>
  <si>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</si>
  <si>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</si>
  <si>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</si>
  <si>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</si>
  <si>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</si>
  <si>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</si>
  <si>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</si>
  <si>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</si>
  <si>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</si>
  <si>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</si>
  <si>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</si>
  <si>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</si>
  <si>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</si>
  <si>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</si>
  <si>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</si>
  <si>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</si>
  <si>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</si>
  <si>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</si>
  <si>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</si>
  <si>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</si>
  <si>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</si>
  <si>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</si>
  <si>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</si>
  <si>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</si>
  <si>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</si>
  <si>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</si>
  <si>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</si>
  <si>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</si>
  <si>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</si>
  <si>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</si>
  <si>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</si>
  <si>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</si>
  <si>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</si>
  <si>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</si>
  <si>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</si>
  <si>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</si>
  <si>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</si>
  <si>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</si>
  <si>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</si>
  <si>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</si>
  <si>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</si>
  <si>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</si>
  <si>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</si>
  <si>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</si>
  <si>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</si>
  <si>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</si>
  <si>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</si>
  <si>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</si>
  <si>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</si>
  <si>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</si>
  <si>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</si>
  <si>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</si>
  <si>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</si>
  <si>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</si>
  <si>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</si>
  <si>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</si>
  <si>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</si>
  <si>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</si>
  <si>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</si>
  <si>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</si>
  <si>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</si>
  <si>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</si>
  <si>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</si>
  <si>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</si>
  <si>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</si>
  <si>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</si>
  <si>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</si>
  <si>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</si>
  <si>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</si>
  <si>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</si>
  <si>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</si>
  <si>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</si>
  <si>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</si>
  <si>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</si>
  <si>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</si>
  <si>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</si>
  <si>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</si>
  <si>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</si>
  <si>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</si>
  <si>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</si>
  <si>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</si>
  <si>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</si>
  <si>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</si>
  <si>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</si>
  <si>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</si>
  <si>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</si>
  <si>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</si>
  <si>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</si>
  <si>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</si>
  <si>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</si>
  <si>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</si>
  <si>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</si>
  <si>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</si>
  <si>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</si>
  <si>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</si>
  <si>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</si>
  <si>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</si>
  <si>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</si>
  <si>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</si>
  <si>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</si>
  <si>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</si>
  <si>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</si>
  <si>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</si>
  <si>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</si>
  <si>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</si>
  <si>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</si>
  <si>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</si>
  <si>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</si>
  <si>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</si>
  <si>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</si>
  <si>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</si>
  <si>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</si>
  <si>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</si>
  <si>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</si>
  <si>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</si>
  <si>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</si>
  <si>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</si>
  <si>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</si>
  <si>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</si>
  <si>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</si>
  <si>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</si>
  <si>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</si>
  <si>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</si>
  <si>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</si>
  <si>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</si>
  <si>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</si>
  <si>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</si>
  <si>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</si>
  <si>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</si>
  <si>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</si>
  <si>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</si>
  <si>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</si>
  <si>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</si>
  <si>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</si>
  <si>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</si>
  <si>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</si>
  <si>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</si>
  <si>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</si>
  <si>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</si>
  <si>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</si>
  <si>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</si>
  <si>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</si>
  <si>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</si>
  <si>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</si>
  <si>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</si>
  <si>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</si>
  <si>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</si>
  <si>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</si>
  <si>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</si>
  <si>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</si>
  <si>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</si>
  <si>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</si>
  <si>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</si>
  <si>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</si>
  <si>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</si>
  <si>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</si>
  <si>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</si>
  <si>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</si>
  <si>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</si>
  <si>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</si>
  <si>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</si>
  <si>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</si>
  <si>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</si>
  <si>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</si>
  <si>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</si>
  <si>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</si>
  <si>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</si>
  <si>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</si>
  <si>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</si>
  <si>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</si>
  <si>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</si>
  <si>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</si>
  <si>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</si>
  <si>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</si>
  <si>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</si>
  <si>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</si>
  <si>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</si>
  <si>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</si>
  <si>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</si>
  <si>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</si>
  <si>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</si>
  <si>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</si>
  <si>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</si>
  <si>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</si>
  <si>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</si>
  <si>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</si>
  <si>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</si>
  <si>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</si>
  <si>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</si>
  <si>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</si>
  <si>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</si>
  <si>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</si>
  <si>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</si>
  <si>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</si>
  <si>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</si>
  <si>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</si>
  <si>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</si>
  <si>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</si>
  <si>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</si>
  <si>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</si>
  <si>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</si>
  <si>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</si>
  <si>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</si>
  <si>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</si>
  <si>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</si>
  <si>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</si>
  <si>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</si>
  <si>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</si>
  <si>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</si>
  <si>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</si>
  <si>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</si>
  <si>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</si>
  <si>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</si>
  <si>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</si>
  <si>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</si>
  <si>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</si>
  <si>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</si>
  <si>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</si>
  <si>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</si>
  <si>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</si>
  <si>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</si>
  <si>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</si>
  <si>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</si>
  <si>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</si>
  <si>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</si>
  <si>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</si>
  <si>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</si>
  <si>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</si>
  <si>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</si>
  <si>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</si>
  <si>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</si>
  <si>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</si>
  <si>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</si>
  <si>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</si>
  <si>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</si>
  <si>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</si>
  <si>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</si>
  <si>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</si>
  <si>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</si>
  <si>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</si>
  <si>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</si>
  <si>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</si>
  <si>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</si>
  <si>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</si>
  <si>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</si>
  <si>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</si>
  <si>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</si>
  <si>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</si>
  <si>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</si>
  <si>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</si>
  <si>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</si>
  <si>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</si>
  <si>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</si>
  <si>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</si>
  <si>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</si>
  <si>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</si>
  <si>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</si>
  <si>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</si>
  <si>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</si>
  <si>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</si>
  <si>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</si>
  <si>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</si>
  <si>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</si>
  <si>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</si>
  <si>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</si>
  <si>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</si>
  <si>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</si>
  <si>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</si>
  <si>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</si>
  <si>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</si>
  <si>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</si>
  <si>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</si>
  <si>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</si>
  <si>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</si>
  <si>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</si>
  <si>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</si>
  <si>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</si>
  <si>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</si>
  <si>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</si>
  <si>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</si>
  <si>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</si>
  <si>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</si>
  <si>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</si>
  <si>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</si>
  <si>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</si>
  <si>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</si>
  <si>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</si>
  <si>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</si>
  <si>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</si>
  <si>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</si>
  <si>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</si>
  <si>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</si>
  <si>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</si>
  <si>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</si>
  <si>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</si>
  <si>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</si>
  <si>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</si>
  <si>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</si>
  <si>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</si>
  <si>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</si>
  <si>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</si>
  <si>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</si>
  <si>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</si>
  <si>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</si>
  <si>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</si>
  <si>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</si>
  <si>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</si>
  <si>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</si>
  <si>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</si>
  <si>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</si>
  <si>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</si>
  <si>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</si>
  <si>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</si>
  <si>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</si>
  <si>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</si>
  <si>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</si>
  <si>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</si>
  <si>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</si>
  <si>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</si>
  <si>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</si>
  <si>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</si>
  <si>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</si>
  <si>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</si>
  <si>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</si>
  <si>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</si>
  <si>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</si>
  <si>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</si>
  <si>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</si>
  <si>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</si>
  <si>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</si>
  <si>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</si>
  <si>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</si>
  <si>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</si>
  <si>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</si>
  <si>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</si>
  <si>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</si>
  <si>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</si>
  <si>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</si>
  <si>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</si>
  <si>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</si>
  <si>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</si>
  <si>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</si>
  <si>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</si>
  <si>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</si>
  <si>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</si>
  <si>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</si>
  <si>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</si>
  <si>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</si>
  <si>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</si>
  <si>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</si>
  <si>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</si>
  <si>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</si>
  <si>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</si>
  <si>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</si>
  <si>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</si>
  <si>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</si>
  <si>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</si>
  <si>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</si>
  <si>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</si>
  <si>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</si>
  <si>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</si>
  <si>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</si>
  <si>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</si>
  <si>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</si>
  <si>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</si>
  <si>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</si>
  <si>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</si>
  <si>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</si>
  <si>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</si>
  <si>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</si>
  <si>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</si>
  <si>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</si>
  <si>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</si>
  <si>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</si>
  <si>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</si>
  <si>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</si>
  <si>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</si>
  <si>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</si>
  <si>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</si>
  <si>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</si>
  <si>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</si>
  <si>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</si>
  <si>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</si>
  <si>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</si>
  <si>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</si>
  <si>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</si>
  <si>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</si>
  <si>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</si>
  <si>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</si>
  <si>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</si>
  <si>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</si>
  <si>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</si>
  <si>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</si>
  <si>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</si>
  <si>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</si>
  <si>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</si>
  <si>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</si>
  <si>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</si>
  <si>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</si>
  <si>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</si>
  <si>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</si>
  <si>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</si>
  <si>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</si>
  <si>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</si>
  <si>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</si>
  <si>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</si>
  <si>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</si>
  <si>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</si>
  <si>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</si>
  <si>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</si>
  <si>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</si>
  <si>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</si>
  <si>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</si>
  <si>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</si>
  <si>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</si>
  <si>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</si>
  <si>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</si>
  <si>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</si>
  <si>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</si>
  <si>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</si>
  <si>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</si>
  <si>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</si>
  <si>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</si>
  <si>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</si>
  <si>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</si>
  <si>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</si>
  <si>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</si>
  <si>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</si>
  <si>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</si>
  <si>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</si>
  <si>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</si>
  <si>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</si>
  <si>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</si>
  <si>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</si>
  <si>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</si>
  <si>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</si>
  <si>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</si>
  <si>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</si>
  <si>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</si>
  <si>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</si>
  <si>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</si>
  <si>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</si>
  <si>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</si>
  <si>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</si>
  <si>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</si>
  <si>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</si>
  <si>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</si>
  <si>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</si>
  <si>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</si>
  <si>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</si>
  <si>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</si>
  <si>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</si>
  <si>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</si>
  <si>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</si>
  <si>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</si>
  <si>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</si>
  <si>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</si>
  <si>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</si>
  <si>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</si>
  <si>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</si>
  <si>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</si>
  <si>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</si>
  <si>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</si>
  <si>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</si>
  <si>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</si>
  <si>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</si>
  <si>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</si>
  <si>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</si>
  <si>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</si>
  <si>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</si>
  <si>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</si>
  <si>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</si>
  <si>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</si>
  <si>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</si>
  <si>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</si>
  <si>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</si>
  <si>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</si>
  <si>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</si>
  <si>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</si>
  <si>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</si>
  <si>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</si>
  <si>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</si>
  <si>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</si>
  <si>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</si>
  <si>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</si>
  <si>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</si>
  <si>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</si>
  <si>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</si>
  <si>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</si>
  <si>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</si>
  <si>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</si>
  <si>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</si>
  <si>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</si>
  <si>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</si>
  <si>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</si>
  <si>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</si>
  <si>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</si>
  <si>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</si>
  <si>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</si>
  <si>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</si>
  <si>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</si>
  <si>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</si>
  <si>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</si>
  <si>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</si>
  <si>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</si>
  <si>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</si>
  <si>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</si>
  <si>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</si>
  <si>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</si>
  <si>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</si>
  <si>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</si>
  <si>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</si>
  <si>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</si>
  <si>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</si>
  <si>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</si>
  <si>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</si>
  <si>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</si>
  <si>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</si>
  <si>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</si>
  <si>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</si>
  <si>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</si>
  <si>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</si>
  <si>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</si>
  <si>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</si>
  <si>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</si>
  <si>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</si>
  <si>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</si>
  <si>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</si>
  <si>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</si>
  <si>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</si>
  <si>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</si>
  <si>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</si>
  <si>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</si>
  <si>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</si>
  <si>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</si>
  <si>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</si>
  <si>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</si>
  <si>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</si>
  <si>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</si>
  <si>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</si>
  <si>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</si>
  <si>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</si>
  <si>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</si>
  <si>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</si>
  <si>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</si>
  <si>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</si>
  <si>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</si>
  <si>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</si>
  <si>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</si>
  <si>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</si>
  <si>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</si>
  <si>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</si>
  <si>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</si>
  <si>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</si>
  <si>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</si>
  <si>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</si>
  <si>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</si>
  <si>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</si>
  <si>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</si>
  <si>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</si>
  <si>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</si>
  <si>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</si>
  <si>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</si>
  <si>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</si>
  <si>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</si>
  <si>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</si>
  <si>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</si>
  <si>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</si>
  <si>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</si>
  <si>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</si>
  <si>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</si>
  <si>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</si>
  <si>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</si>
  <si>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</si>
  <si>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</si>
  <si>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</si>
  <si>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</si>
  <si>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</si>
  <si>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</si>
  <si>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</si>
  <si>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</si>
  <si>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</si>
  <si>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</si>
  <si>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</si>
  <si>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</si>
  <si>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</si>
  <si>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</si>
  <si>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</si>
  <si>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</si>
  <si>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</si>
  <si>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</si>
  <si>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</si>
  <si>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</si>
  <si>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</si>
  <si>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</si>
  <si>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</si>
  <si>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</si>
  <si>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</si>
  <si>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</si>
  <si>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</si>
  <si>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</si>
  <si>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</si>
  <si>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</si>
  <si>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</si>
  <si>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</si>
  <si>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</si>
  <si>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</si>
  <si>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</si>
  <si>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</si>
  <si>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</si>
  <si>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</si>
  <si>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</si>
  <si>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</si>
  <si>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</si>
  <si>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</si>
  <si>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</si>
  <si>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</si>
  <si>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</si>
  <si>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</si>
  <si>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</si>
  <si>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</si>
  <si>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</si>
  <si>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</si>
  <si>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</si>
  <si>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</si>
  <si>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</si>
  <si>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</si>
  <si>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</si>
  <si>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</si>
  <si>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</si>
  <si>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</si>
  <si>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</si>
  <si>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</si>
  <si>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</si>
  <si>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</si>
  <si>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</si>
  <si>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</si>
  <si>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</si>
  <si>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</si>
  <si>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</si>
  <si>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</si>
  <si>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</si>
  <si>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</si>
  <si>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</si>
  <si>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</si>
  <si>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</si>
  <si>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</si>
  <si>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</si>
  <si>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</si>
  <si>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</si>
  <si>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</si>
  <si>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</si>
  <si>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</si>
  <si>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</si>
  <si>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</si>
  <si>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</si>
  <si>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</si>
  <si>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</si>
  <si>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</si>
  <si>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</si>
  <si>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</si>
  <si>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</si>
  <si>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</si>
  <si>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</si>
  <si>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</si>
  <si>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</si>
  <si>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</si>
  <si>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</si>
  <si>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</si>
  <si>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</si>
  <si>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</si>
  <si>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</si>
  <si>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</si>
  <si>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</si>
  <si>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</si>
  <si>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</si>
  <si>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</si>
  <si>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</si>
  <si>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</si>
  <si>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</si>
  <si>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</si>
  <si>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</si>
  <si>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</si>
  <si>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</si>
  <si>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</si>
  <si>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</si>
  <si>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</si>
  <si>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</si>
  <si>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</si>
  <si>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</si>
  <si>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</si>
  <si>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</si>
  <si>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</si>
  <si>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</si>
  <si>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</si>
  <si>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</si>
  <si>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</si>
  <si>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</si>
  <si>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</si>
  <si>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</si>
  <si>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</si>
  <si>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</si>
  <si>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</si>
  <si>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</si>
  <si>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</si>
  <si>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</si>
  <si>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</si>
  <si>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</si>
  <si>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</si>
  <si>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</si>
  <si>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</si>
  <si>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</si>
  <si>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</si>
  <si>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</si>
  <si>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</si>
  <si>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</si>
  <si>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</si>
  <si>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</si>
  <si>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</si>
  <si>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</si>
  <si>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</si>
  <si>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</si>
  <si>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</si>
  <si>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</si>
  <si>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</si>
  <si>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</si>
  <si>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</si>
  <si>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</si>
  <si>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</si>
  <si>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</si>
  <si>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</si>
  <si>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</si>
  <si>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</si>
  <si>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</si>
  <si>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</si>
  <si>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</si>
  <si>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</si>
  <si>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</si>
  <si>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</si>
  <si>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</si>
  <si>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</si>
  <si>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</si>
  <si>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</si>
  <si>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</si>
  <si>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</si>
  <si>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</si>
  <si>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</si>
  <si>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</si>
  <si>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</si>
  <si>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</si>
  <si>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</si>
  <si>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</si>
  <si>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</si>
  <si>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</si>
  <si>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</si>
  <si>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</si>
  <si>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</si>
  <si>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</si>
  <si>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</si>
  <si>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</si>
  <si>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</si>
  <si>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</si>
  <si>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</si>
  <si>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</si>
  <si>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</si>
  <si>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</si>
  <si>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</si>
  <si>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</si>
  <si>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</si>
  <si>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</si>
  <si>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</si>
  <si>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</si>
  <si>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</si>
  <si>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</si>
  <si>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</si>
  <si>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</si>
  <si>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</si>
  <si>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</si>
  <si>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</si>
  <si>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</si>
  <si>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</si>
  <si>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</si>
  <si>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</si>
  <si>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</si>
  <si>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</si>
  <si>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</si>
  <si>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</si>
  <si>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</si>
  <si>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</si>
  <si>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</si>
  <si>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</si>
  <si>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</si>
  <si>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</si>
  <si>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</si>
  <si>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</si>
  <si>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</si>
  <si>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</si>
  <si>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</si>
  <si>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</si>
  <si>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</si>
  <si>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</si>
  <si>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</si>
  <si>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</si>
  <si>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</si>
  <si>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</si>
  <si>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</si>
  <si>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</si>
  <si>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</si>
  <si>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</si>
  <si>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</si>
  <si>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</si>
  <si>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</si>
  <si>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</si>
  <si>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</si>
  <si>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</si>
  <si>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</si>
  <si>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</si>
  <si>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</si>
  <si>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</si>
  <si>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</si>
  <si>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</si>
  <si>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</si>
  <si>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</si>
  <si>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</si>
  <si>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</si>
  <si>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</si>
  <si>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</si>
  <si>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</si>
  <si>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</si>
  <si>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</si>
  <si>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</si>
  <si>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</si>
  <si>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</si>
  <si>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</si>
  <si>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</si>
  <si>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</si>
  <si>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</si>
  <si>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</si>
  <si>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</si>
  <si>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</si>
  <si>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</si>
  <si>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</si>
  <si>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</si>
  <si>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</si>
  <si>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</si>
  <si>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</si>
  <si>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</si>
  <si>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</si>
  <si>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</si>
  <si>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</si>
  <si>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</si>
  <si>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</si>
  <si>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</si>
  <si>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</si>
  <si>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</si>
  <si>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</si>
  <si>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</si>
  <si>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</si>
  <si>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</si>
  <si>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</si>
  <si>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</si>
  <si>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</si>
  <si>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</si>
  <si>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</si>
  <si>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</si>
  <si>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</si>
  <si>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</si>
  <si>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</si>
  <si>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</si>
  <si>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</si>
  <si>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</si>
  <si>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</si>
  <si>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</si>
  <si>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</si>
  <si>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</si>
  <si>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</si>
  <si>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</si>
  <si>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</si>
  <si>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</si>
  <si>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</si>
  <si>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</si>
  <si>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</si>
  <si>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</si>
  <si>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</si>
  <si>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</si>
  <si>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</si>
  <si>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</si>
  <si>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</si>
  <si>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</si>
  <si>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</si>
  <si>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</si>
  <si>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</si>
  <si>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</si>
  <si>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</si>
  <si>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</si>
  <si>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</si>
  <si>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</si>
  <si>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</si>
  <si>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</si>
  <si>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</si>
  <si>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</si>
  <si>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</si>
  <si>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</si>
  <si>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</si>
  <si>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</si>
  <si>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</si>
  <si>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</si>
  <si>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</si>
  <si>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</si>
  <si>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</si>
  <si>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</si>
  <si>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</si>
  <si>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</si>
  <si>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</si>
  <si>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</si>
  <si>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</si>
  <si>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</si>
  <si>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</si>
  <si>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</si>
  <si>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</si>
  <si>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</si>
  <si>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</si>
  <si>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</si>
  <si>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</si>
  <si>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t>
  </si>
  <si>
    <t>Through Illinois State Board of Education</t>
  </si>
  <si>
    <t>Food Donations Program</t>
  </si>
  <si>
    <t>National School Lunch Program*</t>
  </si>
  <si>
    <t>18-4210-00</t>
  </si>
  <si>
    <t>School Breakfast Program*</t>
  </si>
  <si>
    <t>18-4220-00</t>
  </si>
  <si>
    <t>Subtotal CFDA "10"</t>
  </si>
  <si>
    <t>U.S. Department of Education Passed</t>
  </si>
  <si>
    <t>IDEA-Flow Through (M)</t>
  </si>
  <si>
    <t>IDEA-Preschool Flow Through (M)</t>
  </si>
  <si>
    <t>Subtotal - CFDA "84"</t>
  </si>
  <si>
    <t xml:space="preserve">U.S. Department of Health and Human </t>
  </si>
  <si>
    <t>Services Passed Through Illinois Department</t>
  </si>
  <si>
    <t>of Healthcare and Family Services</t>
  </si>
  <si>
    <t>Medicaid Administrative Outreach</t>
  </si>
  <si>
    <t>Total Federal Assistance</t>
  </si>
  <si>
    <t xml:space="preserve">*School Breakfast Program and National </t>
  </si>
  <si>
    <t>School Lunch Program have project end dates</t>
  </si>
  <si>
    <t>of 9/30</t>
  </si>
  <si>
    <t>19-4299-00</t>
  </si>
  <si>
    <t>19-4210-00</t>
  </si>
  <si>
    <t>19-4220-00</t>
  </si>
  <si>
    <t>19-4620-00</t>
  </si>
  <si>
    <t>19-4600-00</t>
  </si>
  <si>
    <t>19-4991-00</t>
  </si>
  <si>
    <t>x</t>
  </si>
  <si>
    <t>COOK</t>
  </si>
  <si>
    <t>799 W. KENSINGTON ROAD</t>
  </si>
  <si>
    <t>MOUNT PROSPECT</t>
  </si>
  <si>
    <t>JJILEK@NSSEO.ORG</t>
  </si>
  <si>
    <t>60056-1111</t>
  </si>
  <si>
    <t>X</t>
  </si>
  <si>
    <t>KEVIN SMITH</t>
  </si>
  <si>
    <t>ED - Other Support Services - Other</t>
  </si>
  <si>
    <t>10-2900-600</t>
  </si>
  <si>
    <t>Comcast</t>
  </si>
  <si>
    <t>ED - Special Education - Other</t>
  </si>
  <si>
    <t>Ed Hoffman, Inc.</t>
  </si>
  <si>
    <t xml:space="preserve">ED - Food Services - Supplies </t>
  </si>
  <si>
    <t>10-2560-400</t>
  </si>
  <si>
    <t>Fox River Foods</t>
  </si>
  <si>
    <t>ED - Executive Administration - Purchased Services</t>
  </si>
  <si>
    <t>10-2300-300</t>
  </si>
  <si>
    <t>Frontline Technologies</t>
  </si>
  <si>
    <t>ED - Support Services - Other</t>
  </si>
  <si>
    <t>10-2300-600</t>
  </si>
  <si>
    <t>TRANSPORTATION - Pupil Transportation- Purchased Services</t>
  </si>
  <si>
    <t>40-2550-300</t>
  </si>
  <si>
    <t>Grand Prairie Transit</t>
  </si>
  <si>
    <t>TRANSPORTATION - Support Services- Supplies &amp; Materials</t>
  </si>
  <si>
    <t>40-2550-400</t>
  </si>
  <si>
    <t>ED - Special Education - Purchased Services</t>
  </si>
  <si>
    <t>10-1000-300</t>
  </si>
  <si>
    <t>Maxim Healthcare Services Inc</t>
  </si>
  <si>
    <t>LEAF</t>
  </si>
  <si>
    <t>ED - Support Services - Purchased Services</t>
  </si>
  <si>
    <t>ED - Oper &amp; Maint Plant Services - Purchased Services</t>
  </si>
  <si>
    <t>10-2540-300</t>
  </si>
  <si>
    <t>10-2900-300</t>
  </si>
  <si>
    <t>ED - Support Services - Supplies and Materials</t>
  </si>
  <si>
    <t>10-2540-400</t>
  </si>
  <si>
    <t>Nextera Energy</t>
  </si>
  <si>
    <t>10-2100-400</t>
  </si>
  <si>
    <t>ED - Executive Administration - Supplies and Materials</t>
  </si>
  <si>
    <t>10-2300-400</t>
  </si>
  <si>
    <t>ED - Food Services - Supplies and Materials</t>
  </si>
  <si>
    <t>Performance Foodservice</t>
  </si>
  <si>
    <t>Richlee Vans</t>
  </si>
  <si>
    <t>ED - Instruction - Purchased Services</t>
  </si>
  <si>
    <t>Temp Control Inc</t>
  </si>
  <si>
    <t>10-2100-300</t>
  </si>
  <si>
    <t>TK Seal Coating</t>
  </si>
  <si>
    <t>Constellation Energy</t>
  </si>
  <si>
    <t>Eder, Casella &amp; Co.</t>
  </si>
  <si>
    <t>Tyler Technologies</t>
  </si>
  <si>
    <t>ED - Executive Administration- Other</t>
  </si>
  <si>
    <t>UCP Seguin/Infinitec</t>
  </si>
  <si>
    <t>Village of Arlington Heights</t>
  </si>
  <si>
    <t>Transportation - Pupil Transportation- Supplies &amp; Materials</t>
  </si>
  <si>
    <t>Transportation - Pupil Transportation - Purchased Services</t>
  </si>
  <si>
    <t>EBC - Educational Benefit Cooperative (Health Insurance)</t>
  </si>
  <si>
    <t>IEC - Illinois Energy Consortium (Natural Gas/Electric)</t>
  </si>
  <si>
    <t>NIIPC-Northern Illinois Independent Purchasing Cooperative</t>
  </si>
  <si>
    <t>CLIC - Collective Liability Insurance Cooperative</t>
  </si>
  <si>
    <t>Wheeling Township Treasury Intergovernmental Agreement</t>
  </si>
  <si>
    <t xml:space="preserve">State of IL Purchasing (Vehicles), NJPA (Nat'l Joint Power Alliance-Steelcase </t>
  </si>
  <si>
    <t>NJPA (National Joint Power Alliance-CDW)</t>
  </si>
  <si>
    <t>Page 15, Line 41 - Other Support Services - Pupils</t>
  </si>
  <si>
    <t>Page 16, Line 73 - Other Support Services</t>
  </si>
  <si>
    <t>Page 16, Line 83 - Other Payments to In-State Govt. Units</t>
  </si>
  <si>
    <t>Health, dental, iPay and other misc deposits</t>
  </si>
  <si>
    <t>DHS and STEP Deposits</t>
  </si>
  <si>
    <t>Administrator and clerical salaries and benefits, repairds, maintenance, trash removal, instructional materials and travel</t>
  </si>
  <si>
    <t>Administrator, clerical, and technology salaries and benefits, computer supplies, software subscriptions, and consultant fees</t>
  </si>
  <si>
    <t>Refunds to districts</t>
  </si>
  <si>
    <r>
      <t xml:space="preserve">Page 12, Line </t>
    </r>
    <r>
      <rPr>
        <sz val="9"/>
        <rFont val="Calibri"/>
        <family val="2"/>
        <scheme val="minor"/>
      </rPr>
      <t>168</t>
    </r>
    <r>
      <rPr>
        <sz val="9"/>
        <color theme="1"/>
        <rFont val="Calibri"/>
        <family val="2"/>
        <scheme val="minor"/>
      </rPr>
      <t xml:space="preserve"> - Other Restricted Revenue from State Sources</t>
    </r>
  </si>
  <si>
    <t>IDEA - Flow Through (See attached)</t>
  </si>
  <si>
    <t>IDEA - Preschool Flow Through (See attached)</t>
  </si>
  <si>
    <t>Unmodified</t>
  </si>
  <si>
    <t>IDEA - Flow Through</t>
  </si>
  <si>
    <t>IDEA - Preschool Flow Through</t>
  </si>
  <si>
    <t>N/A</t>
  </si>
  <si>
    <t>None</t>
  </si>
  <si>
    <t>Total Child Nutrition Cluster</t>
  </si>
  <si>
    <t>Total Special Education Cluster</t>
  </si>
  <si>
    <r>
      <t xml:space="preserve">The accompanying Schedule of Expenditures of Federal Awards includes the federal grant activity of </t>
    </r>
    <r>
      <rPr>
        <b/>
        <sz val="9"/>
        <rFont val="Calibri"/>
        <family val="2"/>
        <scheme val="minor"/>
      </rPr>
      <t>Northwest Suburban Special Education Organization</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</si>
  <si>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Northwest Suburban Special Education Organization</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</si>
  <si>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Northwest Suburban Special Education Organization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</si>
  <si>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Page 10, Line 107 - Other Local Revenues</t>
  </si>
  <si>
    <t>Eder Casella &amp; Co.</t>
  </si>
  <si>
    <t>NW Suburban Spec Educ 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</si>
</sst>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819">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Alignment="0"/>
    <xf numFmtId="181" fontId="162" fillId="0" borderId="0" applyFont="0" applyFill="0" applyBorder="0" applyAlignment="0" applyProtection="0"/>
    <xf numFmtId="182" fontId="162" fillId="0" borderId="0" applyFont="0" applyFill="0" applyBorder="0" applyAlignment="0" applyProtection="0"/>
    <xf numFmtId="43" fontId="13" fillId="0" borderId="0" applyAlignment="0"/>
    <xf numFmtId="0" fontId="5"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3" fontId="162" fillId="0" borderId="0" applyFont="0" applyFill="0" applyBorder="0" applyAlignment="0" applyProtection="0"/>
    <xf numFmtId="184" fontId="162" fillId="0" borderId="0" applyFont="0" applyFill="0" applyBorder="0" applyAlignment="0" applyProtection="0"/>
    <xf numFmtId="43" fontId="13" fillId="0" borderId="0" applyAlignment="0"/>
    <xf numFmtId="185" fontId="162" fillId="0" borderId="0" applyFont="0" applyFill="0" applyBorder="0" applyAlignment="0" applyProtection="0">
      <alignment horizontal="right"/>
    </xf>
    <xf numFmtId="186" fontId="162" fillId="0" borderId="0" applyFont="0" applyFill="0" applyBorder="0" applyAlignment="0" applyProtection="0"/>
    <xf numFmtId="187" fontId="162" fillId="0" borderId="0" applyFont="0" applyFill="0" applyBorder="0" applyAlignment="0" applyProtection="0">
      <alignment horizontal="right"/>
    </xf>
    <xf numFmtId="188" fontId="162" fillId="0" borderId="0" applyFont="0" applyFill="0" applyBorder="0" applyAlignment="0" applyProtection="0">
      <alignment horizontal="right"/>
    </xf>
    <xf numFmtId="189" fontId="162" fillId="0" borderId="0" applyFont="0" applyFill="0" applyBorder="0" applyAlignment="0" applyProtection="0">
      <alignment horizontal="right"/>
    </xf>
    <xf numFmtId="190" fontId="162" fillId="0" borderId="0" applyFont="0" applyFill="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0" borderId="0" applyNumberFormat="0" applyBorder="0" applyAlignment="0" applyProtection="0"/>
    <xf numFmtId="0" fontId="144" fillId="31"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44" fillId="30" borderId="0" applyNumberFormat="0" applyBorder="0" applyAlignment="0" applyProtection="0"/>
    <xf numFmtId="0" fontId="144" fillId="34"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7" borderId="0" applyNumberFormat="0" applyBorder="0" applyAlignment="0" applyProtection="0"/>
    <xf numFmtId="0" fontId="144" fillId="31" borderId="0" applyNumberFormat="0" applyBorder="0" applyAlignment="0" applyProtection="0"/>
    <xf numFmtId="0" fontId="156" fillId="31"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5"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44" fillId="30" borderId="0" applyNumberFormat="0" applyBorder="0" applyAlignment="0" applyProtection="0"/>
    <xf numFmtId="0" fontId="144" fillId="37" borderId="0" applyNumberFormat="0" applyBorder="0" applyAlignment="0" applyProtection="0"/>
    <xf numFmtId="0" fontId="156" fillId="37"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62" fillId="0" borderId="165" applyNumberFormat="0" applyFill="0" applyAlignment="0" applyProtection="0"/>
    <xf numFmtId="191" fontId="163" fillId="0" borderId="165" applyNumberFormat="0" applyFill="0" applyAlignment="0" applyProtection="0">
      <alignment horizontal="center"/>
    </xf>
    <xf numFmtId="191" fontId="163" fillId="0" borderId="78" applyFill="0" applyAlignment="0" applyProtection="0">
      <alignment horizontal="center"/>
    </xf>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64" fillId="0" borderId="0" applyProtection="0"/>
    <xf numFmtId="191" fontId="163"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4"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2" fillId="0" borderId="0" applyProtection="0"/>
    <xf numFmtId="192" fontId="162" fillId="0" borderId="0" applyFont="0" applyFill="0" applyBorder="0" applyAlignment="0" applyProtection="0"/>
    <xf numFmtId="191" fontId="163" fillId="0" borderId="167" applyNumberFormat="0" applyFill="0" applyAlignment="0" applyProtection="0"/>
    <xf numFmtId="0" fontId="162" fillId="0" borderId="167" applyNumberFormat="0" applyFill="0" applyAlignment="0" applyProtection="0"/>
    <xf numFmtId="0" fontId="155" fillId="41"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65" fillId="0" borderId="0" applyProtection="0"/>
    <xf numFmtId="0" fontId="14"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2" fillId="0" borderId="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43"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3" fontId="162" fillId="0" borderId="0" applyFont="0" applyFill="0" applyBorder="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63" fillId="0" borderId="0" applyNumberFormat="0" applyFill="0" applyAlignment="0" applyProtection="0"/>
    <xf numFmtId="0" fontId="13" fillId="0" borderId="0"/>
    <xf numFmtId="0" fontId="13" fillId="0" borderId="0"/>
    <xf numFmtId="0" fontId="13" fillId="0" borderId="0"/>
    <xf numFmtId="0" fontId="13" fillId="0" borderId="0"/>
    <xf numFmtId="0" fontId="5" fillId="0" borderId="0"/>
    <xf numFmtId="0" fontId="141" fillId="0" borderId="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194" fontId="163" fillId="0" borderId="0" applyFill="0" applyBorder="0" applyProtection="0">
      <alignment horizontal="right"/>
    </xf>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195"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3" applyNumberFormat="0" applyFont="0" applyFill="0" applyAlignment="0" applyProtection="0"/>
    <xf numFmtId="0" fontId="162" fillId="0" borderId="174" applyNumberFormat="0" applyFont="0" applyFill="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41" fillId="0" borderId="0"/>
    <xf numFmtId="0" fontId="13" fillId="0" borderId="0"/>
    <xf numFmtId="0" fontId="13" fillId="0" borderId="0"/>
    <xf numFmtId="0" fontId="13" fillId="0" borderId="0"/>
    <xf numFmtId="0" fontId="13" fillId="0" borderId="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xf numFmtId="0" fontId="13" fillId="0" borderId="0"/>
    <xf numFmtId="43" fontId="5"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4" fillId="0" borderId="0"/>
    <xf numFmtId="0" fontId="5" fillId="0" borderId="0"/>
    <xf numFmtId="43" fontId="5" fillId="0" borderId="0" applyFont="0" applyFill="0" applyBorder="0" applyAlignment="0" applyProtection="0"/>
    <xf numFmtId="0" fontId="5" fillId="0" borderId="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7" fillId="0" borderId="0" applyNumberFormat="0" applyFill="0" applyBorder="0" applyAlignment="0" applyProtection="0">
      <alignment vertical="top"/>
      <protection locked="0"/>
    </xf>
    <xf numFmtId="0" fontId="5"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82" fillId="0" borderId="0" applyAlignment="0"/>
    <xf numFmtId="43" fontId="182" fillId="0" borderId="0" applyFont="0" applyFill="0" applyBorder="0" applyAlignment="0" applyProtection="0"/>
    <xf numFmtId="43" fontId="3" fillId="0" borderId="0" applyFont="0" applyFill="0" applyBorder="0" applyAlignment="0" applyProtection="0"/>
    <xf numFmtId="43" fontId="182" fillId="0" borderId="0" applyFont="0" applyFill="0" applyBorder="0" applyAlignment="0" applyProtection="0"/>
    <xf numFmtId="3" fontId="182" fillId="0" borderId="0" applyFont="0" applyFill="0" applyBorder="0" applyAlignment="0" applyProtection="0"/>
    <xf numFmtId="44" fontId="182" fillId="0" borderId="0" applyFont="0" applyFill="0" applyBorder="0" applyAlignment="0" applyProtection="0"/>
    <xf numFmtId="5" fontId="182" fillId="0" borderId="0" applyFont="0" applyFill="0" applyBorder="0" applyAlignment="0" applyProtection="0"/>
    <xf numFmtId="0" fontId="183" fillId="0" borderId="0" applyNumberFormat="0" applyFill="0" applyBorder="0" applyAlignment="0" applyProtection="0">
      <alignment vertical="top"/>
      <protection locked="0"/>
    </xf>
    <xf numFmtId="0" fontId="182" fillId="0" borderId="0"/>
    <xf numFmtId="0" fontId="182" fillId="0" borderId="0"/>
    <xf numFmtId="0" fontId="3" fillId="0" borderId="0"/>
    <xf numFmtId="43" fontId="182" fillId="0" borderId="0" applyAlignment="0"/>
    <xf numFmtId="43" fontId="182" fillId="0" borderId="0" applyAlignment="0"/>
    <xf numFmtId="43" fontId="3"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2"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2" fillId="63" borderId="172" applyNumberFormat="0" applyAlignment="0" applyProtection="0"/>
    <xf numFmtId="0" fontId="155" fillId="0" borderId="178" applyNumberFormat="0" applyFill="0" applyAlignment="0" applyProtection="0"/>
    <xf numFmtId="43" fontId="3" fillId="0" borderId="0" applyFont="0" applyFill="0" applyBorder="0" applyAlignment="0" applyProtection="0"/>
    <xf numFmtId="0" fontId="3" fillId="0" borderId="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43" fontId="3" fillId="0" borderId="0" applyFont="0" applyFill="0" applyBorder="0" applyAlignment="0" applyProtection="0"/>
    <xf numFmtId="0" fontId="3" fillId="0" borderId="0"/>
    <xf numFmtId="0" fontId="3" fillId="0" borderId="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75"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Alignment="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2" fillId="0" borderId="0"/>
    <xf numFmtId="43" fontId="13" fillId="0" borderId="0" applyAlignment="0"/>
    <xf numFmtId="43" fontId="13" fillId="0" borderId="0" applyAlignment="0"/>
    <xf numFmtId="43"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4"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84" fillId="0" borderId="0" applyFont="0" applyFill="0" applyBorder="0" applyAlignment="0" applyProtection="0"/>
  </cellStyleXfs>
  <cellXfs count="257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6" borderId="3" xfId="0" applyNumberFormat="1" applyFont="1" applyFill="1" applyBorder="1" applyAlignment="1" applyProtection="1">
      <alignment horizontal="right"/>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33"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7" xfId="0" applyNumberFormat="1" applyFont="1" applyBorder="1" applyAlignment="1" applyProtection="1">
      <alignment horizontal="center" vertical="center"/>
    </xf>
    <xf numFmtId="38" fontId="58" fillId="3" borderId="127"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38" fontId="58" fillId="0" borderId="3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0"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7"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7"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5"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7" xfId="0" applyFont="1" applyFill="1" applyBorder="1" applyAlignment="1">
      <alignment horizontal="center" vertical="center"/>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5"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6" xfId="0" applyNumberFormat="1" applyFont="1" applyFill="1" applyBorder="1" applyAlignment="1">
      <alignment horizontal="center" vertical="center"/>
    </xf>
    <xf numFmtId="49" fontId="65" fillId="0" borderId="127"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7"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5"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3" xfId="3" applyNumberFormat="1" applyFont="1" applyBorder="1" applyAlignment="1">
      <alignment horizontal="center" vertical="center"/>
    </xf>
    <xf numFmtId="0" fontId="60" fillId="0" borderId="133"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3"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2" xfId="0" applyFont="1" applyBorder="1"/>
    <xf numFmtId="0" fontId="58" fillId="0" borderId="13" xfId="0" applyFont="1" applyBorder="1"/>
    <xf numFmtId="0" fontId="58" fillId="0" borderId="125" xfId="0" applyFont="1" applyBorder="1" applyAlignment="1">
      <alignment horizontal="left" vertical="top"/>
    </xf>
    <xf numFmtId="164" fontId="116" fillId="0" borderId="128" xfId="0" applyNumberFormat="1" applyFont="1" applyBorder="1" applyAlignment="1">
      <alignment horizontal="right" vertical="top"/>
    </xf>
    <xf numFmtId="0" fontId="58" fillId="0" borderId="128" xfId="0" applyNumberFormat="1" applyFont="1" applyBorder="1" applyAlignment="1">
      <alignment horizontal="left" vertical="center" wrapText="1" indent="1"/>
    </xf>
    <xf numFmtId="0" fontId="88" fillId="0" borderId="127" xfId="0" applyFont="1" applyBorder="1" applyAlignment="1">
      <alignment horizontal="left" vertical="center" wrapText="1"/>
    </xf>
    <xf numFmtId="0" fontId="58" fillId="0" borderId="128" xfId="0" applyFont="1" applyBorder="1" applyAlignment="1">
      <alignment horizontal="left" vertical="top"/>
    </xf>
    <xf numFmtId="0" fontId="58" fillId="0" borderId="0" xfId="0" applyFont="1" applyBorder="1" applyAlignment="1">
      <alignment vertical="top"/>
    </xf>
    <xf numFmtId="0" fontId="118" fillId="0" borderId="128" xfId="0" applyNumberFormat="1" applyFont="1" applyBorder="1" applyAlignment="1">
      <alignment horizontal="left" vertical="center"/>
    </xf>
    <xf numFmtId="0" fontId="116" fillId="0" borderId="128" xfId="0" applyFont="1" applyBorder="1" applyAlignment="1">
      <alignment vertical="top"/>
    </xf>
    <xf numFmtId="0" fontId="116" fillId="0" borderId="128" xfId="0" applyFont="1" applyBorder="1" applyAlignment="1">
      <alignment horizontal="left" vertical="top"/>
    </xf>
    <xf numFmtId="0" fontId="58" fillId="0" borderId="125" xfId="0" applyFont="1" applyBorder="1" applyAlignment="1"/>
    <xf numFmtId="164" fontId="116" fillId="0" borderId="128" xfId="0" applyNumberFormat="1" applyFont="1" applyBorder="1" applyAlignment="1"/>
    <xf numFmtId="0" fontId="58" fillId="0" borderId="128" xfId="0" applyFont="1" applyBorder="1" applyAlignment="1"/>
    <xf numFmtId="0" fontId="65" fillId="0" borderId="126"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4"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5" xfId="0" applyFont="1" applyFill="1" applyBorder="1" applyAlignment="1"/>
    <xf numFmtId="0" fontId="57" fillId="0" borderId="128" xfId="0" applyFont="1" applyFill="1" applyBorder="1" applyAlignment="1">
      <alignment horizontal="left" vertical="top"/>
    </xf>
    <xf numFmtId="0" fontId="57" fillId="0" borderId="126"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6"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3" xfId="3" quotePrefix="1" applyNumberFormat="1" applyFont="1" applyBorder="1" applyAlignment="1" applyProtection="1">
      <alignment horizontal="left"/>
    </xf>
    <xf numFmtId="0" fontId="65" fillId="0" borderId="144" xfId="3" applyNumberFormat="1" applyFont="1" applyBorder="1" applyAlignment="1" applyProtection="1">
      <alignment horizontal="center"/>
    </xf>
    <xf numFmtId="0" fontId="65" fillId="0" borderId="144" xfId="3" applyNumberFormat="1" applyFont="1" applyBorder="1" applyProtection="1"/>
    <xf numFmtId="0" fontId="58" fillId="0" borderId="143" xfId="3" applyNumberFormat="1" applyFont="1" applyBorder="1" applyAlignment="1" applyProtection="1"/>
    <xf numFmtId="0" fontId="65" fillId="0" borderId="145" xfId="3" applyNumberFormat="1" applyFont="1" applyBorder="1" applyAlignment="1" applyProtection="1">
      <alignment horizontal="centerContinuous"/>
    </xf>
    <xf numFmtId="0" fontId="58" fillId="0" borderId="143" xfId="3" applyNumberFormat="1" applyFont="1" applyBorder="1" applyAlignment="1" applyProtection="1">
      <alignment horizontal="left"/>
    </xf>
    <xf numFmtId="0" fontId="65" fillId="0" borderId="145" xfId="3" applyNumberFormat="1" applyFont="1" applyBorder="1" applyProtection="1"/>
    <xf numFmtId="0" fontId="65" fillId="0" borderId="144"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3"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7"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4"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8"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6" xfId="3" applyFont="1" applyBorder="1" applyProtection="1"/>
    <xf numFmtId="0" fontId="58" fillId="0" borderId="147" xfId="3" applyFont="1" applyBorder="1" applyProtection="1">
      <protection locked="0"/>
    </xf>
    <xf numFmtId="0" fontId="58" fillId="0" borderId="146"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5" xfId="3" applyNumberFormat="1" applyFont="1" applyBorder="1" applyAlignment="1" applyProtection="1">
      <alignment horizontal="center"/>
    </xf>
    <xf numFmtId="0" fontId="67" fillId="0" borderId="144" xfId="3" applyFont="1" applyBorder="1" applyAlignment="1" applyProtection="1">
      <alignment horizontal="centerContinuous"/>
    </xf>
    <xf numFmtId="0" fontId="67" fillId="0" borderId="145"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5"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4" xfId="3" applyFont="1" applyBorder="1" applyProtection="1"/>
    <xf numFmtId="0" fontId="60" fillId="0" borderId="144" xfId="3" applyFont="1" applyBorder="1" applyProtection="1"/>
    <xf numFmtId="0" fontId="60" fillId="0" borderId="144"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4" xfId="3" quotePrefix="1"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4" xfId="3" applyFont="1" applyBorder="1" applyProtection="1"/>
    <xf numFmtId="0" fontId="60" fillId="0" borderId="0" xfId="3" applyFont="1" applyBorder="1" applyAlignment="1" applyProtection="1">
      <alignment horizontal="left"/>
    </xf>
    <xf numFmtId="0" fontId="67" fillId="0" borderId="144"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4"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9"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1" xfId="3" applyFont="1" applyBorder="1" applyAlignment="1" applyProtection="1">
      <alignment horizontal="left"/>
    </xf>
    <xf numFmtId="0" fontId="60" fillId="0" borderId="151" xfId="3" applyFont="1" applyBorder="1" applyProtection="1"/>
    <xf numFmtId="0" fontId="60" fillId="0" borderId="151"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8"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9"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7" xfId="0" applyNumberFormat="1" applyFont="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7"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7" xfId="0" applyNumberFormat="1" applyFont="1" applyFill="1" applyBorder="1" applyAlignment="1" applyProtection="1">
      <alignment horizontal="right" vertical="center"/>
      <protection locked="0"/>
    </xf>
    <xf numFmtId="38" fontId="57" fillId="6" borderId="155" xfId="0" applyNumberFormat="1" applyFont="1" applyFill="1" applyBorder="1" applyAlignment="1">
      <alignment horizontal="center" vertical="center" wrapText="1"/>
    </xf>
    <xf numFmtId="38" fontId="57" fillId="6" borderId="155" xfId="0" applyNumberFormat="1" applyFont="1" applyFill="1" applyBorder="1" applyAlignment="1">
      <alignment horizontal="center" vertical="top" wrapText="1"/>
    </xf>
    <xf numFmtId="38" fontId="67" fillId="6" borderId="155"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0" xfId="17" applyFont="1" applyBorder="1" applyAlignment="1">
      <alignment horizontal="left" vertical="top"/>
    </xf>
    <xf numFmtId="0" fontId="129" fillId="0" borderId="141" xfId="17" applyFont="1" applyBorder="1" applyAlignment="1">
      <alignment horizontal="center" vertical="top"/>
    </xf>
    <xf numFmtId="0" fontId="129" fillId="0" borderId="142"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6" xfId="17" applyFont="1" applyFill="1" applyBorder="1" applyAlignment="1">
      <alignment horizontal="center" vertical="center" wrapText="1"/>
    </xf>
    <xf numFmtId="38" fontId="128" fillId="23" borderId="156" xfId="17" applyNumberFormat="1" applyFont="1" applyFill="1" applyBorder="1" applyAlignment="1">
      <alignment horizontal="center" vertical="center" wrapText="1"/>
    </xf>
    <xf numFmtId="3" fontId="58" fillId="23" borderId="131" xfId="0" applyNumberFormat="1" applyFont="1" applyFill="1" applyBorder="1" applyAlignment="1">
      <alignment horizontal="center"/>
    </xf>
    <xf numFmtId="3" fontId="58" fillId="23" borderId="131" xfId="0" applyNumberFormat="1" applyFont="1" applyFill="1" applyBorder="1" applyAlignment="1">
      <alignment horizontal="right"/>
    </xf>
    <xf numFmtId="3" fontId="58" fillId="23" borderId="132"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5"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7"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5" xfId="0" applyNumberFormat="1" applyFont="1" applyFill="1" applyBorder="1" applyAlignment="1">
      <alignment horizontal="left" vertical="center" wrapText="1"/>
    </xf>
    <xf numFmtId="49" fontId="67" fillId="17" borderId="127"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5"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7" xfId="0" applyFont="1" applyFill="1" applyBorder="1" applyAlignment="1">
      <alignment horizontal="left" vertical="center" wrapText="1"/>
    </xf>
    <xf numFmtId="3" fontId="67" fillId="17" borderId="127"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9" xfId="0" applyFont="1" applyBorder="1" applyAlignment="1">
      <alignment horizontal="centerContinuous" vertical="center"/>
    </xf>
    <xf numFmtId="0" fontId="58" fillId="0" borderId="160" xfId="0" applyFont="1" applyBorder="1" applyAlignment="1">
      <alignment horizontal="centerContinuous" vertical="center"/>
    </xf>
    <xf numFmtId="0" fontId="60" fillId="0" borderId="160"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7" xfId="17" applyFont="1" applyFill="1" applyBorder="1" applyAlignment="1" applyProtection="1">
      <alignment horizontal="left" vertical="top" wrapText="1"/>
    </xf>
    <xf numFmtId="49" fontId="130" fillId="20" borderId="157" xfId="17" applyNumberFormat="1" applyFont="1" applyFill="1" applyBorder="1" applyAlignment="1" applyProtection="1">
      <alignment horizontal="center" vertical="top"/>
    </xf>
    <xf numFmtId="0" fontId="130" fillId="20" borderId="157" xfId="17" applyFont="1" applyFill="1" applyBorder="1" applyAlignment="1" applyProtection="1">
      <alignment vertical="top"/>
    </xf>
    <xf numFmtId="38" fontId="130" fillId="20" borderId="157" xfId="17" applyNumberFormat="1" applyFont="1" applyFill="1" applyBorder="1" applyAlignment="1" applyProtection="1">
      <alignment horizontal="right" vertical="top"/>
    </xf>
    <xf numFmtId="38" fontId="130"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9" fillId="0" borderId="157" xfId="17" applyFont="1" applyBorder="1" applyAlignment="1" applyProtection="1">
      <alignment horizontal="left" vertical="top" wrapText="1"/>
      <protection locked="0"/>
    </xf>
    <xf numFmtId="0" fontId="9" fillId="0" borderId="157"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7"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7"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8" fillId="16" borderId="126" xfId="0" applyFont="1" applyFill="1" applyBorder="1"/>
    <xf numFmtId="37" fontId="58" fillId="16" borderId="126" xfId="0" applyNumberFormat="1" applyFont="1" applyFill="1" applyBorder="1"/>
    <xf numFmtId="37" fontId="58" fillId="16" borderId="128"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7"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1"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7"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2"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4"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9" xfId="18" applyFont="1" applyBorder="1" applyAlignment="1">
      <alignment horizontal="left" vertical="center" wrapText="1"/>
    </xf>
    <xf numFmtId="0" fontId="107" fillId="0" borderId="160"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2"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0" xfId="18" applyFont="1" applyBorder="1" applyAlignment="1">
      <alignment vertical="top"/>
    </xf>
    <xf numFmtId="0" fontId="51" fillId="0" borderId="141" xfId="18" applyFont="1" applyBorder="1" applyAlignment="1">
      <alignment vertical="top"/>
    </xf>
    <xf numFmtId="0" fontId="52" fillId="15" borderId="76" xfId="18" applyFont="1" applyFill="1" applyBorder="1" applyAlignment="1">
      <alignment vertical="top"/>
    </xf>
    <xf numFmtId="0" fontId="51" fillId="0" borderId="140" xfId="18" applyFont="1" applyBorder="1" applyAlignment="1">
      <alignment vertical="top" wrapText="1"/>
    </xf>
    <xf numFmtId="0" fontId="51" fillId="0" borderId="141"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8" xfId="18" applyFont="1" applyFill="1" applyBorder="1" applyAlignment="1">
      <alignment horizontal="center" vertical="center" wrapText="1"/>
    </xf>
    <xf numFmtId="0" fontId="107" fillId="23" borderId="163" xfId="18" applyFont="1" applyFill="1" applyBorder="1" applyAlignment="1">
      <alignment horizontal="center" vertical="center" wrapText="1"/>
    </xf>
    <xf numFmtId="0" fontId="107" fillId="17" borderId="139"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9"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7"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7"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0" fontId="60" fillId="0" borderId="77" xfId="3" applyNumberFormat="1" applyFont="1" applyBorder="1" applyAlignment="1" applyProtection="1">
      <alignment horizontal="center"/>
      <protection locked="0"/>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124" xfId="0" applyNumberFormat="1" applyFont="1" applyFill="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6" applyNumberFormat="1" applyFont="1" applyBorder="1" applyProtection="1">
      <protection locked="0"/>
    </xf>
    <xf numFmtId="3" fontId="65"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0" fontId="1" fillId="0" borderId="157" xfId="3774" applyBorder="1" applyAlignment="1" applyProtection="1">
      <alignment horizontal="left" vertical="top" wrapText="1"/>
      <protection locked="0"/>
    </xf>
    <xf numFmtId="49" fontId="1" fillId="0" borderId="157" xfId="3774" applyNumberFormat="1" applyBorder="1" applyAlignment="1" applyProtection="1">
      <alignment horizontal="center" vertical="top"/>
      <protection locked="0"/>
    </xf>
    <xf numFmtId="0" fontId="1" fillId="0" borderId="157" xfId="3774" applyBorder="1" applyAlignment="1" applyProtection="1">
      <alignment vertical="top"/>
      <protection locked="0"/>
    </xf>
    <xf numFmtId="49" fontId="1" fillId="0" borderId="157" xfId="3774" applyNumberFormat="1" applyBorder="1" applyAlignment="1" applyProtection="1">
      <alignment horizontal="center" vertical="center"/>
      <protection locked="0"/>
    </xf>
    <xf numFmtId="49" fontId="136" fillId="0" borderId="105" xfId="3775" applyNumberFormat="1" applyFont="1" applyBorder="1" applyAlignment="1" applyProtection="1">
      <alignment horizontal="center" vertical="center"/>
      <protection locked="0"/>
    </xf>
    <xf numFmtId="0" fontId="103" fillId="0" borderId="105" xfId="3775" applyFont="1" applyBorder="1" applyProtection="1">
      <protection locked="0"/>
    </xf>
    <xf numFmtId="0" fontId="103" fillId="0" borderId="105" xfId="3775" applyFont="1" applyBorder="1" applyAlignment="1" applyProtection="1">
      <alignment wrapText="1"/>
      <protection locked="0"/>
    </xf>
    <xf numFmtId="0" fontId="52" fillId="0" borderId="0" xfId="3773" applyFont="1"/>
    <xf numFmtId="0" fontId="58" fillId="0" borderId="0" xfId="3773" applyFont="1"/>
    <xf numFmtId="0" fontId="58" fillId="0" borderId="147" xfId="3" applyFont="1" applyBorder="1" applyProtection="1">
      <protection locked="0"/>
    </xf>
    <xf numFmtId="0" fontId="58" fillId="0" borderId="146" xfId="3" applyFont="1" applyBorder="1" applyAlignment="1" applyProtection="1">
      <alignment horizontal="center"/>
      <protection locked="0"/>
    </xf>
    <xf numFmtId="169" fontId="65" fillId="0" borderId="77" xfId="3" applyNumberFormat="1" applyFont="1" applyBorder="1" applyAlignment="1" applyProtection="1">
      <alignment horizontal="center"/>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7" fillId="0" borderId="134"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6"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6"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1"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6"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7" xfId="0" applyFont="1" applyBorder="1" applyAlignment="1" applyProtection="1">
      <alignment horizontal="left" vertical="center" wrapText="1" indent="1"/>
    </xf>
    <xf numFmtId="0" fontId="65" fillId="0" borderId="148"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7"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3" borderId="147" xfId="0" applyFont="1" applyFill="1" applyBorder="1" applyAlignment="1" applyProtection="1">
      <alignment horizontal="left" vertical="center"/>
    </xf>
    <xf numFmtId="0" fontId="67" fillId="3" borderId="148"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68" fillId="23" borderId="148"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142"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1" xfId="18" applyFont="1" applyBorder="1" applyAlignment="1" applyProtection="1">
      <alignment horizontal="center" vertical="top" wrapText="1"/>
      <protection locked="0"/>
    </xf>
    <xf numFmtId="0" fontId="52" fillId="0" borderId="142"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7"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3" xfId="3" applyFont="1" applyBorder="1" applyAlignment="1">
      <alignment horizontal="center" vertical="center" wrapText="1"/>
    </xf>
    <xf numFmtId="0" fontId="76" fillId="0" borderId="133" xfId="3" applyNumberFormat="1" applyFont="1" applyBorder="1" applyAlignment="1">
      <alignment horizontal="center"/>
    </xf>
    <xf numFmtId="0" fontId="60" fillId="0" borderId="134" xfId="3" applyNumberFormat="1" applyFont="1" applyBorder="1" applyAlignment="1" applyProtection="1">
      <alignment horizontal="center"/>
      <protection locked="0"/>
    </xf>
    <xf numFmtId="171" fontId="60" fillId="0" borderId="134" xfId="3" applyNumberFormat="1" applyFont="1" applyBorder="1" applyAlignment="1" applyProtection="1">
      <alignment horizontal="center"/>
      <protection locked="0"/>
    </xf>
    <xf numFmtId="0" fontId="60" fillId="0" borderId="134"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5" xfId="0" applyFont="1" applyFill="1" applyBorder="1" applyAlignment="1">
      <alignment horizontal="center" vertical="center"/>
    </xf>
    <xf numFmtId="0" fontId="115" fillId="12" borderId="128" xfId="0" applyFont="1" applyFill="1" applyBorder="1" applyAlignment="1">
      <alignment horizontal="center" vertical="center"/>
    </xf>
    <xf numFmtId="0" fontId="115" fillId="12" borderId="153"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5" xfId="0" applyNumberFormat="1" applyFont="1" applyFill="1" applyBorder="1" applyAlignment="1">
      <alignment horizontal="center" vertical="top"/>
    </xf>
    <xf numFmtId="164" fontId="116" fillId="12" borderId="128" xfId="0" applyNumberFormat="1" applyFont="1" applyFill="1" applyBorder="1" applyAlignment="1">
      <alignment horizontal="center" vertical="top"/>
    </xf>
    <xf numFmtId="164" fontId="116" fillId="12" borderId="153"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8" xfId="0" applyNumberFormat="1" applyFont="1" applyBorder="1" applyAlignment="1">
      <alignment horizontal="left" vertical="center" wrapText="1"/>
    </xf>
    <xf numFmtId="0" fontId="60" fillId="0" borderId="126"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6" xfId="3" applyNumberFormat="1" applyFont="1" applyBorder="1" applyProtection="1"/>
    <xf numFmtId="0" fontId="58" fillId="0" borderId="147"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7" xfId="3" applyNumberFormat="1"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0" fillId="0" borderId="0" xfId="3" applyFont="1" applyAlignment="1">
      <alignment horizontal="center" vertical="center"/>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9" xfId="3" applyNumberFormat="1" applyFont="1" applyBorder="1" applyAlignment="1" applyProtection="1">
      <protection locked="0"/>
    </xf>
    <xf numFmtId="0" fontId="68" fillId="0" borderId="150" xfId="3" applyFont="1" applyBorder="1" applyAlignment="1" applyProtection="1">
      <protection locked="0"/>
    </xf>
    <xf numFmtId="0" fontId="65" fillId="0" borderId="0" xfId="3" applyFont="1" applyBorder="1" applyAlignment="1" applyProtection="1">
      <alignment horizontal="left" vertical="top" wrapText="1"/>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9" xfId="3" applyFont="1" applyBorder="1" applyAlignment="1" applyProtection="1">
      <alignment horizontal="center"/>
    </xf>
    <xf numFmtId="0" fontId="65" fillId="0" borderId="76" xfId="3" applyFont="1" applyBorder="1" applyAlignment="1" applyProtection="1">
      <alignment horizontal="center"/>
    </xf>
    <xf numFmtId="0" fontId="65" fillId="0" borderId="150" xfId="3" applyFont="1" applyBorder="1" applyAlignment="1" applyProtection="1">
      <alignment horizontal="center"/>
    </xf>
    <xf numFmtId="38" fontId="65" fillId="0" borderId="149"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0" xfId="3" applyFont="1" applyBorder="1" applyAlignment="1" applyProtection="1">
      <alignment horizontal="left" vertical="center"/>
      <protection locked="0"/>
    </xf>
    <xf numFmtId="0" fontId="67" fillId="0" borderId="149"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0"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9" xfId="3" applyNumberFormat="1" applyFont="1" applyBorder="1" applyProtection="1">
      <protection locked="0"/>
    </xf>
    <xf numFmtId="6" fontId="65" fillId="0" borderId="150"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4"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3819">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38 2 2" xfId="3640" xr:uid="{2E15A32D-A282-4638-8318-60B948E2C8B6}"/>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2 2 2" xfId="3641" xr:uid="{AD6EFA8E-88B6-41FE-B78A-5A274858D472}"/>
    <cellStyle name="12 9 3" xfId="284" xr:uid="{00000000-0005-0000-0000-000029000000}"/>
    <cellStyle name="12 9 4" xfId="2963" xr:uid="{00000000-0005-0000-0000-00002C000000}"/>
    <cellStyle name="12 9 4 2" xfId="3629" xr:uid="{5DCDD6AD-8616-4CC7-80AE-274D6D626735}"/>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 4 3 2" xfId="3630" xr:uid="{BDB218DD-9518-4A86-839C-195003697BF3}"/>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10 2" xfId="3589" xr:uid="{D65C9601-7D0E-436C-A06C-8B2CD5393CD3}"/>
    <cellStyle name="Comma 3 11" xfId="3741" xr:uid="{54334D21-342A-4CA3-B29E-2629FEA03374}"/>
    <cellStyle name="Comma 3 12" xfId="3499" xr:uid="{D33F519C-C6A5-44F9-9E05-7FE3A1D0D965}"/>
    <cellStyle name="Comma 3 13" xfId="3786" xr:uid="{D02CDD36-FAC8-4866-BF99-3EC4EBA9059A}"/>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3 3 2" xfId="3632" xr:uid="{383C2FDB-CDCE-4719-A414-82BB4C2AB36E}"/>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2 2 2" xfId="3664" xr:uid="{F48FD8CB-4161-47EA-B731-1F51370986D6}"/>
    <cellStyle name="Comma 3 4 2 2 3" xfId="3563" xr:uid="{CD7D7DE9-6907-4D64-9EAD-71226CC0F5D3}"/>
    <cellStyle name="Comma 3 4 2 3" xfId="3442" xr:uid="{00000000-0005-0000-0000-0000A9060000}"/>
    <cellStyle name="Comma 3 4 2 3 2" xfId="3704" xr:uid="{3451BB7D-4D25-414F-AADB-42C3011974CF}"/>
    <cellStyle name="Comma 3 4 2 4" xfId="2942" xr:uid="{00000000-0005-0000-0000-0000A7060000}"/>
    <cellStyle name="Comma 3 4 2 4 2" xfId="3608" xr:uid="{9F05CABD-36F2-4C86-A144-83D566CCFE23}"/>
    <cellStyle name="Comma 3 4 2 5" xfId="3760" xr:uid="{FABBE0AF-62AE-4A46-A967-709F270143D5}"/>
    <cellStyle name="Comma 3 4 2 6" xfId="3518" xr:uid="{F302B0D8-A3C9-45DB-949F-93D850B12075}"/>
    <cellStyle name="Comma 3 4 2 7" xfId="3805" xr:uid="{45548A9A-412E-4658-87B4-977AE04F4732}"/>
    <cellStyle name="Comma 3 4 3" xfId="2880" xr:uid="{00000000-0005-0000-0000-000065060000}"/>
    <cellStyle name="Comma 3 4 3 2" xfId="2976" xr:uid="{00000000-0005-0000-0000-0000AA060000}"/>
    <cellStyle name="Comma 3 4 3 2 2" xfId="3642" xr:uid="{DA5F4D22-07E7-4FE4-9689-85D99C57840C}"/>
    <cellStyle name="Comma 3 4 3 3" xfId="3546" xr:uid="{DC8E1EE8-9B6F-45EC-A765-48515E69A6D9}"/>
    <cellStyle name="Comma 3 4 4" xfId="3418" xr:uid="{00000000-0005-0000-0000-0000AB060000}"/>
    <cellStyle name="Comma 3 4 4 2" xfId="3687" xr:uid="{41BD089F-2172-41FC-A943-F4B9185E7D1A}"/>
    <cellStyle name="Comma 3 4 5" xfId="2925" xr:uid="{00000000-0005-0000-0000-0000A6060000}"/>
    <cellStyle name="Comma 3 4 5 2" xfId="3591" xr:uid="{3F79B818-767B-4F7C-BFC3-B4F1645FA87C}"/>
    <cellStyle name="Comma 3 4 6" xfId="3743" xr:uid="{65DF338B-458A-4C33-970B-9F4DA8D1C415}"/>
    <cellStyle name="Comma 3 4 7" xfId="3501" xr:uid="{803653A1-6053-4751-BD5B-BA08DAD1166D}"/>
    <cellStyle name="Comma 3 4 8" xfId="3788" xr:uid="{6CC9D1C2-EA1D-4498-BA0B-6F43BB09BA4D}"/>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2 2 2" xfId="3668" xr:uid="{67E23297-D8A2-4DE2-ADEC-D7C41082E640}"/>
    <cellStyle name="Comma 3 5 2 2 3" xfId="3567" xr:uid="{2D3CB38B-7D5D-41E3-A2B1-01164C9CE20B}"/>
    <cellStyle name="Comma 3 5 2 3" xfId="3446" xr:uid="{00000000-0005-0000-0000-0000AF060000}"/>
    <cellStyle name="Comma 3 5 2 3 2" xfId="3708" xr:uid="{DECC1F90-7445-4785-86B0-696E3DBB325E}"/>
    <cellStyle name="Comma 3 5 2 4" xfId="2946" xr:uid="{00000000-0005-0000-0000-0000AD060000}"/>
    <cellStyle name="Comma 3 5 2 4 2" xfId="3612" xr:uid="{3693E39F-070B-444A-8D78-7B8BC496B7E7}"/>
    <cellStyle name="Comma 3 5 2 5" xfId="3764" xr:uid="{99F78C06-648D-43B5-8251-9C4D7FFB1402}"/>
    <cellStyle name="Comma 3 5 2 6" xfId="3522" xr:uid="{60BBE6A2-3C14-49D1-88CE-F63482AFADA9}"/>
    <cellStyle name="Comma 3 5 2 7" xfId="3809" xr:uid="{E3EB1773-EB20-4D6B-AA9F-C9557B2A44E5}"/>
    <cellStyle name="Comma 3 5 3" xfId="2884" xr:uid="{00000000-0005-0000-0000-000067060000}"/>
    <cellStyle name="Comma 3 5 3 2" xfId="2985" xr:uid="{00000000-0005-0000-0000-0000B0060000}"/>
    <cellStyle name="Comma 3 5 3 2 2" xfId="3651" xr:uid="{67192114-73B4-48FD-A413-C0F97AC673A9}"/>
    <cellStyle name="Comma 3 5 3 3" xfId="3550" xr:uid="{A3BBE1C5-5B8A-4399-BA4A-DB40BE600310}"/>
    <cellStyle name="Comma 3 5 4" xfId="3428" xr:uid="{00000000-0005-0000-0000-0000B1060000}"/>
    <cellStyle name="Comma 3 5 4 2" xfId="3691" xr:uid="{7905A35C-7C67-4FC3-B11A-BCA488B40BA7}"/>
    <cellStyle name="Comma 3 5 5" xfId="2929" xr:uid="{00000000-0005-0000-0000-0000AC060000}"/>
    <cellStyle name="Comma 3 5 5 2" xfId="3595" xr:uid="{303A0F6E-76A5-491D-9F62-06092B2A22D5}"/>
    <cellStyle name="Comma 3 5 6" xfId="3747" xr:uid="{D913ED38-2B42-4018-BD59-C23DE1027E8C}"/>
    <cellStyle name="Comma 3 5 7" xfId="3505" xr:uid="{9EE6EA29-04B7-414A-906B-33D45D68346B}"/>
    <cellStyle name="Comma 3 5 8" xfId="3792" xr:uid="{98E258FE-3376-4CD3-B9C8-FDAF3D483911}"/>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2 2 2" xfId="3672" xr:uid="{77FFA292-C9B7-4E95-9D26-5DBD43951D18}"/>
    <cellStyle name="Comma 3 6 2 2 3" xfId="3571" xr:uid="{B61E6952-9F81-43E2-872A-BEEC9FBA7CBE}"/>
    <cellStyle name="Comma 3 6 2 3" xfId="3450" xr:uid="{00000000-0005-0000-0000-0000B5060000}"/>
    <cellStyle name="Comma 3 6 2 3 2" xfId="3712" xr:uid="{5362AC9D-A1AD-49CC-B8DB-583787B24A54}"/>
    <cellStyle name="Comma 3 6 2 4" xfId="2950" xr:uid="{00000000-0005-0000-0000-0000B3060000}"/>
    <cellStyle name="Comma 3 6 2 4 2" xfId="3616" xr:uid="{3085F5B9-54EF-41D2-9E08-83C9546F02FD}"/>
    <cellStyle name="Comma 3 6 2 5" xfId="3768" xr:uid="{FDE1783B-B954-4E88-90AA-D29BE35693B2}"/>
    <cellStyle name="Comma 3 6 2 6" xfId="3526" xr:uid="{E0547C82-0162-4CAA-8AB6-F6B194072C9F}"/>
    <cellStyle name="Comma 3 6 2 7" xfId="3813" xr:uid="{EB20B2AB-2A99-4A42-BA1F-8CBD08B4ADC3}"/>
    <cellStyle name="Comma 3 6 3" xfId="2888" xr:uid="{00000000-0005-0000-0000-000069060000}"/>
    <cellStyle name="Comma 3 6 3 2" xfId="2989" xr:uid="{00000000-0005-0000-0000-0000B6060000}"/>
    <cellStyle name="Comma 3 6 3 2 2" xfId="3655" xr:uid="{33497B87-3AC9-4698-8F10-779AE46ABA3C}"/>
    <cellStyle name="Comma 3 6 3 3" xfId="3554" xr:uid="{D96BCE5C-499D-43EB-96F6-CA73AF299C37}"/>
    <cellStyle name="Comma 3 6 4" xfId="3432" xr:uid="{00000000-0005-0000-0000-0000B7060000}"/>
    <cellStyle name="Comma 3 6 4 2" xfId="3695" xr:uid="{1F2398AC-F2FC-4366-AF7F-BE438A31B47F}"/>
    <cellStyle name="Comma 3 6 5" xfId="2933" xr:uid="{00000000-0005-0000-0000-0000B2060000}"/>
    <cellStyle name="Comma 3 6 5 2" xfId="3599" xr:uid="{A99898FF-6FFB-4C76-90B9-393C2109CDB1}"/>
    <cellStyle name="Comma 3 6 6" xfId="3751" xr:uid="{6D582E37-E41D-44CA-9431-00A8F6A76A33}"/>
    <cellStyle name="Comma 3 6 7" xfId="3509" xr:uid="{E25B134C-0C8C-47D7-A1D1-6360399847EE}"/>
    <cellStyle name="Comma 3 6 8" xfId="3796" xr:uid="{53F5C059-D5CB-474A-9713-14C3B553A86B}"/>
    <cellStyle name="Comma 3 7" xfId="2848" xr:uid="{00000000-0005-0000-0000-00006B060000}"/>
    <cellStyle name="Comma 3 7 2" xfId="2895" xr:uid="{00000000-0005-0000-0000-00006B060000}"/>
    <cellStyle name="Comma 3 7 2 2" xfId="2996" xr:uid="{00000000-0005-0000-0000-0000B9060000}"/>
    <cellStyle name="Comma 3 7 2 2 2" xfId="3662" xr:uid="{89C5E73E-694D-4EBF-8DBE-552D305EACA9}"/>
    <cellStyle name="Comma 3 7 2 3" xfId="3561" xr:uid="{821E564F-7DFE-4B38-90BE-7F121F14A058}"/>
    <cellStyle name="Comma 3 7 3" xfId="3440" xr:uid="{00000000-0005-0000-0000-0000BA060000}"/>
    <cellStyle name="Comma 3 7 3 2" xfId="3702" xr:uid="{747AA5C5-266C-4FA0-BCF1-AD889584C8C2}"/>
    <cellStyle name="Comma 3 7 4" xfId="2940" xr:uid="{00000000-0005-0000-0000-0000B8060000}"/>
    <cellStyle name="Comma 3 7 4 2" xfId="3606" xr:uid="{2B1B684C-AF21-4D15-AD33-AEA7C117A710}"/>
    <cellStyle name="Comma 3 7 5" xfId="3758" xr:uid="{EDD8B1CF-C187-4031-94E0-7C3119A7649B}"/>
    <cellStyle name="Comma 3 7 6" xfId="3516" xr:uid="{BD057BF7-B2E5-429A-A9F7-3652CFE2A04D}"/>
    <cellStyle name="Comma 3 7 7" xfId="3803" xr:uid="{9FD2517E-FEF5-4650-9E64-AEEC30D15FD0}"/>
    <cellStyle name="Comma 3 8" xfId="2878" xr:uid="{00000000-0005-0000-0000-000061060000}"/>
    <cellStyle name="Comma 3 8 2" xfId="2965" xr:uid="{00000000-0005-0000-0000-0000BB060000}"/>
    <cellStyle name="Comma 3 8 2 2" xfId="3631" xr:uid="{C5E8B43B-ED5A-480E-BA98-9AF66955AF3C}"/>
    <cellStyle name="Comma 3 8 3" xfId="3544" xr:uid="{CC2F15B6-AA62-427E-9F26-A8FA73706A50}"/>
    <cellStyle name="Comma 3 9" xfId="3033" xr:uid="{00000000-0005-0000-0000-0000BC060000}"/>
    <cellStyle name="Comma 3 9 2" xfId="3685" xr:uid="{BB792CE7-BCE4-4E96-BC6C-3D596C27C427}"/>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2 2 2" xfId="3675" xr:uid="{F83E7121-96A4-4799-A747-131940950559}"/>
    <cellStyle name="Comma 5 2 3" xfId="3574" xr:uid="{C5CF13D9-6FF9-4A65-BA64-E09219144B4F}"/>
    <cellStyle name="Comma 5 3" xfId="3453" xr:uid="{00000000-0005-0000-0000-0000C7060000}"/>
    <cellStyle name="Comma 5 3 2" xfId="3715" xr:uid="{96E5D1AE-A05E-4121-95E8-051D1738268F}"/>
    <cellStyle name="Comma 5 4" xfId="2953" xr:uid="{00000000-0005-0000-0000-0000C5060000}"/>
    <cellStyle name="Comma 5 4 2" xfId="3619" xr:uid="{94995DD1-42F5-4FCF-9ECC-73A26E81B082}"/>
    <cellStyle name="Comma 5 5" xfId="3771" xr:uid="{A0EE15CD-7115-4F27-94AD-2525D5D370B6}"/>
    <cellStyle name="Comma 5 6" xfId="3529" xr:uid="{B6D1CFAC-6218-4655-8C4A-4C2F7EE071C9}"/>
    <cellStyle name="Comma 5 7" xfId="3816" xr:uid="{F771DC19-924F-46EA-A791-36144E6E3A50}"/>
    <cellStyle name="Comma 58 2" xfId="1733" xr:uid="{00000000-0005-0000-0000-000075060000}"/>
    <cellStyle name="Comma 6" xfId="3474" xr:uid="{00000000-0005-0000-0000-0000C9060000}"/>
    <cellStyle name="Comma 6 2" xfId="3727" xr:uid="{F0E5AFF2-8C5E-4B7B-A9DC-51159A0A075E}"/>
    <cellStyle name="Comma 6 3" xfId="3718" xr:uid="{8401F442-0117-4CA1-BB60-5B369D0E8AE1}"/>
    <cellStyle name="Comma 7" xfId="3776" xr:uid="{90A8266E-A1F3-4926-959A-6DD3FCDEB1D4}"/>
    <cellStyle name="Comma 8" xfId="3818" xr:uid="{360E2DCB-ACB2-498D-BDBD-0174896C6685}"/>
    <cellStyle name="Comma0" xfId="137" xr:uid="{00000000-0005-0000-0000-000076060000}"/>
    <cellStyle name="Comma0 2" xfId="2533" xr:uid="{00000000-0005-0000-0000-000077060000}"/>
    <cellStyle name="Comma0 3" xfId="2967" xr:uid="{00000000-0005-0000-0000-0000CC060000}"/>
    <cellStyle name="Comma0 3 2" xfId="3633" xr:uid="{2706B79F-146E-4298-AAC4-E8436C27C4F7}"/>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2 2 2" xfId="3643" xr:uid="{AF1E0B39-78BE-4992-B720-87E957CF94A6}"/>
    <cellStyle name="Currency 2 3 3" xfId="1738" xr:uid="{00000000-0005-0000-0000-000080060000}"/>
    <cellStyle name="Currency 2 3 4" xfId="2968" xr:uid="{00000000-0005-0000-0000-0000D7060000}"/>
    <cellStyle name="Currency 2 3 4 2" xfId="3634" xr:uid="{4AA58FA7-5076-4EE3-AE8D-30D306825B7C}"/>
    <cellStyle name="Currency 2 4" xfId="1740" xr:uid="{00000000-0005-0000-0000-000081060000}"/>
    <cellStyle name="Currency 2 4 2" xfId="2978" xr:uid="{00000000-0005-0000-0000-0000D9060000}"/>
    <cellStyle name="Currency 2 4 2 2" xfId="3644" xr:uid="{2184D102-3D9F-482A-85A3-C38D5A66E15B}"/>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Currency0 3 2" xfId="3635" xr:uid="{B174513D-F898-424E-AC31-ED8C128B8594}"/>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3 2 2" xfId="3645" xr:uid="{27F3EE72-014A-430A-8410-6EAF296FEF64}"/>
    <cellStyle name="Hyperlink 2 2 4" xfId="2970" xr:uid="{00000000-0005-0000-0000-000068080000}"/>
    <cellStyle name="Hyperlink 2 2 4 2" xfId="3636" xr:uid="{71AAF936-FC2F-43AC-89FD-C0A7005922AB}"/>
    <cellStyle name="Hyperlink 2 3" xfId="2083" xr:uid="{00000000-0005-0000-0000-00000E080000}"/>
    <cellStyle name="Hyperlink 2 4" xfId="2084" xr:uid="{00000000-0005-0000-0000-00000F080000}"/>
    <cellStyle name="Hyperlink 2 4 2" xfId="2980" xr:uid="{00000000-0005-0000-0000-00006B080000}"/>
    <cellStyle name="Hyperlink 2 4 2 2" xfId="3646" xr:uid="{72CE4596-D4CB-4652-B835-49DCC7EBCBED}"/>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xfId="3773" xr:uid="{08E8E9D0-F1EB-4907-B350-4E038BA3272F}"/>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2 2 2" xfId="3647" xr:uid="{E4723CFC-B5FC-47CD-AB25-CCFBA0B8B78B}"/>
    <cellStyle name="Normal 2 2 3" xfId="2251" xr:uid="{00000000-0005-0000-0000-00000E090000}"/>
    <cellStyle name="Normal 2 2 4" xfId="2971" xr:uid="{00000000-0005-0000-0000-0000A8090000}"/>
    <cellStyle name="Normal 2 2 4 2" xfId="3637" xr:uid="{500B56BE-A926-4CF1-AD97-961496402175}"/>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2 2 2" xfId="3657" xr:uid="{ABC4BE27-3E40-4364-AD7B-C5A2BE5EB0EC}"/>
    <cellStyle name="Normal 3 10 2 3" xfId="3556" xr:uid="{063F8471-4B44-4CD1-981D-D1E854336B6E}"/>
    <cellStyle name="Normal 3 10 3" xfId="3435" xr:uid="{00000000-0005-0000-0000-0000B0090000}"/>
    <cellStyle name="Normal 3 10 3 2" xfId="3697" xr:uid="{A2C9A9D1-6C85-41BA-9D7C-268129340ABC}"/>
    <cellStyle name="Normal 3 10 4" xfId="2935" xr:uid="{00000000-0005-0000-0000-0000AE090000}"/>
    <cellStyle name="Normal 3 10 4 2" xfId="3601" xr:uid="{B152C611-BD9A-4B3A-88FF-CA126BD43A84}"/>
    <cellStyle name="Normal 3 10 5" xfId="3753" xr:uid="{CCA9AE72-95E3-4FD0-8573-6B82FEA6F0FB}"/>
    <cellStyle name="Normal 3 10 6" xfId="3511" xr:uid="{397A0C8B-1A56-4B9A-97D2-7FE6D3D75FEA}"/>
    <cellStyle name="Normal 3 10 7" xfId="3798" xr:uid="{78DDDBED-064A-4292-8A6F-20D9CFCA969F}"/>
    <cellStyle name="Normal 3 11" xfId="2863" xr:uid="{00000000-0005-0000-0000-000015090000}"/>
    <cellStyle name="Normal 3 11 2" xfId="2909" xr:uid="{00000000-0005-0000-0000-000015090000}"/>
    <cellStyle name="Normal 3 11 2 2" xfId="3010" xr:uid="{00000000-0005-0000-0000-0000B2090000}"/>
    <cellStyle name="Normal 3 11 2 2 2" xfId="3676" xr:uid="{4DE89517-112A-48E6-9DFB-59DEBFEA1B69}"/>
    <cellStyle name="Normal 3 11 2 3" xfId="3575" xr:uid="{7E744B57-DFEC-4B6D-A539-E3C1E7568437}"/>
    <cellStyle name="Normal 3 11 3" xfId="3454" xr:uid="{00000000-0005-0000-0000-0000B3090000}"/>
    <cellStyle name="Normal 3 11 3 2" xfId="3716" xr:uid="{BC9CDA2E-A37B-4760-A508-205D7337DDF2}"/>
    <cellStyle name="Normal 3 11 4" xfId="2954" xr:uid="{00000000-0005-0000-0000-0000B1090000}"/>
    <cellStyle name="Normal 3 11 4 2" xfId="3620" xr:uid="{C1DAE718-214B-42ED-9851-1E03C6724D76}"/>
    <cellStyle name="Normal 3 11 5" xfId="3772" xr:uid="{ECF183EF-29B7-40B5-BEA7-DDBC35018A15}"/>
    <cellStyle name="Normal 3 11 6" xfId="3530" xr:uid="{80758102-C58D-460C-A238-532DC3DC84DC}"/>
    <cellStyle name="Normal 3 11 7" xfId="3817" xr:uid="{9A2238E2-A32A-4311-A5F4-6E42AD6A87F7}"/>
    <cellStyle name="Normal 3 12" xfId="24" xr:uid="{00000000-0005-0000-0000-000016090000}"/>
    <cellStyle name="Normal 3 12 2" xfId="2870" xr:uid="{00000000-0005-0000-0000-000016090000}"/>
    <cellStyle name="Normal 3 12 2 2" xfId="3536" xr:uid="{865AB2B7-A877-423E-BC48-6208B22C1491}"/>
    <cellStyle name="Normal 3 12 3" xfId="2915" xr:uid="{00000000-0005-0000-0000-0000B4090000}"/>
    <cellStyle name="Normal 3 12 3 2" xfId="3581" xr:uid="{ADDD244B-A059-4D12-80D8-CDAB762A3B3D}"/>
    <cellStyle name="Normal 3 12 4" xfId="3733" xr:uid="{F2015C44-F18E-47AC-A4AB-26525BDE7FE9}"/>
    <cellStyle name="Normal 3 12 5" xfId="3491" xr:uid="{E35EA2A0-BE23-4542-8FD3-BC996436BEA7}"/>
    <cellStyle name="Normal 3 12 6" xfId="3778" xr:uid="{2EAE5F34-F361-4F41-8DCA-90A7895ABEE9}"/>
    <cellStyle name="Normal 3 13" xfId="19" xr:uid="{00000000-0005-0000-0000-000013090000}"/>
    <cellStyle name="Normal 3 13 2" xfId="2955" xr:uid="{00000000-0005-0000-0000-0000B5090000}"/>
    <cellStyle name="Normal 3 13 2 2" xfId="3621" xr:uid="{5A65DFB3-9008-43FA-9387-71F04CA8D2C2}"/>
    <cellStyle name="Normal 3 13 3" xfId="3486" xr:uid="{B7D52D46-99F5-4638-A07A-7B6B4491A864}"/>
    <cellStyle name="Normal 3 14" xfId="2865" xr:uid="{00000000-0005-0000-0000-000013090000}"/>
    <cellStyle name="Normal 3 14 2" xfId="3011" xr:uid="{00000000-0005-0000-0000-0000B6090000}"/>
    <cellStyle name="Normal 3 14 2 2" xfId="3677" xr:uid="{A1874B16-F5FA-46A5-A748-F4E306BDB323}"/>
    <cellStyle name="Normal 3 14 3" xfId="3531" xr:uid="{BBC9D823-36F6-4AA0-AB09-2481A1BC16CC}"/>
    <cellStyle name="Normal 3 15" xfId="3475" xr:uid="{00000000-0005-0000-0000-0000B7090000}"/>
    <cellStyle name="Normal 3 15 2" xfId="3719" xr:uid="{9F577E68-C7F0-43C7-B668-552868D92B52}"/>
    <cellStyle name="Normal 3 16" xfId="3476" xr:uid="{00000000-0005-0000-0000-000003000000}"/>
    <cellStyle name="Normal 3 16 2" xfId="3720" xr:uid="{69DCA3EE-7D68-467C-94A7-5172D015FFFD}"/>
    <cellStyle name="Normal 3 17" xfId="2910" xr:uid="{00000000-0005-0000-0000-0000AD090000}"/>
    <cellStyle name="Normal 3 17 2" xfId="3576" xr:uid="{7D979526-2A53-481E-9E7B-B1139E9F2E63}"/>
    <cellStyle name="Normal 3 18" xfId="3728" xr:uid="{1C48120D-362F-4CD0-86DD-D4174E3EF503}"/>
    <cellStyle name="Normal 3 19" xfId="3481" xr:uid="{3AE20DB5-7013-4ADD-827D-2054282384F0}"/>
    <cellStyle name="Normal 3 2" xfId="14" xr:uid="{00000000-0005-0000-0000-000006000000}"/>
    <cellStyle name="Normal 3 2 10" xfId="3477" xr:uid="{00000000-0005-0000-0000-000004000000}"/>
    <cellStyle name="Normal 3 2 10 2" xfId="3721" xr:uid="{A712D756-00EE-4E2A-86CC-8606BAF58CAE}"/>
    <cellStyle name="Normal 3 2 11" xfId="2911" xr:uid="{00000000-0005-0000-0000-0000B8090000}"/>
    <cellStyle name="Normal 3 2 11 2" xfId="3577" xr:uid="{8175C5CF-D7C6-4E5C-A0C6-AB4D7E85B9B9}"/>
    <cellStyle name="Normal 3 2 12" xfId="3729" xr:uid="{29BA9E31-58F7-40A1-8D8E-55703E62A21B}"/>
    <cellStyle name="Normal 3 2 13" xfId="3482" xr:uid="{DC313F70-47EC-4073-B0BA-C67084EAB4F1}"/>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3 2 2" xfId="3724" xr:uid="{8EA2234B-BB92-4BEE-B92D-AD8DAF57D2F7}"/>
    <cellStyle name="Normal 3 2 2 3 3" xfId="3490" xr:uid="{DBB1E4B9-C8BD-49F1-8366-A4DAC65A8515}"/>
    <cellStyle name="Normal 3 2 2 4" xfId="2869" xr:uid="{00000000-0005-0000-0000-000018090000}"/>
    <cellStyle name="Normal 3 2 2 4 2" xfId="3535" xr:uid="{FE167C2C-CC6A-4E1F-9D31-A040ED8B0D86}"/>
    <cellStyle name="Normal 3 2 2 5" xfId="2914" xr:uid="{00000000-0005-0000-0000-0000B9090000}"/>
    <cellStyle name="Normal 3 2 2 5 2" xfId="3580" xr:uid="{8699BACB-563B-47D9-AC25-D2D24E3C77B7}"/>
    <cellStyle name="Normal 3 2 2 6" xfId="3732" xr:uid="{F4A4BDFD-82B8-4A6A-93A8-9129C6233ECF}"/>
    <cellStyle name="Normal 3 2 2 7" xfId="3485" xr:uid="{7FB1EC2F-1ABF-443F-BD8E-AD84285A397A}"/>
    <cellStyle name="Normal 3 2 2 8" xfId="3775" xr:uid="{8D0173F5-70C9-4875-B6C5-E2C754664C78}"/>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2 2 2" xfId="3667" xr:uid="{8664A472-19E3-4B88-81B7-C7743659F08A}"/>
    <cellStyle name="Normal 3 2 3 2 2 3" xfId="3566" xr:uid="{03539395-F54A-4035-8B4B-CCE35DBFF6EB}"/>
    <cellStyle name="Normal 3 2 3 2 3" xfId="3445" xr:uid="{00000000-0005-0000-0000-0000BE090000}"/>
    <cellStyle name="Normal 3 2 3 2 3 2" xfId="3707" xr:uid="{99C43918-183E-4C4E-B655-E387D171E66F}"/>
    <cellStyle name="Normal 3 2 3 2 4" xfId="2945" xr:uid="{00000000-0005-0000-0000-0000BC090000}"/>
    <cellStyle name="Normal 3 2 3 2 4 2" xfId="3611" xr:uid="{543C4234-489A-41C8-960A-7D38ECF57278}"/>
    <cellStyle name="Normal 3 2 3 2 5" xfId="3763" xr:uid="{21A958D2-B42E-41B8-BCF6-70B6971E5C93}"/>
    <cellStyle name="Normal 3 2 3 2 6" xfId="3521" xr:uid="{9FEA6FBE-C9FC-43DB-ADBA-68961F73331C}"/>
    <cellStyle name="Normal 3 2 3 2 7" xfId="3808" xr:uid="{BCC5A029-2234-4F76-98FC-FE011D553FEB}"/>
    <cellStyle name="Normal 3 2 3 3" xfId="2883" xr:uid="{00000000-0005-0000-0000-00001A090000}"/>
    <cellStyle name="Normal 3 2 3 3 2" xfId="2984" xr:uid="{00000000-0005-0000-0000-0000BF090000}"/>
    <cellStyle name="Normal 3 2 3 3 2 2" xfId="3650" xr:uid="{C033A23E-5EE4-4EC1-8D18-D1AB000BC2A1}"/>
    <cellStyle name="Normal 3 2 3 3 3" xfId="3549" xr:uid="{2C5ABFE5-B9D5-42FA-BCAC-E52648F476A4}"/>
    <cellStyle name="Normal 3 2 3 4" xfId="3427" xr:uid="{00000000-0005-0000-0000-0000C0090000}"/>
    <cellStyle name="Normal 3 2 3 4 2" xfId="3690" xr:uid="{6B45AAD9-E276-4DFB-95E8-8C87C8624F79}"/>
    <cellStyle name="Normal 3 2 3 5" xfId="2928" xr:uid="{00000000-0005-0000-0000-0000BB090000}"/>
    <cellStyle name="Normal 3 2 3 5 2" xfId="3594" xr:uid="{9110BE25-2C34-4B30-83CC-1EA16599A019}"/>
    <cellStyle name="Normal 3 2 3 6" xfId="3746" xr:uid="{B499C76B-5475-4098-A8A3-176925CCCD99}"/>
    <cellStyle name="Normal 3 2 3 7" xfId="3504" xr:uid="{D9C2B5F3-64DB-4A6B-A98B-0CA76975C855}"/>
    <cellStyle name="Normal 3 2 3 8" xfId="3791" xr:uid="{005B8B18-BA19-4C03-B562-AE71081886F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2 2 2" xfId="3661" xr:uid="{0D544DDE-9758-4901-B4A9-9825B6D72805}"/>
    <cellStyle name="Normal 3 2 4 2 2 3" xfId="3560" xr:uid="{8CD030C1-19D7-4645-99CB-60C5BD3FCCC8}"/>
    <cellStyle name="Normal 3 2 4 2 3" xfId="3439" xr:uid="{00000000-0005-0000-0000-0000C4090000}"/>
    <cellStyle name="Normal 3 2 4 2 3 2" xfId="3701" xr:uid="{B00E88D9-B129-47A6-BC8F-F08E6CA28A53}"/>
    <cellStyle name="Normal 3 2 4 2 4" xfId="2939" xr:uid="{00000000-0005-0000-0000-0000C2090000}"/>
    <cellStyle name="Normal 3 2 4 2 4 2" xfId="3605" xr:uid="{89DC91EE-4310-46C9-8F65-27D4E55ED25A}"/>
    <cellStyle name="Normal 3 2 4 2 5" xfId="3757" xr:uid="{21C9D216-DCA2-4711-AA8C-59A9A6D6020D}"/>
    <cellStyle name="Normal 3 2 4 2 6" xfId="3515" xr:uid="{76A82371-530F-4E09-9F93-3EEF5337C32C}"/>
    <cellStyle name="Normal 3 2 4 2 7" xfId="3802" xr:uid="{E9B62731-160F-4DAD-BE03-5AD3D96DDECF}"/>
    <cellStyle name="Normal 3 2 4 3" xfId="2877" xr:uid="{00000000-0005-0000-0000-00001C090000}"/>
    <cellStyle name="Normal 3 2 4 3 2" xfId="2962" xr:uid="{00000000-0005-0000-0000-0000C5090000}"/>
    <cellStyle name="Normal 3 2 4 3 2 2" xfId="3628" xr:uid="{6B28BD1E-DC19-4A9B-8F8C-E92AE4158A21}"/>
    <cellStyle name="Normal 3 2 4 3 3" xfId="3543" xr:uid="{66AA24DE-7C10-438A-96DE-678391B4B082}"/>
    <cellStyle name="Normal 3 2 4 4" xfId="3022" xr:uid="{00000000-0005-0000-0000-0000C6090000}"/>
    <cellStyle name="Normal 3 2 4 4 2" xfId="3684" xr:uid="{94AE56B6-4978-4A99-AFFA-A8FE5C18F894}"/>
    <cellStyle name="Normal 3 2 4 5" xfId="2922" xr:uid="{00000000-0005-0000-0000-0000C1090000}"/>
    <cellStyle name="Normal 3 2 4 5 2" xfId="3588" xr:uid="{21D41CDE-4DB3-4998-9674-57C8CFB05C0A}"/>
    <cellStyle name="Normal 3 2 4 6" xfId="3740" xr:uid="{CD8D1C64-A254-4D2C-9BA9-C15D9F684233}"/>
    <cellStyle name="Normal 3 2 4 7" xfId="3498" xr:uid="{0BB6CC3F-F49E-4029-A8EE-277E89763255}"/>
    <cellStyle name="Normal 3 2 4 8" xfId="3785" xr:uid="{AA6AC4CF-EDC9-4AEE-85E0-14F95BE5AC1F}"/>
    <cellStyle name="Normal 3 2 5" xfId="28" xr:uid="{00000000-0005-0000-0000-00001E090000}"/>
    <cellStyle name="Normal 3 2 5 2" xfId="2874" xr:uid="{00000000-0005-0000-0000-00001E090000}"/>
    <cellStyle name="Normal 3 2 5 2 2" xfId="2959" xr:uid="{00000000-0005-0000-0000-0000C8090000}"/>
    <cellStyle name="Normal 3 2 5 2 2 2" xfId="3625" xr:uid="{32F71918-9485-40D5-B344-306B9153F341}"/>
    <cellStyle name="Normal 3 2 5 2 3" xfId="3540" xr:uid="{64499086-CD9E-4CA3-AC2F-12E232F7D12A}"/>
    <cellStyle name="Normal 3 2 5 3" xfId="3015" xr:uid="{00000000-0005-0000-0000-0000C9090000}"/>
    <cellStyle name="Normal 3 2 5 3 2" xfId="3681" xr:uid="{136EA418-1FD8-4AE3-9966-408603773B0B}"/>
    <cellStyle name="Normal 3 2 5 4" xfId="2919" xr:uid="{00000000-0005-0000-0000-0000C7090000}"/>
    <cellStyle name="Normal 3 2 5 4 2" xfId="3585" xr:uid="{7998DC13-58ED-4916-B7D2-EACDAF65DD2F}"/>
    <cellStyle name="Normal 3 2 5 5" xfId="3737" xr:uid="{D68A4503-B9FE-4F43-BBE9-19DAC29458DC}"/>
    <cellStyle name="Normal 3 2 5 6" xfId="3495" xr:uid="{775CA034-ACAB-47B9-9A57-373A018A4626}"/>
    <cellStyle name="Normal 3 2 5 7" xfId="3782" xr:uid="{6070AD93-4B5C-49C0-BECB-76DB92FFB03D}"/>
    <cellStyle name="Normal 3 2 6" xfId="2844" xr:uid="{00000000-0005-0000-0000-00001F090000}"/>
    <cellStyle name="Normal 3 2 6 2" xfId="2891" xr:uid="{00000000-0005-0000-0000-00001F090000}"/>
    <cellStyle name="Normal 3 2 6 2 2" xfId="2992" xr:uid="{00000000-0005-0000-0000-0000CB090000}"/>
    <cellStyle name="Normal 3 2 6 2 2 2" xfId="3658" xr:uid="{25EB3438-38DE-4635-89E8-EAD0807CD936}"/>
    <cellStyle name="Normal 3 2 6 2 3" xfId="3557" xr:uid="{8D6B760B-6997-48B9-8A14-8FCF166D84B1}"/>
    <cellStyle name="Normal 3 2 6 3" xfId="3436" xr:uid="{00000000-0005-0000-0000-0000CC090000}"/>
    <cellStyle name="Normal 3 2 6 3 2" xfId="3698" xr:uid="{E016F08E-07FE-4962-8938-C24618D63C33}"/>
    <cellStyle name="Normal 3 2 6 4" xfId="2936" xr:uid="{00000000-0005-0000-0000-0000CA090000}"/>
    <cellStyle name="Normal 3 2 6 4 2" xfId="3602" xr:uid="{EDB2DB15-FD06-4E66-ACA0-64692F23F8D2}"/>
    <cellStyle name="Normal 3 2 6 5" xfId="3754" xr:uid="{1DC36FF1-4F46-4048-B3CF-81A1D579D80C}"/>
    <cellStyle name="Normal 3 2 6 6" xfId="3512" xr:uid="{C9D494FB-2266-45DB-865F-CEDEB5D0DC4F}"/>
    <cellStyle name="Normal 3 2 6 7" xfId="3799" xr:uid="{23EE1B94-ED5A-4CCD-A32D-02570C0675B8}"/>
    <cellStyle name="Normal 3 2 7" xfId="25" xr:uid="{00000000-0005-0000-0000-000020090000}"/>
    <cellStyle name="Normal 3 2 7 2" xfId="2871" xr:uid="{00000000-0005-0000-0000-000020090000}"/>
    <cellStyle name="Normal 3 2 7 2 2" xfId="3537" xr:uid="{7C614EB6-FA6B-44CF-BE21-4AED411B8A8D}"/>
    <cellStyle name="Normal 3 2 7 3" xfId="2916" xr:uid="{00000000-0005-0000-0000-0000CD090000}"/>
    <cellStyle name="Normal 3 2 7 3 2" xfId="3582" xr:uid="{B6B30682-66C0-4B3B-91EC-8B96976789E1}"/>
    <cellStyle name="Normal 3 2 7 4" xfId="3734" xr:uid="{3166145A-76D2-4FD1-8E57-EDDD857927A9}"/>
    <cellStyle name="Normal 3 2 7 5" xfId="3492" xr:uid="{885E13EA-F591-4173-9796-BD9D08F1A84C}"/>
    <cellStyle name="Normal 3 2 7 6" xfId="3779" xr:uid="{122D5F9E-4A57-4183-935B-EE79593FC773}"/>
    <cellStyle name="Normal 3 2 8" xfId="20" xr:uid="{00000000-0005-0000-0000-000017090000}"/>
    <cellStyle name="Normal 3 2 8 2" xfId="2956" xr:uid="{00000000-0005-0000-0000-0000CE090000}"/>
    <cellStyle name="Normal 3 2 8 2 2" xfId="3622" xr:uid="{85F9FEF2-05F2-457A-963C-62CD27DEF082}"/>
    <cellStyle name="Normal 3 2 8 3" xfId="3487" xr:uid="{89269844-64E0-4FC1-816D-F90C230A6DCD}"/>
    <cellStyle name="Normal 3 2 9" xfId="2866" xr:uid="{00000000-0005-0000-0000-000017090000}"/>
    <cellStyle name="Normal 3 2 9 2" xfId="3012" xr:uid="{00000000-0005-0000-0000-0000CF090000}"/>
    <cellStyle name="Normal 3 2 9 2 2" xfId="3678" xr:uid="{26AA1FF8-EBCF-4597-AB2E-AD0A568DD619}"/>
    <cellStyle name="Normal 3 2 9 3" xfId="3532" xr:uid="{76A42D61-AF8E-44D3-BF60-6D640A6AC48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2 3 2" xfId="3638" xr:uid="{C6E138B0-9F2F-4DF6-81D7-24D9854C1468}"/>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2 2 2" xfId="3665" xr:uid="{BCC43304-AA0B-4480-97BD-C7F94A75BF50}"/>
    <cellStyle name="Normal 3 4 2 2 3" xfId="3564" xr:uid="{918ABCC1-7D8B-4DC7-93C9-33A1D19D2552}"/>
    <cellStyle name="Normal 3 4 2 3" xfId="3443" xr:uid="{00000000-0005-0000-0000-0000D8090000}"/>
    <cellStyle name="Normal 3 4 2 3 2" xfId="3705" xr:uid="{A7FC59A7-8CDE-4EBD-8F5E-E53746B7FB36}"/>
    <cellStyle name="Normal 3 4 2 4" xfId="2943" xr:uid="{00000000-0005-0000-0000-0000D6090000}"/>
    <cellStyle name="Normal 3 4 2 4 2" xfId="3609" xr:uid="{08437134-357D-4F1B-8FE0-C7D3418570CF}"/>
    <cellStyle name="Normal 3 4 2 5" xfId="3761" xr:uid="{3C4D97A3-40EB-458E-AD67-8F12F5C15CBF}"/>
    <cellStyle name="Normal 3 4 2 6" xfId="3519" xr:uid="{60F007D6-45AC-476A-A80A-07D59037A456}"/>
    <cellStyle name="Normal 3 4 2 7" xfId="3806" xr:uid="{7EA89B7A-6E29-4336-BA4B-FD0B887791EA}"/>
    <cellStyle name="Normal 3 4 3" xfId="2881" xr:uid="{00000000-0005-0000-0000-000025090000}"/>
    <cellStyle name="Normal 3 4 3 2" xfId="2982" xr:uid="{00000000-0005-0000-0000-0000D9090000}"/>
    <cellStyle name="Normal 3 4 3 2 2" xfId="3648" xr:uid="{DA862B0F-A4BC-4A93-B6D8-2258B9E8AA01}"/>
    <cellStyle name="Normal 3 4 3 3" xfId="3547" xr:uid="{DA7F7387-BBEF-471E-83C6-326C9C78C95C}"/>
    <cellStyle name="Normal 3 4 4" xfId="3419" xr:uid="{00000000-0005-0000-0000-0000DA090000}"/>
    <cellStyle name="Normal 3 4 4 2" xfId="3688" xr:uid="{B77B34AA-5C32-4C6B-A4A3-E9A0AF994544}"/>
    <cellStyle name="Normal 3 4 5" xfId="2926" xr:uid="{00000000-0005-0000-0000-0000D5090000}"/>
    <cellStyle name="Normal 3 4 5 2" xfId="3592" xr:uid="{1B79EE4D-5ECB-4384-83A6-51EEFF795DE9}"/>
    <cellStyle name="Normal 3 4 6" xfId="3744" xr:uid="{8D432508-24B8-478E-B9CF-1C6957DF20E1}"/>
    <cellStyle name="Normal 3 4 7" xfId="3502" xr:uid="{E9F924DD-4427-4567-80A3-FB8F6A01F6C0}"/>
    <cellStyle name="Normal 3 4 8" xfId="3789" xr:uid="{CEE5827A-4AF0-42A5-98C8-046AE1BC8409}"/>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2 2 2" xfId="3669" xr:uid="{072A5768-FCAE-4381-82B2-0DC51FB9EB82}"/>
    <cellStyle name="Normal 3 5 2 2 3" xfId="3568" xr:uid="{71272CDC-2BD3-4265-B6C2-F143D544C4DA}"/>
    <cellStyle name="Normal 3 5 2 3" xfId="3447" xr:uid="{00000000-0005-0000-0000-0000DE090000}"/>
    <cellStyle name="Normal 3 5 2 3 2" xfId="3709" xr:uid="{09DD9BD1-823E-4734-9852-7F3414C44880}"/>
    <cellStyle name="Normal 3 5 2 4" xfId="2947" xr:uid="{00000000-0005-0000-0000-0000DC090000}"/>
    <cellStyle name="Normal 3 5 2 4 2" xfId="3613" xr:uid="{EF27CCBD-91EC-4914-A900-41122522B44A}"/>
    <cellStyle name="Normal 3 5 2 5" xfId="3765" xr:uid="{30171A65-12B5-45CF-976F-04CF917D632B}"/>
    <cellStyle name="Normal 3 5 2 6" xfId="3523" xr:uid="{AB9CC72E-A89B-4D80-B110-0F704B7BD921}"/>
    <cellStyle name="Normal 3 5 2 7" xfId="3810" xr:uid="{6F551A95-B063-4CA9-81FE-BE469B718EA4}"/>
    <cellStyle name="Normal 3 5 3" xfId="2885" xr:uid="{00000000-0005-0000-0000-000027090000}"/>
    <cellStyle name="Normal 3 5 3 2" xfId="2986" xr:uid="{00000000-0005-0000-0000-0000DF090000}"/>
    <cellStyle name="Normal 3 5 3 2 2" xfId="3652" xr:uid="{FF1C23A9-0022-450C-AEA4-AD81A9765017}"/>
    <cellStyle name="Normal 3 5 3 3" xfId="3551" xr:uid="{BD6FD99E-5139-4F8B-B694-58861271CB25}"/>
    <cellStyle name="Normal 3 5 4" xfId="3429" xr:uid="{00000000-0005-0000-0000-0000E0090000}"/>
    <cellStyle name="Normal 3 5 4 2" xfId="3692" xr:uid="{02176802-4D5F-4D66-8C7C-EF5C5A8A85B1}"/>
    <cellStyle name="Normal 3 5 5" xfId="2930" xr:uid="{00000000-0005-0000-0000-0000DB090000}"/>
    <cellStyle name="Normal 3 5 5 2" xfId="3596" xr:uid="{5C85FFB6-03A9-465C-9A64-77ACEAF018BE}"/>
    <cellStyle name="Normal 3 5 6" xfId="3748" xr:uid="{928BC77B-A0DD-4076-84A8-EEBF7E590104}"/>
    <cellStyle name="Normal 3 5 7" xfId="3506" xr:uid="{636C8CDA-7F59-412F-914C-5C1A2D8D4B8A}"/>
    <cellStyle name="Normal 3 5 8" xfId="3793" xr:uid="{40DC7025-A0DB-48F9-93A4-D949F561514B}"/>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2 2 2" xfId="3671" xr:uid="{BF5DCB0F-A22A-45F4-89C1-AAF40DBA6959}"/>
    <cellStyle name="Normal 3 6 2 2 3" xfId="3570" xr:uid="{9051A4B5-C24A-4EDA-8EFD-4CBECA7D60AA}"/>
    <cellStyle name="Normal 3 6 2 3" xfId="3449" xr:uid="{00000000-0005-0000-0000-0000E4090000}"/>
    <cellStyle name="Normal 3 6 2 3 2" xfId="3711" xr:uid="{76C6ECC5-0F63-4D10-B378-394059CA5C15}"/>
    <cellStyle name="Normal 3 6 2 4" xfId="2949" xr:uid="{00000000-0005-0000-0000-0000E2090000}"/>
    <cellStyle name="Normal 3 6 2 4 2" xfId="3615" xr:uid="{6B9300DC-4F42-4AE5-9C5C-C03F58242217}"/>
    <cellStyle name="Normal 3 6 2 5" xfId="3767" xr:uid="{2C38504C-4485-4978-A985-DA8085C53215}"/>
    <cellStyle name="Normal 3 6 2 6" xfId="3525" xr:uid="{DFFC1A5E-9B77-49FB-80B4-D9BD537529ED}"/>
    <cellStyle name="Normal 3 6 2 7" xfId="3812" xr:uid="{89801F5E-3376-4D81-B371-CEB256C6737C}"/>
    <cellStyle name="Normal 3 6 3" xfId="2887" xr:uid="{00000000-0005-0000-0000-000029090000}"/>
    <cellStyle name="Normal 3 6 3 2" xfId="2988" xr:uid="{00000000-0005-0000-0000-0000E5090000}"/>
    <cellStyle name="Normal 3 6 3 2 2" xfId="3654" xr:uid="{E0F1AD72-DA8B-4126-B99E-D0602CA1E6B6}"/>
    <cellStyle name="Normal 3 6 3 3" xfId="3553" xr:uid="{2A02C63A-400F-44F3-8F33-3C4433622C49}"/>
    <cellStyle name="Normal 3 6 4" xfId="3431" xr:uid="{00000000-0005-0000-0000-0000E6090000}"/>
    <cellStyle name="Normal 3 6 4 2" xfId="3694" xr:uid="{9A18756F-1185-4CDA-9849-5DD27F081E6C}"/>
    <cellStyle name="Normal 3 6 5" xfId="2932" xr:uid="{00000000-0005-0000-0000-0000E1090000}"/>
    <cellStyle name="Normal 3 6 5 2" xfId="3598" xr:uid="{EA71D0AF-FF7B-40C2-A8EE-87A6FDE64786}"/>
    <cellStyle name="Normal 3 6 6" xfId="3750" xr:uid="{BE042748-29F1-42A2-8CFF-1F8F9DCDC888}"/>
    <cellStyle name="Normal 3 6 7" xfId="3508" xr:uid="{0BEC0728-5957-42B7-A5CF-70FB6B7BFD8A}"/>
    <cellStyle name="Normal 3 6 8" xfId="3795" xr:uid="{E3B4C9BD-7AD0-474F-B43B-0C427E6FA2C5}"/>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2 2 2" xfId="3660" xr:uid="{40B964B9-8DBD-4964-AF7E-4FEE04C83B0F}"/>
    <cellStyle name="Normal 3 7 2 2 3" xfId="3559" xr:uid="{1D2CC646-10AA-446E-8760-134DABF4CCCE}"/>
    <cellStyle name="Normal 3 7 2 3" xfId="3438" xr:uid="{00000000-0005-0000-0000-0000EA090000}"/>
    <cellStyle name="Normal 3 7 2 3 2" xfId="3700" xr:uid="{DB68BDEF-E21B-46F2-81E3-C7C924D74843}"/>
    <cellStyle name="Normal 3 7 2 4" xfId="2938" xr:uid="{00000000-0005-0000-0000-0000E8090000}"/>
    <cellStyle name="Normal 3 7 2 4 2" xfId="3604" xr:uid="{312B253A-8CD9-44C8-83EE-E2BE98B2341B}"/>
    <cellStyle name="Normal 3 7 2 5" xfId="3756" xr:uid="{50B50085-41BB-4161-80AD-46AF94FFAC3B}"/>
    <cellStyle name="Normal 3 7 2 6" xfId="3514" xr:uid="{9ABE694C-EDB8-462F-AD5B-AA30C8FCCF4F}"/>
    <cellStyle name="Normal 3 7 2 7" xfId="3801" xr:uid="{4027E343-B260-48F1-BCA7-63D2BF24E5F3}"/>
    <cellStyle name="Normal 3 7 3" xfId="2876" xr:uid="{00000000-0005-0000-0000-00002B090000}"/>
    <cellStyle name="Normal 3 7 3 2" xfId="2961" xr:uid="{00000000-0005-0000-0000-0000EB090000}"/>
    <cellStyle name="Normal 3 7 3 2 2" xfId="3627" xr:uid="{0709CAF2-2C4B-465F-AA2A-55E4A9862D79}"/>
    <cellStyle name="Normal 3 7 3 3" xfId="3542" xr:uid="{34E35462-BE92-477C-9ED3-EEA00E03C8A1}"/>
    <cellStyle name="Normal 3 7 4" xfId="3017" xr:uid="{00000000-0005-0000-0000-0000EC090000}"/>
    <cellStyle name="Normal 3 7 4 2" xfId="3683" xr:uid="{8D816BF4-6D56-44C4-BEEB-74C0EF6735A4}"/>
    <cellStyle name="Normal 3 7 5" xfId="2921" xr:uid="{00000000-0005-0000-0000-0000E7090000}"/>
    <cellStyle name="Normal 3 7 5 2" xfId="3587" xr:uid="{37C0D82F-E368-44C9-ADD4-E5A4298E5708}"/>
    <cellStyle name="Normal 3 7 6" xfId="3739" xr:uid="{94280A70-C0CC-4222-BECE-713FD7EDB793}"/>
    <cellStyle name="Normal 3 7 7" xfId="3497" xr:uid="{E06DCC0D-9CD9-4959-AD04-EE8CED35352D}"/>
    <cellStyle name="Normal 3 7 8" xfId="3784" xr:uid="{0ED96879-8400-45BB-B065-AE9291827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2 2 2" xfId="3659" xr:uid="{4D92DD81-B4BC-4003-A876-C69E9C0698A6}"/>
    <cellStyle name="Normal 3 8 2 2 3" xfId="3558" xr:uid="{E685E732-82A0-4B0C-A7E9-4D38B5AEC74E}"/>
    <cellStyle name="Normal 3 8 2 3" xfId="3437" xr:uid="{00000000-0005-0000-0000-0000F0090000}"/>
    <cellStyle name="Normal 3 8 2 3 2" xfId="3699" xr:uid="{94FA6116-F53D-4859-AC43-5412656759B3}"/>
    <cellStyle name="Normal 3 8 2 4" xfId="2937" xr:uid="{00000000-0005-0000-0000-0000EE090000}"/>
    <cellStyle name="Normal 3 8 2 4 2" xfId="3603" xr:uid="{18AF259C-6A60-4EE9-BE40-50B9B4E8FC04}"/>
    <cellStyle name="Normal 3 8 2 5" xfId="3755" xr:uid="{8E7B645A-94CD-45BC-9CCD-21EF5139D0A8}"/>
    <cellStyle name="Normal 3 8 2 6" xfId="3513" xr:uid="{545588C1-B115-4266-AB65-9C4293408C28}"/>
    <cellStyle name="Normal 3 8 2 7" xfId="3800" xr:uid="{6F64BD52-5B69-4030-9463-C2BFE3B371E2}"/>
    <cellStyle name="Normal 3 8 3" xfId="2875" xr:uid="{00000000-0005-0000-0000-00002D090000}"/>
    <cellStyle name="Normal 3 8 3 2" xfId="2960" xr:uid="{00000000-0005-0000-0000-0000F1090000}"/>
    <cellStyle name="Normal 3 8 3 2 2" xfId="3626" xr:uid="{178DF4CA-933F-45DA-BB2A-1A1DDB95411C}"/>
    <cellStyle name="Normal 3 8 3 3" xfId="3541" xr:uid="{D3167327-BB37-4018-AE01-934E458F8DD1}"/>
    <cellStyle name="Normal 3 8 4" xfId="3016" xr:uid="{00000000-0005-0000-0000-0000F2090000}"/>
    <cellStyle name="Normal 3 8 4 2" xfId="3682" xr:uid="{B29FB005-B346-4768-B43A-8D92CB125A6E}"/>
    <cellStyle name="Normal 3 8 5" xfId="2920" xr:uid="{00000000-0005-0000-0000-0000ED090000}"/>
    <cellStyle name="Normal 3 8 5 2" xfId="3586" xr:uid="{E90AB0F9-83B7-4DB8-9457-E6A851AED460}"/>
    <cellStyle name="Normal 3 8 6" xfId="3738" xr:uid="{A8AF3336-6DA3-4A17-A597-21A795D3455D}"/>
    <cellStyle name="Normal 3 8 7" xfId="3496" xr:uid="{4C4DDC49-9238-4FC2-8CCF-585774F1C443}"/>
    <cellStyle name="Normal 3 8 8" xfId="3783" xr:uid="{9A5591B4-AB70-4901-A1CC-510C7C1A4AEC}"/>
    <cellStyle name="Normal 3 9" xfId="27" xr:uid="{00000000-0005-0000-0000-00002F090000}"/>
    <cellStyle name="Normal 3 9 2" xfId="2873" xr:uid="{00000000-0005-0000-0000-00002F090000}"/>
    <cellStyle name="Normal 3 9 2 2" xfId="2958" xr:uid="{00000000-0005-0000-0000-0000F4090000}"/>
    <cellStyle name="Normal 3 9 2 2 2" xfId="3624" xr:uid="{B27B6E47-BAC8-4E29-B964-E9FCEC5A47BB}"/>
    <cellStyle name="Normal 3 9 2 3" xfId="3539" xr:uid="{4ADB36BF-4C83-4E8C-83F3-1F16D059CF10}"/>
    <cellStyle name="Normal 3 9 3" xfId="3014" xr:uid="{00000000-0005-0000-0000-0000F5090000}"/>
    <cellStyle name="Normal 3 9 3 2" xfId="3680" xr:uid="{54C7DF7D-EADC-4443-B691-0228848DEEE8}"/>
    <cellStyle name="Normal 3 9 4" xfId="2918" xr:uid="{00000000-0005-0000-0000-0000F3090000}"/>
    <cellStyle name="Normal 3 9 4 2" xfId="3584" xr:uid="{6D73CCCD-133B-4FE2-8916-C1EBC11468DA}"/>
    <cellStyle name="Normal 3 9 5" xfId="3736" xr:uid="{3F926189-A551-4DB7-B69B-74BCDB5D7075}"/>
    <cellStyle name="Normal 3 9 6" xfId="3494" xr:uid="{848145A5-178F-432B-948D-448FCB018FB9}"/>
    <cellStyle name="Normal 3 9 7" xfId="3781" xr:uid="{7DD6B8D9-4DF5-4EF7-BCB5-271207D15D53}"/>
    <cellStyle name="Normal 4" xfId="16" xr:uid="{00000000-0005-0000-0000-000008000000}"/>
    <cellStyle name="Normal 4 10" xfId="2867" xr:uid="{00000000-0005-0000-0000-000030090000}"/>
    <cellStyle name="Normal 4 10 2" xfId="3013" xr:uid="{00000000-0005-0000-0000-0000F7090000}"/>
    <cellStyle name="Normal 4 10 2 2" xfId="3679" xr:uid="{ECB2BB29-0B2A-4E1E-8E1A-EDF123C6AE9A}"/>
    <cellStyle name="Normal 4 10 3" xfId="3533" xr:uid="{ABDC7BDC-615A-48BC-8094-88DC6FF11FFF}"/>
    <cellStyle name="Normal 4 11" xfId="3478" xr:uid="{00000000-0005-0000-0000-000006000000}"/>
    <cellStyle name="Normal 4 11 2" xfId="3722" xr:uid="{8C407544-63D5-4B72-B15A-FB718BCF25B2}"/>
    <cellStyle name="Normal 4 12" xfId="2912" xr:uid="{00000000-0005-0000-0000-0000F6090000}"/>
    <cellStyle name="Normal 4 12 2" xfId="3578" xr:uid="{79A8FC65-BA57-414B-B630-E7BA97C51823}"/>
    <cellStyle name="Normal 4 13" xfId="3730" xr:uid="{A67263DB-1FF8-4536-BC68-6D398D7C46B3}"/>
    <cellStyle name="Normal 4 14" xfId="3483" xr:uid="{0FB7F31A-CB43-40BC-B67C-637E1DF4242D}"/>
    <cellStyle name="Normal 4 15" xfId="3777" xr:uid="{5C0CFAF5-36F4-4750-B3FF-3AEEDDCE638D}"/>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2 2 2" xfId="3666" xr:uid="{872C1363-6E57-4DF4-87A2-5AE48E34FF66}"/>
    <cellStyle name="Normal 4 2 2 2 3" xfId="3565" xr:uid="{6AB242BC-E129-4233-8BDF-177C64C37270}"/>
    <cellStyle name="Normal 4 2 2 3" xfId="3444" xr:uid="{00000000-0005-0000-0000-0000FB090000}"/>
    <cellStyle name="Normal 4 2 2 3 2" xfId="3706" xr:uid="{6ACD0F4E-2E94-4870-B072-AF330F647BFF}"/>
    <cellStyle name="Normal 4 2 2 4" xfId="2944" xr:uid="{00000000-0005-0000-0000-0000F9090000}"/>
    <cellStyle name="Normal 4 2 2 4 2" xfId="3610" xr:uid="{F14E80E1-A51E-47C1-90F1-BEE339C72E53}"/>
    <cellStyle name="Normal 4 2 2 5" xfId="3762" xr:uid="{BA256C5C-6F5B-452D-8275-BDDF65B85A34}"/>
    <cellStyle name="Normal 4 2 2 6" xfId="3520" xr:uid="{06AE490E-B3E2-46DF-B4D5-6BA6AFFA5806}"/>
    <cellStyle name="Normal 4 2 2 7" xfId="3807" xr:uid="{8AB1B028-5DB8-4778-9409-CAB13411E936}"/>
    <cellStyle name="Normal 4 2 3" xfId="2882" xr:uid="{00000000-0005-0000-0000-000031090000}"/>
    <cellStyle name="Normal 4 2 3 2" xfId="2983" xr:uid="{00000000-0005-0000-0000-0000FC090000}"/>
    <cellStyle name="Normal 4 2 3 2 2" xfId="3649" xr:uid="{282D74FA-5C9B-44E4-8EB7-07C7253CFC0C}"/>
    <cellStyle name="Normal 4 2 3 3" xfId="3548" xr:uid="{1796DD97-3BF9-4F77-9F62-E8862A9B6AA5}"/>
    <cellStyle name="Normal 4 2 4" xfId="3420" xr:uid="{00000000-0005-0000-0000-0000FD090000}"/>
    <cellStyle name="Normal 4 2 4 2" xfId="3689" xr:uid="{EFB1E69A-3B62-4293-B5A8-D1FDD78FC62E}"/>
    <cellStyle name="Normal 4 2 5" xfId="2927" xr:uid="{00000000-0005-0000-0000-0000F8090000}"/>
    <cellStyle name="Normal 4 2 5 2" xfId="3593" xr:uid="{75D513AC-0438-439E-947E-3A232FB62D17}"/>
    <cellStyle name="Normal 4 2 6" xfId="3745" xr:uid="{E02EC266-2917-4909-A1D6-A5AEE57B9CA1}"/>
    <cellStyle name="Normal 4 2 7" xfId="3503" xr:uid="{54C2F3CF-EC95-4622-B841-A093BC8264D4}"/>
    <cellStyle name="Normal 4 2 8" xfId="3790" xr:uid="{43F0FDC5-FE21-4693-838A-FD256A89396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2 2 2" xfId="3670" xr:uid="{C37A1DC2-1B1E-43F9-BA04-FFC4A870E4EC}"/>
    <cellStyle name="Normal 4 3 2 2 3" xfId="3569" xr:uid="{EC50DBB4-976F-4828-A9A5-6E8B94E0007E}"/>
    <cellStyle name="Normal 4 3 2 3" xfId="3448" xr:uid="{00000000-0005-0000-0000-0000010A0000}"/>
    <cellStyle name="Normal 4 3 2 3 2" xfId="3710" xr:uid="{515AD9B0-3205-4F11-AD60-BE9D11F6B80E}"/>
    <cellStyle name="Normal 4 3 2 4" xfId="2948" xr:uid="{00000000-0005-0000-0000-0000FF090000}"/>
    <cellStyle name="Normal 4 3 2 4 2" xfId="3614" xr:uid="{E2D2EA2D-39CD-4AC5-A6F7-E999D19A42A7}"/>
    <cellStyle name="Normal 4 3 2 5" xfId="3766" xr:uid="{95B21821-2AAE-406A-A01C-75DE62DBB488}"/>
    <cellStyle name="Normal 4 3 2 6" xfId="3524" xr:uid="{3BE7DD39-7ADF-4F56-9F1A-C4134734FE73}"/>
    <cellStyle name="Normal 4 3 2 7" xfId="3811" xr:uid="{27CBEF5B-EA11-463C-9C46-124C2C9DB166}"/>
    <cellStyle name="Normal 4 3 3" xfId="2886" xr:uid="{00000000-0005-0000-0000-000033090000}"/>
    <cellStyle name="Normal 4 3 3 2" xfId="2987" xr:uid="{00000000-0005-0000-0000-0000020A0000}"/>
    <cellStyle name="Normal 4 3 3 2 2" xfId="3653" xr:uid="{0F7DABC3-B163-47A9-B3D2-18EF1084CF8E}"/>
    <cellStyle name="Normal 4 3 3 3" xfId="3552" xr:uid="{76F963F2-69C2-44A9-B6EF-5B3997C155CD}"/>
    <cellStyle name="Normal 4 3 4" xfId="3430" xr:uid="{00000000-0005-0000-0000-0000030A0000}"/>
    <cellStyle name="Normal 4 3 4 2" xfId="3693" xr:uid="{41C49674-71D3-4977-8D96-739B8D170683}"/>
    <cellStyle name="Normal 4 3 5" xfId="2931" xr:uid="{00000000-0005-0000-0000-0000FE090000}"/>
    <cellStyle name="Normal 4 3 5 2" xfId="3597" xr:uid="{A9DE07F7-66D7-40A3-B4BD-8D30796E46B9}"/>
    <cellStyle name="Normal 4 3 6" xfId="3749" xr:uid="{DA9B2F2F-E635-4AE0-B561-74152C727E2A}"/>
    <cellStyle name="Normal 4 3 7" xfId="3507" xr:uid="{A41FC6BA-78EC-4AC9-8A59-4A785902B31C}"/>
    <cellStyle name="Normal 4 3 8" xfId="3794" xr:uid="{2D515AD0-6CA9-40D4-AA49-4E76A23C5E2D}"/>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2 2 2" xfId="3673" xr:uid="{C7C26CF9-ED47-431B-868B-AD9D7EBF0DE5}"/>
    <cellStyle name="Normal 4 4 2 2 3" xfId="3572" xr:uid="{BD0F0086-215C-4791-B987-B5652841211D}"/>
    <cellStyle name="Normal 4 4 2 3" xfId="3451" xr:uid="{00000000-0005-0000-0000-0000070A0000}"/>
    <cellStyle name="Normal 4 4 2 3 2" xfId="3713" xr:uid="{86FA2E90-1195-497C-9B7B-1640CF2DB59D}"/>
    <cellStyle name="Normal 4 4 2 4" xfId="2951" xr:uid="{00000000-0005-0000-0000-0000050A0000}"/>
    <cellStyle name="Normal 4 4 2 4 2" xfId="3617" xr:uid="{7D807300-91B4-4412-957C-E6D21C3F895B}"/>
    <cellStyle name="Normal 4 4 2 5" xfId="3769" xr:uid="{A7A5D524-CB14-413E-A2A2-EF21726080CE}"/>
    <cellStyle name="Normal 4 4 2 6" xfId="3527" xr:uid="{8C90A38B-B090-4DDE-AB02-98132F9D1BC8}"/>
    <cellStyle name="Normal 4 4 2 7" xfId="3814" xr:uid="{C5488A51-C67D-41F5-8238-675816B7B0F6}"/>
    <cellStyle name="Normal 4 4 3" xfId="2889" xr:uid="{00000000-0005-0000-0000-000035090000}"/>
    <cellStyle name="Normal 4 4 3 2" xfId="2990" xr:uid="{00000000-0005-0000-0000-0000080A0000}"/>
    <cellStyle name="Normal 4 4 3 2 2" xfId="3656" xr:uid="{58490005-158E-46BA-A706-8AE2A4150E2E}"/>
    <cellStyle name="Normal 4 4 3 3" xfId="3555" xr:uid="{B8EFB945-C057-44CE-9813-164AA542EB25}"/>
    <cellStyle name="Normal 4 4 4" xfId="3433" xr:uid="{00000000-0005-0000-0000-0000090A0000}"/>
    <cellStyle name="Normal 4 4 4 2" xfId="3696" xr:uid="{A5E9596E-3C20-4490-9CF2-96870E4B1EF6}"/>
    <cellStyle name="Normal 4 4 5" xfId="2934" xr:uid="{00000000-0005-0000-0000-0000040A0000}"/>
    <cellStyle name="Normal 4 4 5 2" xfId="3600" xr:uid="{19AD8D29-4FEC-4A3A-8F6D-920189422C1E}"/>
    <cellStyle name="Normal 4 4 6" xfId="3752" xr:uid="{9E815DB8-11CA-4A43-BF7B-09DB40F3640D}"/>
    <cellStyle name="Normal 4 4 7" xfId="3510" xr:uid="{6DCF248A-0645-4F00-82AC-EB0C0281D72E}"/>
    <cellStyle name="Normal 4 4 8" xfId="3797" xr:uid="{5663C8C5-61F9-4E50-9170-AA0E05B64C4C}"/>
    <cellStyle name="Normal 4 5" xfId="219" xr:uid="{00000000-0005-0000-0000-000037090000}"/>
    <cellStyle name="Normal 4 5 2" xfId="2879" xr:uid="{00000000-0005-0000-0000-000037090000}"/>
    <cellStyle name="Normal 4 5 2 2" xfId="2973" xr:uid="{00000000-0005-0000-0000-00000B0A0000}"/>
    <cellStyle name="Normal 4 5 2 2 2" xfId="3639" xr:uid="{2670500C-2CBF-4EC4-AAE2-3F10349D6E0B}"/>
    <cellStyle name="Normal 4 5 2 3" xfId="3545" xr:uid="{BD3B81DB-7ACB-43B8-9992-C4AD63601174}"/>
    <cellStyle name="Normal 4 5 3" xfId="3034" xr:uid="{00000000-0005-0000-0000-00000C0A0000}"/>
    <cellStyle name="Normal 4 5 3 2" xfId="3686" xr:uid="{11461DA6-0A3C-4043-B39F-D1B18A4881CF}"/>
    <cellStyle name="Normal 4 5 4" xfId="2924" xr:uid="{00000000-0005-0000-0000-00000A0A0000}"/>
    <cellStyle name="Normal 4 5 4 2" xfId="3590" xr:uid="{84ECC031-96F3-4BCC-BF7A-DD145AFBD620}"/>
    <cellStyle name="Normal 4 5 5" xfId="3742" xr:uid="{DE76791E-8A27-44EF-B78F-2B07063D2E2F}"/>
    <cellStyle name="Normal 4 5 6" xfId="3500" xr:uid="{E6EABB9A-5D1B-4628-B0F8-83DC0FBE57E7}"/>
    <cellStyle name="Normal 4 5 7" xfId="3787" xr:uid="{F21934DC-90CE-4EA2-8F5C-56CC81138998}"/>
    <cellStyle name="Normal 4 6" xfId="2849" xr:uid="{00000000-0005-0000-0000-000038090000}"/>
    <cellStyle name="Normal 4 6 2" xfId="2896" xr:uid="{00000000-0005-0000-0000-000038090000}"/>
    <cellStyle name="Normal 4 6 2 2" xfId="2997" xr:uid="{00000000-0005-0000-0000-00000E0A0000}"/>
    <cellStyle name="Normal 4 6 2 2 2" xfId="3663" xr:uid="{A4187265-74A3-4588-99F4-CE23300396C2}"/>
    <cellStyle name="Normal 4 6 2 3" xfId="3562" xr:uid="{B2218248-9C7D-4305-93E3-47BE0B18522E}"/>
    <cellStyle name="Normal 4 6 3" xfId="3441" xr:uid="{00000000-0005-0000-0000-00000F0A0000}"/>
    <cellStyle name="Normal 4 6 3 2" xfId="3703" xr:uid="{CF753A64-98F3-49B1-9866-4519CEF43B2D}"/>
    <cellStyle name="Normal 4 6 4" xfId="2941" xr:uid="{00000000-0005-0000-0000-00000D0A0000}"/>
    <cellStyle name="Normal 4 6 4 2" xfId="3607" xr:uid="{61F30236-4CBD-41CA-BB11-864C3C4233E0}"/>
    <cellStyle name="Normal 4 6 5" xfId="3759" xr:uid="{7B95647D-D8CF-4A01-BB31-51F20F6D0008}"/>
    <cellStyle name="Normal 4 6 6" xfId="3517" xr:uid="{25100071-98A3-40C1-BD9D-55574687495F}"/>
    <cellStyle name="Normal 4 6 7" xfId="3804" xr:uid="{7466CFA7-FB50-4197-879D-C7DBBE9DF083}"/>
    <cellStyle name="Normal 4 7" xfId="2864" xr:uid="{00000000-0005-0000-0000-000039090000}"/>
    <cellStyle name="Normal 4 8" xfId="26" xr:uid="{00000000-0005-0000-0000-00003A090000}"/>
    <cellStyle name="Normal 4 8 2" xfId="2872" xr:uid="{00000000-0005-0000-0000-00003A090000}"/>
    <cellStyle name="Normal 4 8 2 2" xfId="3538" xr:uid="{DAE63AF5-60DB-4B89-8E4D-A7562E455ED3}"/>
    <cellStyle name="Normal 4 8 3" xfId="2917" xr:uid="{00000000-0005-0000-0000-0000110A0000}"/>
    <cellStyle name="Normal 4 8 3 2" xfId="3583" xr:uid="{B2C27380-D658-4AE2-83AC-6162C5A5D005}"/>
    <cellStyle name="Normal 4 8 4" xfId="3735" xr:uid="{E80FD6C3-9C3D-4CA3-B9FD-A7C8649749F4}"/>
    <cellStyle name="Normal 4 8 5" xfId="3493" xr:uid="{CA086B75-3E3D-4A11-BF5E-5830A9F5C0B8}"/>
    <cellStyle name="Normal 4 8 6" xfId="3780" xr:uid="{CFF547F4-E27B-416F-91E5-D1AA1F7280FB}"/>
    <cellStyle name="Normal 4 9" xfId="21" xr:uid="{00000000-0005-0000-0000-000030090000}"/>
    <cellStyle name="Normal 4 9 2" xfId="2957" xr:uid="{00000000-0005-0000-0000-0000120A0000}"/>
    <cellStyle name="Normal 4 9 2 2" xfId="3623" xr:uid="{66E6969D-9F1B-470D-941F-9B5F6B24CE37}"/>
    <cellStyle name="Normal 4 9 3" xfId="3488" xr:uid="{921164A3-6D7F-4326-9C5A-7E1DB114E7F9}"/>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4 2 2" xfId="3723" xr:uid="{DB198F8F-CCCC-4F45-8C55-27BC576E36DF}"/>
    <cellStyle name="Normal 5 4 3" xfId="3489" xr:uid="{904AB571-DAB6-4198-BC43-85636FC50F27}"/>
    <cellStyle name="Normal 5 5" xfId="2868" xr:uid="{00000000-0005-0000-0000-00003B090000}"/>
    <cellStyle name="Normal 5 5 2" xfId="3534" xr:uid="{D2A0DF7C-AB4B-4DEA-A8D0-C1814A3FAB66}"/>
    <cellStyle name="Normal 5 6" xfId="2913" xr:uid="{00000000-0005-0000-0000-0000130A0000}"/>
    <cellStyle name="Normal 5 6 2" xfId="3579" xr:uid="{4452EF8E-AC19-47EE-9B4A-1AC9FA47B5B1}"/>
    <cellStyle name="Normal 5 7" xfId="3731" xr:uid="{20074174-8A34-4B3F-B303-676C09A81619}"/>
    <cellStyle name="Normal 5 8" xfId="3484" xr:uid="{DD3D55F8-708E-433E-A4EA-C0A9E80E71A7}"/>
    <cellStyle name="Normal 5 9" xfId="3774" xr:uid="{EB7100E2-CA63-4245-B149-ECE7C0F55DD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3 2 2" xfId="3674" xr:uid="{260CC0B6-ED23-4AA8-A1A8-8B7C8B303758}"/>
    <cellStyle name="Normal 7 3 3" xfId="3573" xr:uid="{FCBBFB41-4C89-4BB2-88E5-507E9FDB8C00}"/>
    <cellStyle name="Normal 7 4" xfId="3452" xr:uid="{00000000-0005-0000-0000-00001B0A0000}"/>
    <cellStyle name="Normal 7 4 2" xfId="3714" xr:uid="{D8F1C16D-5A72-43EE-AC08-8014D0D7CB81}"/>
    <cellStyle name="Normal 7 5" xfId="2952" xr:uid="{00000000-0005-0000-0000-0000180A0000}"/>
    <cellStyle name="Normal 7 5 2" xfId="3618" xr:uid="{ACACF6C2-1373-48B8-91EB-82B111384294}"/>
    <cellStyle name="Normal 7 6" xfId="3770" xr:uid="{BD218C51-DDB5-4959-8027-DF7CAE931B47}"/>
    <cellStyle name="Normal 7 7" xfId="3528" xr:uid="{58F8885B-9E34-4943-99D1-A04697FB25D0}"/>
    <cellStyle name="Normal 7 8" xfId="3815" xr:uid="{8C29B3EA-B327-4E87-AAF8-2694C400656B}"/>
    <cellStyle name="Normal 8" xfId="3473" xr:uid="{00000000-0005-0000-0000-00001C0A0000}"/>
    <cellStyle name="Normal 8 2" xfId="2263" xr:uid="{00000000-0005-0000-0000-000042090000}"/>
    <cellStyle name="Normal 8 3" xfId="3726" xr:uid="{0871E098-171B-4D1E-BB69-B56A5B34AC59}"/>
    <cellStyle name="Normal 8 4" xfId="3717" xr:uid="{561F006A-4881-4D9B-8F9E-777E61DBD94E}"/>
    <cellStyle name="Normal 9" xfId="3725" xr:uid="{AE6E746F-E857-4168-809B-537B29CC6CAB}"/>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428625</xdr:colOff>
          <xdr:row>4</xdr:row>
          <xdr:rowOff>57150</xdr:rowOff>
        </xdr:from>
        <xdr:to>
          <xdr:col>1</xdr:col>
          <xdr:colOff>1343025</xdr:colOff>
          <xdr:row>9</xdr:row>
          <xdr:rowOff>19050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39997558519241921"/>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70" t="s">
        <v>405</v>
      </c>
      <c r="J1" s="2071"/>
      <c r="K1" s="2071"/>
      <c r="L1" s="2071"/>
      <c r="M1" s="2071"/>
      <c r="N1" s="2071"/>
      <c r="O1" s="2071"/>
      <c r="P1" s="2071"/>
      <c r="Q1" s="2071"/>
      <c r="R1" s="2071"/>
      <c r="S1" s="2071"/>
    </row>
    <row r="2" spans="1:28" ht="12" customHeight="1" x14ac:dyDescent="0.2">
      <c r="A2" s="47" t="s">
        <v>1990</v>
      </c>
      <c r="D2" s="48"/>
      <c r="I2" s="2072" t="s">
        <v>979</v>
      </c>
      <c r="J2" s="2071"/>
      <c r="K2" s="2071"/>
      <c r="L2" s="2071"/>
      <c r="M2" s="2071"/>
      <c r="N2" s="2071"/>
      <c r="O2" s="2071"/>
      <c r="P2" s="2071"/>
      <c r="Q2" s="2071"/>
      <c r="R2" s="2071"/>
      <c r="S2" s="2071"/>
    </row>
    <row r="3" spans="1:28" ht="12" customHeight="1" x14ac:dyDescent="0.2">
      <c r="A3" s="155" t="s">
        <v>1942</v>
      </c>
      <c r="B3" s="156"/>
      <c r="C3" s="156"/>
      <c r="D3" s="157"/>
      <c r="I3" s="2072" t="s">
        <v>52</v>
      </c>
      <c r="J3" s="2071"/>
      <c r="K3" s="2071"/>
      <c r="L3" s="2071"/>
      <c r="M3" s="2071"/>
      <c r="N3" s="2071"/>
      <c r="O3" s="2071"/>
      <c r="P3" s="2071"/>
      <c r="Q3" s="2071"/>
      <c r="R3" s="2071"/>
      <c r="S3" s="2071"/>
    </row>
    <row r="4" spans="1:28" ht="12" customHeight="1" x14ac:dyDescent="0.2">
      <c r="A4" s="37"/>
      <c r="I4" s="2072" t="s">
        <v>524</v>
      </c>
      <c r="J4" s="2071"/>
      <c r="K4" s="2071"/>
      <c r="L4" s="2071"/>
      <c r="M4" s="2071"/>
      <c r="N4" s="2071"/>
      <c r="O4" s="2071"/>
      <c r="P4" s="2071"/>
      <c r="Q4" s="2071"/>
      <c r="R4" s="2071"/>
      <c r="S4" s="2071"/>
    </row>
    <row r="5" spans="1:28" ht="14.1" customHeight="1" x14ac:dyDescent="0.2">
      <c r="B5" s="104"/>
      <c r="C5" s="26" t="s">
        <v>910</v>
      </c>
      <c r="D5" s="84"/>
      <c r="E5" s="84"/>
      <c r="H5" s="38"/>
      <c r="I5" s="2080" t="s">
        <v>680</v>
      </c>
      <c r="J5" s="2079"/>
      <c r="K5" s="2079"/>
      <c r="L5" s="2079"/>
      <c r="M5" s="2079"/>
      <c r="N5" s="2079"/>
      <c r="O5" s="2079"/>
      <c r="P5" s="2079"/>
      <c r="Q5" s="2079"/>
      <c r="R5" s="2079"/>
      <c r="S5" s="2079"/>
    </row>
    <row r="6" spans="1:28" ht="14.1" customHeight="1" x14ac:dyDescent="0.2">
      <c r="B6" s="104" t="s">
        <v>2095</v>
      </c>
      <c r="C6" s="26" t="s">
        <v>911</v>
      </c>
      <c r="D6" s="84"/>
      <c r="E6" s="84"/>
      <c r="I6" s="2078" t="s">
        <v>883</v>
      </c>
      <c r="J6" s="2079"/>
      <c r="K6" s="2079"/>
      <c r="L6" s="2079"/>
      <c r="M6" s="2079"/>
      <c r="N6" s="2079"/>
      <c r="O6" s="2079"/>
      <c r="P6" s="2079"/>
      <c r="Q6" s="2079"/>
      <c r="R6" s="2079"/>
      <c r="S6" s="2079"/>
    </row>
    <row r="7" spans="1:28" ht="12.2" customHeight="1" x14ac:dyDescent="0.2">
      <c r="I7" s="2073">
        <v>43646</v>
      </c>
      <c r="J7" s="2074"/>
      <c r="K7" s="2074"/>
      <c r="L7" s="2074"/>
      <c r="M7" s="2074"/>
      <c r="N7" s="2074"/>
      <c r="O7" s="2074"/>
      <c r="P7" s="2074"/>
      <c r="Q7" s="2074"/>
      <c r="R7" s="2074"/>
      <c r="S7" s="207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5" t="s">
        <v>674</v>
      </c>
      <c r="J9" s="2076"/>
      <c r="K9" s="2076"/>
      <c r="L9" s="2076"/>
      <c r="M9" s="2076"/>
      <c r="N9" s="2076"/>
      <c r="O9" s="2076"/>
      <c r="P9" s="2076"/>
      <c r="Q9" s="2076"/>
      <c r="R9" s="2076"/>
      <c r="S9" s="2077"/>
      <c r="T9" s="2091" t="s">
        <v>533</v>
      </c>
      <c r="U9" s="2092"/>
      <c r="V9" s="2092"/>
      <c r="W9" s="2092"/>
      <c r="X9" s="2092"/>
      <c r="Y9" s="2092"/>
      <c r="Z9" s="2092"/>
      <c r="AA9" s="2093"/>
    </row>
    <row r="10" spans="1:28" ht="13.5" customHeight="1" x14ac:dyDescent="0.2">
      <c r="A10" s="2098" t="s">
        <v>675</v>
      </c>
      <c r="B10" s="2099"/>
      <c r="C10" s="2099"/>
      <c r="D10" s="2099"/>
      <c r="E10" s="2099"/>
      <c r="F10" s="2099"/>
      <c r="G10" s="2099"/>
      <c r="H10" s="2100"/>
      <c r="I10" s="29"/>
      <c r="J10" s="30"/>
      <c r="K10" s="28"/>
      <c r="R10" s="30"/>
      <c r="S10" s="30"/>
      <c r="T10" s="2094"/>
      <c r="U10" s="2079"/>
      <c r="V10" s="2079"/>
      <c r="W10" s="2079"/>
      <c r="X10" s="2079"/>
      <c r="Y10" s="2079"/>
      <c r="Z10" s="2079"/>
      <c r="AA10" s="2085"/>
    </row>
    <row r="11" spans="1:28" ht="14.25" customHeight="1" x14ac:dyDescent="0.2">
      <c r="A11" s="2101" t="s">
        <v>955</v>
      </c>
      <c r="B11" s="2102"/>
      <c r="C11" s="2102"/>
      <c r="D11" s="2102"/>
      <c r="E11" s="2102"/>
      <c r="F11" s="2102"/>
      <c r="G11" s="2102"/>
      <c r="H11" s="2103"/>
      <c r="I11" s="27"/>
      <c r="J11" s="74"/>
      <c r="K11" s="27"/>
      <c r="O11" s="148"/>
      <c r="P11" s="100" t="s">
        <v>201</v>
      </c>
      <c r="Q11" s="30"/>
      <c r="R11" s="28"/>
      <c r="S11" s="27"/>
      <c r="T11" s="2095"/>
      <c r="U11" s="2096"/>
      <c r="V11" s="2096"/>
      <c r="W11" s="2096"/>
      <c r="X11" s="2096"/>
      <c r="Y11" s="2096"/>
      <c r="Z11" s="2096"/>
      <c r="AA11" s="2097"/>
    </row>
    <row r="12" spans="1:28" ht="13.5" customHeight="1" x14ac:dyDescent="0.2">
      <c r="A12" s="85" t="s">
        <v>925</v>
      </c>
      <c r="B12" s="76"/>
      <c r="C12" s="76"/>
      <c r="D12" s="76"/>
      <c r="E12" s="76"/>
      <c r="F12" s="76"/>
      <c r="G12" s="76"/>
      <c r="H12" s="53"/>
      <c r="I12" s="29"/>
      <c r="J12" s="30"/>
      <c r="K12" s="28"/>
      <c r="O12" s="149" t="s">
        <v>2095</v>
      </c>
      <c r="P12" s="100" t="s">
        <v>202</v>
      </c>
      <c r="Q12" s="74"/>
      <c r="R12" s="30"/>
      <c r="S12" s="30"/>
      <c r="T12" s="85" t="s">
        <v>265</v>
      </c>
      <c r="U12" s="51"/>
      <c r="V12" s="51"/>
      <c r="W12" s="51"/>
      <c r="X12" s="51"/>
      <c r="Y12" s="45"/>
      <c r="Z12" s="45"/>
      <c r="AA12" s="46"/>
    </row>
    <row r="13" spans="1:28" ht="13.5" customHeight="1" x14ac:dyDescent="0.2">
      <c r="A13" s="2105">
        <v>5016805060</v>
      </c>
      <c r="B13" s="2106"/>
      <c r="C13" s="2106"/>
      <c r="D13" s="2106"/>
      <c r="E13" s="2106"/>
      <c r="F13" s="2106"/>
      <c r="G13" s="2106"/>
      <c r="H13" s="2107"/>
      <c r="I13" s="31"/>
      <c r="J13" s="30"/>
      <c r="K13" s="28"/>
      <c r="L13" s="30"/>
      <c r="M13" s="30"/>
      <c r="N13" s="30"/>
      <c r="O13" s="30"/>
      <c r="P13" s="30"/>
      <c r="Q13" s="30"/>
      <c r="R13" s="30"/>
      <c r="S13" s="30"/>
      <c r="T13" s="2110" t="s">
        <v>2061</v>
      </c>
      <c r="U13" s="2111"/>
      <c r="V13" s="2111"/>
      <c r="W13" s="2111"/>
      <c r="X13" s="2111"/>
      <c r="Y13" s="2112"/>
      <c r="Z13" s="2112"/>
      <c r="AA13" s="211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04" t="s">
        <v>2096</v>
      </c>
      <c r="B15" s="2108"/>
      <c r="C15" s="2108"/>
      <c r="D15" s="2108"/>
      <c r="E15" s="2108"/>
      <c r="F15" s="2108"/>
      <c r="G15" s="2108"/>
      <c r="H15" s="2109"/>
      <c r="T15" s="2114" t="s">
        <v>2102</v>
      </c>
      <c r="U15" s="2058"/>
      <c r="V15" s="2058"/>
      <c r="W15" s="2058"/>
      <c r="X15" s="2058"/>
      <c r="Y15" s="2115"/>
      <c r="Z15" s="2115"/>
      <c r="AA15" s="211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64" t="s">
        <v>2180</v>
      </c>
      <c r="B17" s="2065"/>
      <c r="C17" s="2065"/>
      <c r="D17" s="2065"/>
      <c r="E17" s="2065"/>
      <c r="F17" s="2065"/>
      <c r="G17" s="2065"/>
      <c r="H17" s="2090"/>
      <c r="T17" s="2121" t="s">
        <v>2062</v>
      </c>
      <c r="U17" s="2122"/>
      <c r="V17" s="2122"/>
      <c r="W17" s="2122"/>
      <c r="X17" s="2122"/>
      <c r="Y17" s="2122"/>
      <c r="Z17" s="2122"/>
      <c r="AA17" s="2123"/>
    </row>
    <row r="18" spans="1:27" ht="13.5" customHeight="1" x14ac:dyDescent="0.2">
      <c r="A18" s="85" t="s">
        <v>530</v>
      </c>
      <c r="B18" s="76"/>
      <c r="C18" s="72"/>
      <c r="D18" s="76"/>
      <c r="E18" s="76"/>
      <c r="F18" s="76"/>
      <c r="G18" s="76"/>
      <c r="H18" s="56"/>
      <c r="I18" s="2089" t="s">
        <v>676</v>
      </c>
      <c r="J18" s="2040"/>
      <c r="K18" s="2040"/>
      <c r="L18" s="2040"/>
      <c r="M18" s="2040"/>
      <c r="N18" s="2040"/>
      <c r="O18" s="2040"/>
      <c r="P18" s="2040"/>
      <c r="Q18" s="2040"/>
      <c r="R18" s="2040"/>
      <c r="S18" s="2041"/>
      <c r="T18" s="85" t="s">
        <v>711</v>
      </c>
      <c r="U18" s="51"/>
      <c r="V18" s="72"/>
      <c r="W18" s="50"/>
      <c r="X18" s="85" t="s">
        <v>266</v>
      </c>
      <c r="Y18" s="81"/>
      <c r="Z18" s="159" t="s">
        <v>677</v>
      </c>
      <c r="AA18" s="46"/>
    </row>
    <row r="19" spans="1:27" ht="13.5" customHeight="1" x14ac:dyDescent="0.2">
      <c r="A19" s="2104" t="s">
        <v>2097</v>
      </c>
      <c r="B19" s="2050"/>
      <c r="C19" s="2050"/>
      <c r="D19" s="2050"/>
      <c r="E19" s="2050"/>
      <c r="F19" s="2050"/>
      <c r="G19" s="2050"/>
      <c r="H19" s="2030"/>
      <c r="I19" s="30"/>
      <c r="J19" s="99"/>
      <c r="K19" s="40"/>
      <c r="L19" s="38"/>
      <c r="M19" s="112" t="s">
        <v>315</v>
      </c>
      <c r="P19" s="27"/>
      <c r="Q19" s="27"/>
      <c r="R19" s="27"/>
      <c r="S19" s="31"/>
      <c r="T19" s="2104" t="s">
        <v>2063</v>
      </c>
      <c r="U19" s="2029"/>
      <c r="V19" s="2029"/>
      <c r="W19" s="2030"/>
      <c r="X19" s="2119" t="s">
        <v>2064</v>
      </c>
      <c r="Y19" s="2120"/>
      <c r="Z19" s="2117">
        <v>60050</v>
      </c>
      <c r="AA19" s="211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8" t="s">
        <v>2098</v>
      </c>
      <c r="B21" s="2029"/>
      <c r="C21" s="2029"/>
      <c r="D21" s="2029"/>
      <c r="E21" s="2029"/>
      <c r="F21" s="2029"/>
      <c r="G21" s="2029"/>
      <c r="H21" s="2030"/>
      <c r="I21" s="2084" t="s">
        <v>678</v>
      </c>
      <c r="J21" s="2079"/>
      <c r="K21" s="2079"/>
      <c r="L21" s="2079"/>
      <c r="M21" s="2079"/>
      <c r="N21" s="2079"/>
      <c r="O21" s="2079"/>
      <c r="P21" s="2079"/>
      <c r="Q21" s="2079"/>
      <c r="R21" s="2079"/>
      <c r="S21" s="2085"/>
      <c r="T21" s="2128" t="s">
        <v>2065</v>
      </c>
      <c r="U21" s="2129"/>
      <c r="V21" s="2129"/>
      <c r="W21" s="2129"/>
      <c r="X21" s="2134" t="s">
        <v>2066</v>
      </c>
      <c r="Y21" s="2135"/>
      <c r="Z21" s="2135"/>
      <c r="AA21" s="2136"/>
    </row>
    <row r="22" spans="1:27" ht="13.5" customHeight="1" x14ac:dyDescent="0.2">
      <c r="A22" s="87" t="s">
        <v>531</v>
      </c>
      <c r="B22" s="59"/>
      <c r="C22" s="59"/>
      <c r="D22" s="59"/>
      <c r="E22" s="59"/>
      <c r="F22" s="59"/>
      <c r="G22" s="59"/>
      <c r="H22" s="60"/>
      <c r="I22" s="2086" t="s">
        <v>1429</v>
      </c>
      <c r="J22" s="2087"/>
      <c r="K22" s="2087"/>
      <c r="L22" s="2087"/>
      <c r="M22" s="2087"/>
      <c r="N22" s="2087"/>
      <c r="O22" s="2087"/>
      <c r="P22" s="2087"/>
      <c r="Q22" s="2087"/>
      <c r="R22" s="2087"/>
      <c r="S22" s="2088"/>
      <c r="T22" s="85" t="s">
        <v>1516</v>
      </c>
      <c r="U22" s="51"/>
      <c r="V22" s="72"/>
      <c r="W22" s="51"/>
      <c r="X22" s="160" t="s">
        <v>1318</v>
      </c>
      <c r="Z22" s="45"/>
      <c r="AA22" s="46"/>
    </row>
    <row r="23" spans="1:27" ht="13.5" customHeight="1" x14ac:dyDescent="0.2">
      <c r="A23" s="2081" t="s">
        <v>2099</v>
      </c>
      <c r="B23" s="2082"/>
      <c r="C23" s="2082"/>
      <c r="D23" s="2082"/>
      <c r="E23" s="2082"/>
      <c r="F23" s="2082"/>
      <c r="G23" s="2082"/>
      <c r="H23" s="2083"/>
      <c r="T23" s="2064" t="s">
        <v>2067</v>
      </c>
      <c r="U23" s="2127"/>
      <c r="V23" s="2127"/>
      <c r="W23" s="2127"/>
      <c r="X23" s="2131">
        <v>44530</v>
      </c>
      <c r="Y23" s="2132"/>
      <c r="Z23" s="2132"/>
      <c r="AA23" s="2133"/>
    </row>
    <row r="24" spans="1:27" ht="14.1" customHeight="1" x14ac:dyDescent="0.2">
      <c r="A24" s="88" t="s">
        <v>677</v>
      </c>
      <c r="B24" s="49"/>
      <c r="C24" s="49"/>
      <c r="D24" s="49"/>
      <c r="E24" s="49"/>
      <c r="F24" s="49"/>
      <c r="G24" s="49"/>
      <c r="H24" s="61"/>
      <c r="J24" s="2051" t="str">
        <f>IF(B5="x",IF(AUDITCHECK!D29="AFR form Incomplete.","",IF(AUDITCHECK!D29="Deficit reduction plan is required.","School District must complete a deficit reduction plan in the 2019-2020 Budget",)),"")</f>
        <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2028" t="s">
        <v>2100</v>
      </c>
      <c r="B25" s="2029"/>
      <c r="C25" s="2029"/>
      <c r="D25" s="2029"/>
      <c r="E25" s="2029"/>
      <c r="F25" s="2029"/>
      <c r="G25" s="2029"/>
      <c r="H25" s="2030"/>
      <c r="I25" s="113"/>
      <c r="J25" s="2053"/>
      <c r="K25" s="2053"/>
      <c r="L25" s="2053"/>
      <c r="M25" s="2053"/>
      <c r="N25" s="2053"/>
      <c r="O25" s="2053"/>
      <c r="P25" s="2053"/>
      <c r="Q25" s="2053"/>
      <c r="R25" s="2053"/>
      <c r="S25" s="2054"/>
      <c r="T25" s="2124" t="s">
        <v>2068</v>
      </c>
      <c r="U25" s="2125"/>
      <c r="V25" s="2125"/>
      <c r="W25" s="2125"/>
      <c r="X25" s="2125"/>
      <c r="Y25" s="2125"/>
      <c r="Z25" s="2125"/>
      <c r="AA25" s="21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40"/>
      <c r="K27" s="2040"/>
      <c r="L27" s="2040"/>
      <c r="M27" s="2040"/>
      <c r="N27" s="2040"/>
      <c r="O27" s="2040"/>
      <c r="P27" s="2040"/>
      <c r="Q27" s="2040"/>
      <c r="R27" s="2040"/>
      <c r="S27" s="204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2101</v>
      </c>
      <c r="F29" s="141" t="s">
        <v>1316</v>
      </c>
      <c r="G29" s="114"/>
      <c r="I29" s="54"/>
      <c r="J29" s="148" t="s">
        <v>2101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2101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2101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0"/>
      <c r="Q35" s="2029"/>
      <c r="R35" s="202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64"/>
      <c r="B38" s="2065"/>
      <c r="C38" s="2065"/>
      <c r="D38" s="2065"/>
      <c r="E38" s="2065"/>
      <c r="F38" s="2029"/>
      <c r="G38" s="2029"/>
      <c r="H38" s="2030"/>
      <c r="I38" s="2057"/>
      <c r="J38" s="2058"/>
      <c r="K38" s="2058"/>
      <c r="L38" s="2058"/>
      <c r="M38" s="2058"/>
      <c r="N38" s="2058"/>
      <c r="O38" s="2058"/>
      <c r="P38" s="2059"/>
      <c r="Q38" s="2059"/>
      <c r="R38" s="2059"/>
      <c r="S38" s="2060"/>
      <c r="T38" s="2114"/>
      <c r="U38" s="2058"/>
      <c r="V38" s="2058"/>
      <c r="W38" s="2058"/>
      <c r="X38" s="2059"/>
      <c r="Y38" s="2059"/>
      <c r="Z38" s="2059"/>
      <c r="AA38" s="2060"/>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42"/>
      <c r="B40" s="2043"/>
      <c r="C40" s="2044"/>
      <c r="D40" s="2044"/>
      <c r="E40" s="2044"/>
      <c r="F40" s="2045"/>
      <c r="G40" s="2045"/>
      <c r="H40" s="2046"/>
      <c r="I40" s="2067"/>
      <c r="J40" s="2068"/>
      <c r="K40" s="2068"/>
      <c r="L40" s="2068"/>
      <c r="M40" s="2068"/>
      <c r="N40" s="2068"/>
      <c r="O40" s="2068"/>
      <c r="P40" s="2068"/>
      <c r="Q40" s="2068"/>
      <c r="R40" s="2068"/>
      <c r="S40" s="2069"/>
      <c r="T40" s="2067"/>
      <c r="U40" s="2130"/>
      <c r="V40" s="2068"/>
      <c r="W40" s="2068"/>
      <c r="X40" s="2068"/>
      <c r="Y40" s="2068"/>
      <c r="Z40" s="2068"/>
      <c r="AA40" s="206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6"/>
      <c r="B42" s="2048"/>
      <c r="C42" s="2049"/>
      <c r="D42" s="2047"/>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39997558519241921"/>
  </sheetPr>
  <dimension ref="A1:F36"/>
  <sheetViews>
    <sheetView showGridLines="0" defaultGridColor="0" view="pageBreakPreview" colorId="8" zoomScaleNormal="110" zoomScaleSheetLayoutView="100" workbookViewId="0">
      <selection activeCell="H171" sqref="H171"/>
    </sheetView>
  </sheetViews>
  <sheetFormatPr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4" t="s">
        <v>104</v>
      </c>
    </row>
    <row r="2" spans="1:6" ht="39.75" customHeight="1" x14ac:dyDescent="0.2">
      <c r="A2" s="2270" t="s">
        <v>1799</v>
      </c>
      <c r="B2" s="1499" t="s">
        <v>1948</v>
      </c>
      <c r="C2" s="687" t="s">
        <v>1949</v>
      </c>
      <c r="D2" s="687" t="s">
        <v>1950</v>
      </c>
      <c r="E2" s="687" t="s">
        <v>1951</v>
      </c>
      <c r="F2" s="687" t="s">
        <v>1952</v>
      </c>
    </row>
    <row r="3" spans="1:6" ht="12" customHeight="1" x14ac:dyDescent="0.2">
      <c r="A3" s="2271"/>
      <c r="B3" s="1496"/>
      <c r="C3" s="1497"/>
      <c r="D3" s="1498" t="s">
        <v>256</v>
      </c>
      <c r="E3" s="1497"/>
      <c r="F3" s="1498" t="s">
        <v>257</v>
      </c>
    </row>
    <row r="4" spans="1:6" ht="13.7" customHeight="1" x14ac:dyDescent="0.2">
      <c r="A4" s="688" t="s">
        <v>1155</v>
      </c>
      <c r="B4" s="1720">
        <f>'Revenues 9-14'!C5</f>
        <v>0</v>
      </c>
      <c r="C4" s="1495"/>
      <c r="D4" s="1723">
        <f>B4-C4</f>
        <v>0</v>
      </c>
      <c r="E4" s="1495"/>
      <c r="F4" s="1723">
        <f>E4-C4</f>
        <v>0</v>
      </c>
    </row>
    <row r="5" spans="1:6" ht="13.7" customHeight="1" x14ac:dyDescent="0.2">
      <c r="A5" s="688" t="s">
        <v>870</v>
      </c>
      <c r="B5" s="1721">
        <f>'Revenues 9-14'!D5</f>
        <v>0</v>
      </c>
      <c r="C5" s="565"/>
      <c r="D5" s="1724">
        <f t="shared" ref="D5:D18" si="0">B5-C5</f>
        <v>0</v>
      </c>
      <c r="E5" s="565"/>
      <c r="F5" s="1724">
        <f>E5-C5</f>
        <v>0</v>
      </c>
    </row>
    <row r="6" spans="1:6" ht="13.7" customHeight="1" x14ac:dyDescent="0.2">
      <c r="A6" s="688" t="s">
        <v>411</v>
      </c>
      <c r="B6" s="1721">
        <f>'Revenues 9-14'!E5</f>
        <v>0</v>
      </c>
      <c r="C6" s="565"/>
      <c r="D6" s="1724">
        <f t="shared" si="0"/>
        <v>0</v>
      </c>
      <c r="E6" s="565"/>
      <c r="F6" s="1724">
        <f t="shared" ref="F6:F18" si="1">E6-C6</f>
        <v>0</v>
      </c>
    </row>
    <row r="7" spans="1:6" ht="13.7" customHeight="1" x14ac:dyDescent="0.2">
      <c r="A7" s="688" t="s">
        <v>155</v>
      </c>
      <c r="B7" s="1721">
        <f>'Revenues 9-14'!F5</f>
        <v>0</v>
      </c>
      <c r="C7" s="565"/>
      <c r="D7" s="1724">
        <f t="shared" si="0"/>
        <v>0</v>
      </c>
      <c r="E7" s="565"/>
      <c r="F7" s="1724">
        <f t="shared" si="1"/>
        <v>0</v>
      </c>
    </row>
    <row r="8" spans="1:6" ht="13.7" customHeight="1" x14ac:dyDescent="0.2">
      <c r="A8" s="688" t="s">
        <v>1179</v>
      </c>
      <c r="B8" s="1721">
        <f>'Revenues 9-14'!G5</f>
        <v>0</v>
      </c>
      <c r="C8" s="565"/>
      <c r="D8" s="1724">
        <f t="shared" si="0"/>
        <v>0</v>
      </c>
      <c r="E8" s="565"/>
      <c r="F8" s="1724">
        <f t="shared" si="1"/>
        <v>0</v>
      </c>
    </row>
    <row r="9" spans="1:6" ht="13.7" customHeight="1" x14ac:dyDescent="0.2">
      <c r="A9" s="688" t="s">
        <v>408</v>
      </c>
      <c r="B9" s="1721">
        <f>'Revenues 9-14'!H5</f>
        <v>0</v>
      </c>
      <c r="C9" s="565"/>
      <c r="D9" s="1724">
        <f t="shared" si="0"/>
        <v>0</v>
      </c>
      <c r="E9" s="565"/>
      <c r="F9" s="1724">
        <f t="shared" si="1"/>
        <v>0</v>
      </c>
    </row>
    <row r="10" spans="1:6" ht="13.7" customHeight="1" x14ac:dyDescent="0.2">
      <c r="A10" s="688" t="s">
        <v>407</v>
      </c>
      <c r="B10" s="1721">
        <f>'Revenues 9-14'!I5</f>
        <v>0</v>
      </c>
      <c r="C10" s="565"/>
      <c r="D10" s="1724">
        <f t="shared" si="0"/>
        <v>0</v>
      </c>
      <c r="E10" s="565"/>
      <c r="F10" s="1724">
        <f t="shared" si="1"/>
        <v>0</v>
      </c>
    </row>
    <row r="11" spans="1:6" x14ac:dyDescent="0.2">
      <c r="A11" s="688" t="s">
        <v>409</v>
      </c>
      <c r="B11" s="1721">
        <f>'Revenues 9-14'!J5</f>
        <v>0</v>
      </c>
      <c r="C11" s="565"/>
      <c r="D11" s="1724">
        <f t="shared" si="0"/>
        <v>0</v>
      </c>
      <c r="E11" s="565"/>
      <c r="F11" s="1724">
        <f t="shared" si="1"/>
        <v>0</v>
      </c>
    </row>
    <row r="12" spans="1:6" ht="13.7" customHeight="1" x14ac:dyDescent="0.2">
      <c r="A12" s="688" t="s">
        <v>157</v>
      </c>
      <c r="B12" s="1721">
        <f>'Revenues 9-14'!K5</f>
        <v>0</v>
      </c>
      <c r="C12" s="565"/>
      <c r="D12" s="1724">
        <f t="shared" si="0"/>
        <v>0</v>
      </c>
      <c r="E12" s="565"/>
      <c r="F12" s="1724">
        <f t="shared" si="1"/>
        <v>0</v>
      </c>
    </row>
    <row r="13" spans="1:6" ht="13.7" customHeight="1" x14ac:dyDescent="0.2">
      <c r="A13" s="688" t="s">
        <v>936</v>
      </c>
      <c r="B13" s="1721">
        <f>SUM('Revenues 9-14'!C6:D6)</f>
        <v>0</v>
      </c>
      <c r="C13" s="565"/>
      <c r="D13" s="1724">
        <f t="shared" si="0"/>
        <v>0</v>
      </c>
      <c r="E13" s="565"/>
      <c r="F13" s="1724">
        <f t="shared" si="1"/>
        <v>0</v>
      </c>
    </row>
    <row r="14" spans="1:6" ht="13.7" customHeight="1" x14ac:dyDescent="0.2">
      <c r="A14" s="688" t="s">
        <v>410</v>
      </c>
      <c r="B14" s="1721">
        <f>SUM('Revenues 9-14'!C7:D7,'Revenues 9-14'!F7:H7)</f>
        <v>0</v>
      </c>
      <c r="C14" s="565"/>
      <c r="D14" s="1724">
        <f t="shared" si="0"/>
        <v>0</v>
      </c>
      <c r="E14" s="565"/>
      <c r="F14" s="1724">
        <f t="shared" si="1"/>
        <v>0</v>
      </c>
    </row>
    <row r="15" spans="1:6" ht="13.7" customHeight="1" x14ac:dyDescent="0.2">
      <c r="A15" s="688" t="s">
        <v>1158</v>
      </c>
      <c r="B15" s="1721">
        <f>SUM('Revenues 9-14'!D9:E9,'Revenues 9-14'!H9)</f>
        <v>0</v>
      </c>
      <c r="C15" s="565"/>
      <c r="D15" s="1724">
        <f t="shared" si="0"/>
        <v>0</v>
      </c>
      <c r="E15" s="565"/>
      <c r="F15" s="1724">
        <f t="shared" si="1"/>
        <v>0</v>
      </c>
    </row>
    <row r="16" spans="1:6" ht="13.7" customHeight="1" x14ac:dyDescent="0.2">
      <c r="A16" s="688" t="s">
        <v>1159</v>
      </c>
      <c r="B16" s="1721">
        <f>'Revenues 9-14'!G8</f>
        <v>0</v>
      </c>
      <c r="C16" s="565"/>
      <c r="D16" s="1724">
        <f t="shared" si="0"/>
        <v>0</v>
      </c>
      <c r="E16" s="565"/>
      <c r="F16" s="1724">
        <f t="shared" si="1"/>
        <v>0</v>
      </c>
    </row>
    <row r="17" spans="1:6" ht="13.7" customHeight="1" x14ac:dyDescent="0.2">
      <c r="A17" s="688" t="s">
        <v>1160</v>
      </c>
      <c r="B17" s="1721">
        <f>'Revenues 9-14'!C10</f>
        <v>0</v>
      </c>
      <c r="C17" s="565"/>
      <c r="D17" s="1724">
        <f t="shared" si="0"/>
        <v>0</v>
      </c>
      <c r="E17" s="565"/>
      <c r="F17" s="1724">
        <f t="shared" si="1"/>
        <v>0</v>
      </c>
    </row>
    <row r="18" spans="1:6" ht="13.7" customHeight="1" x14ac:dyDescent="0.2">
      <c r="A18" s="688" t="s">
        <v>762</v>
      </c>
      <c r="B18" s="1721">
        <f>SUM('Revenues 9-14'!C11:K11)</f>
        <v>0</v>
      </c>
      <c r="C18" s="565"/>
      <c r="D18" s="1724">
        <f t="shared" si="0"/>
        <v>0</v>
      </c>
      <c r="E18" s="565"/>
      <c r="F18" s="1724">
        <f t="shared" si="1"/>
        <v>0</v>
      </c>
    </row>
    <row r="19" spans="1:6" ht="13.7" customHeight="1" thickBot="1" x14ac:dyDescent="0.25">
      <c r="A19" s="1725" t="s">
        <v>1161</v>
      </c>
      <c r="B19" s="1722">
        <f>SUM(B4:B18)</f>
        <v>0</v>
      </c>
      <c r="C19" s="1722">
        <f>SUM(C4:C18)</f>
        <v>0</v>
      </c>
      <c r="D19" s="1722">
        <f>SUM(D4:D18)</f>
        <v>0</v>
      </c>
      <c r="E19" s="1722">
        <f>SUM(E4:E18)</f>
        <v>0</v>
      </c>
      <c r="F19" s="1722">
        <f>SUM(F4:F18)</f>
        <v>0</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39997558519241921"/>
    <pageSetUpPr fitToPage="1"/>
  </sheetPr>
  <dimension ref="A1:K59"/>
  <sheetViews>
    <sheetView showGridLines="0" defaultGridColor="0" view="pageBreakPreview" colorId="8" zoomScaleNormal="110" zoomScaleSheetLayoutView="100" workbookViewId="0">
      <selection activeCell="H171" sqref="H171"/>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2" t="s">
        <v>629</v>
      </c>
      <c r="B1" s="2290"/>
      <c r="C1" s="694"/>
    </row>
    <row r="2" spans="1:7" ht="33.75" x14ac:dyDescent="0.2">
      <c r="A2" s="2297" t="s">
        <v>1799</v>
      </c>
      <c r="B2" s="2298"/>
      <c r="C2" s="1855" t="s">
        <v>1953</v>
      </c>
      <c r="D2" s="696" t="s">
        <v>1954</v>
      </c>
      <c r="E2" s="696" t="s">
        <v>1955</v>
      </c>
      <c r="F2" s="1855" t="s">
        <v>1956</v>
      </c>
    </row>
    <row r="3" spans="1:7" ht="15.75" customHeight="1" x14ac:dyDescent="0.2">
      <c r="A3" s="2299" t="s">
        <v>1114</v>
      </c>
      <c r="B3" s="2300"/>
      <c r="C3" s="2293"/>
      <c r="D3" s="2294"/>
      <c r="E3" s="2294"/>
      <c r="F3" s="2295"/>
    </row>
    <row r="4" spans="1:7" ht="12.75" customHeight="1" thickBot="1" x14ac:dyDescent="0.25">
      <c r="A4" s="2287" t="s">
        <v>630</v>
      </c>
      <c r="B4" s="2288"/>
      <c r="C4" s="562"/>
      <c r="D4" s="562"/>
      <c r="E4" s="562"/>
      <c r="F4" s="1726">
        <f>SUM(C4+D4)-E4</f>
        <v>0</v>
      </c>
    </row>
    <row r="5" spans="1:7" ht="15.75" customHeight="1" thickTop="1" x14ac:dyDescent="0.2">
      <c r="A5" s="2291" t="s">
        <v>1110</v>
      </c>
      <c r="B5" s="2286"/>
      <c r="C5" s="2280"/>
      <c r="D5" s="2281"/>
      <c r="E5" s="2281"/>
      <c r="F5" s="2282"/>
    </row>
    <row r="6" spans="1:7" ht="12.75" customHeight="1" thickBot="1" x14ac:dyDescent="0.25">
      <c r="A6" s="697" t="s">
        <v>64</v>
      </c>
      <c r="B6" s="698"/>
      <c r="C6" s="699"/>
      <c r="D6" s="565"/>
      <c r="E6" s="699"/>
      <c r="F6" s="1726">
        <f t="shared" ref="F6:F14" si="0">SUM(C6+D6)-E6</f>
        <v>0</v>
      </c>
    </row>
    <row r="7" spans="1:7" ht="12.75" customHeight="1" thickTop="1" thickBot="1" x14ac:dyDescent="0.25">
      <c r="A7" s="697" t="s">
        <v>6</v>
      </c>
      <c r="B7" s="698"/>
      <c r="C7" s="699"/>
      <c r="D7" s="565"/>
      <c r="E7" s="699"/>
      <c r="F7" s="1726">
        <f t="shared" si="0"/>
        <v>0</v>
      </c>
    </row>
    <row r="8" spans="1:7" ht="12.75" customHeight="1" thickTop="1" thickBot="1" x14ac:dyDescent="0.25">
      <c r="A8" s="697" t="s">
        <v>508</v>
      </c>
      <c r="B8" s="698"/>
      <c r="C8" s="699"/>
      <c r="D8" s="565"/>
      <c r="E8" s="699"/>
      <c r="F8" s="1726">
        <f t="shared" si="0"/>
        <v>0</v>
      </c>
    </row>
    <row r="9" spans="1:7" ht="12.75" customHeight="1" thickTop="1" thickBot="1" x14ac:dyDescent="0.25">
      <c r="A9" s="697" t="s">
        <v>509</v>
      </c>
      <c r="B9" s="698"/>
      <c r="C9" s="699"/>
      <c r="D9" s="565"/>
      <c r="E9" s="699"/>
      <c r="F9" s="1726">
        <f t="shared" si="0"/>
        <v>0</v>
      </c>
    </row>
    <row r="10" spans="1:7" ht="12.75" customHeight="1" thickTop="1" thickBot="1" x14ac:dyDescent="0.25">
      <c r="A10" s="697" t="s">
        <v>510</v>
      </c>
      <c r="B10" s="698"/>
      <c r="C10" s="699"/>
      <c r="D10" s="565"/>
      <c r="E10" s="699"/>
      <c r="F10" s="1726">
        <f t="shared" si="0"/>
        <v>0</v>
      </c>
    </row>
    <row r="11" spans="1:7" ht="12.75" customHeight="1" thickTop="1" thickBot="1" x14ac:dyDescent="0.25">
      <c r="A11" s="697" t="s">
        <v>341</v>
      </c>
      <c r="B11" s="698"/>
      <c r="C11" s="699"/>
      <c r="D11" s="565"/>
      <c r="E11" s="699"/>
      <c r="F11" s="1726">
        <f t="shared" si="0"/>
        <v>0</v>
      </c>
    </row>
    <row r="12" spans="1:7" ht="12.75" customHeight="1" thickTop="1" thickBot="1" x14ac:dyDescent="0.25">
      <c r="A12" s="697" t="s">
        <v>1157</v>
      </c>
      <c r="B12" s="698"/>
      <c r="C12" s="699"/>
      <c r="D12" s="565"/>
      <c r="E12" s="699"/>
      <c r="F12" s="1726">
        <f t="shared" si="0"/>
        <v>0</v>
      </c>
    </row>
    <row r="13" spans="1:7" ht="12.75" customHeight="1" thickTop="1" thickBot="1" x14ac:dyDescent="0.25">
      <c r="A13" s="697" t="s">
        <v>388</v>
      </c>
      <c r="B13" s="698"/>
      <c r="C13" s="699"/>
      <c r="D13" s="565"/>
      <c r="E13" s="699"/>
      <c r="F13" s="1726">
        <f t="shared" si="0"/>
        <v>0</v>
      </c>
    </row>
    <row r="14" spans="1:7" ht="12.75" customHeight="1" thickTop="1" thickBot="1" x14ac:dyDescent="0.25">
      <c r="A14" s="697" t="s">
        <v>448</v>
      </c>
      <c r="B14" s="698"/>
      <c r="C14" s="699"/>
      <c r="D14" s="565"/>
      <c r="E14" s="699"/>
      <c r="F14" s="1726">
        <f t="shared" si="0"/>
        <v>0</v>
      </c>
    </row>
    <row r="15" spans="1:7" ht="14.25" thickTop="1" thickBot="1" x14ac:dyDescent="0.25">
      <c r="A15" s="2283" t="s">
        <v>631</v>
      </c>
      <c r="B15" s="2284"/>
      <c r="C15" s="1726">
        <f>SUM(C6:C14)</f>
        <v>0</v>
      </c>
      <c r="D15" s="1726">
        <f>SUM(D6:D14)</f>
        <v>0</v>
      </c>
      <c r="E15" s="1726">
        <f>SUM(E6:E14)</f>
        <v>0</v>
      </c>
      <c r="F15" s="1726">
        <f>SUM(F6:F14)</f>
        <v>0</v>
      </c>
      <c r="G15" s="540"/>
    </row>
    <row r="16" spans="1:7" s="202" customFormat="1" ht="15.75" customHeight="1" thickTop="1" x14ac:dyDescent="0.2">
      <c r="A16" s="2296" t="s">
        <v>1111</v>
      </c>
      <c r="B16" s="2286"/>
      <c r="C16" s="2280"/>
      <c r="D16" s="2281"/>
      <c r="E16" s="2281"/>
      <c r="F16" s="2282"/>
    </row>
    <row r="17" spans="1:11" ht="12.75" customHeight="1" thickBot="1" x14ac:dyDescent="0.25">
      <c r="A17" s="2278" t="s">
        <v>64</v>
      </c>
      <c r="B17" s="2279"/>
      <c r="C17" s="699"/>
      <c r="D17" s="565"/>
      <c r="E17" s="699"/>
      <c r="F17" s="1726">
        <f>SUM(C17+D17)-E17</f>
        <v>0</v>
      </c>
    </row>
    <row r="18" spans="1:11" ht="12.75" customHeight="1" thickTop="1" thickBot="1" x14ac:dyDescent="0.25">
      <c r="A18" s="2278" t="s">
        <v>6</v>
      </c>
      <c r="B18" s="2279"/>
      <c r="C18" s="699"/>
      <c r="D18" s="565"/>
      <c r="E18" s="699"/>
      <c r="F18" s="1726">
        <f>SUM(C18+D18)-E18</f>
        <v>0</v>
      </c>
    </row>
    <row r="19" spans="1:11" ht="12.75" customHeight="1" thickTop="1" thickBot="1" x14ac:dyDescent="0.25">
      <c r="A19" s="2278" t="s">
        <v>388</v>
      </c>
      <c r="B19" s="2279"/>
      <c r="C19" s="699"/>
      <c r="D19" s="565"/>
      <c r="E19" s="699"/>
      <c r="F19" s="1726">
        <f>SUM(C19+D19)-E19</f>
        <v>0</v>
      </c>
    </row>
    <row r="20" spans="1:11" ht="12.75" customHeight="1" thickTop="1" thickBot="1" x14ac:dyDescent="0.25">
      <c r="A20" s="2278" t="s">
        <v>448</v>
      </c>
      <c r="B20" s="2279"/>
      <c r="C20" s="699"/>
      <c r="D20" s="565"/>
      <c r="E20" s="699"/>
      <c r="F20" s="1726">
        <f>SUM(C20+D20)-E20</f>
        <v>0</v>
      </c>
    </row>
    <row r="21" spans="1:11" ht="14.25" thickTop="1" thickBot="1" x14ac:dyDescent="0.25">
      <c r="A21" s="2283" t="s">
        <v>632</v>
      </c>
      <c r="B21" s="2284"/>
      <c r="C21" s="1726">
        <f>SUM(C17:C20)</f>
        <v>0</v>
      </c>
      <c r="D21" s="1726">
        <f>SUM(D17:D20)</f>
        <v>0</v>
      </c>
      <c r="E21" s="1726">
        <f>SUM(E17:E20)</f>
        <v>0</v>
      </c>
      <c r="F21" s="1726">
        <f>SUM(F17:F20)</f>
        <v>0</v>
      </c>
      <c r="G21" s="540"/>
    </row>
    <row r="22" spans="1:11" ht="15.75" customHeight="1" thickTop="1" x14ac:dyDescent="0.2">
      <c r="A22" s="2285" t="s">
        <v>1112</v>
      </c>
      <c r="B22" s="2286"/>
      <c r="C22" s="2280"/>
      <c r="D22" s="2281"/>
      <c r="E22" s="2281"/>
      <c r="F22" s="2282"/>
    </row>
    <row r="23" spans="1:11" ht="13.5" thickBot="1" x14ac:dyDescent="0.25">
      <c r="A23" s="2287" t="s">
        <v>633</v>
      </c>
      <c r="B23" s="2288"/>
      <c r="C23" s="562"/>
      <c r="D23" s="562"/>
      <c r="E23" s="562"/>
      <c r="F23" s="1726">
        <f>SUM(C23+D23)-E23</f>
        <v>0</v>
      </c>
      <c r="G23" s="540"/>
    </row>
    <row r="24" spans="1:11" ht="15.75" customHeight="1" thickTop="1" x14ac:dyDescent="0.2">
      <c r="A24" s="2285" t="s">
        <v>1113</v>
      </c>
      <c r="B24" s="2286"/>
      <c r="C24" s="2280"/>
      <c r="D24" s="2281"/>
      <c r="E24" s="2281"/>
      <c r="F24" s="2282"/>
    </row>
    <row r="25" spans="1:11" ht="13.5" thickBot="1" x14ac:dyDescent="0.25">
      <c r="A25" s="2287" t="s">
        <v>634</v>
      </c>
      <c r="B25" s="2288"/>
      <c r="C25" s="562"/>
      <c r="D25" s="562"/>
      <c r="E25" s="562"/>
      <c r="F25" s="1726">
        <f>SUM(C25+D25)-E25</f>
        <v>0</v>
      </c>
      <c r="G25" s="540"/>
    </row>
    <row r="26" spans="1:11" ht="15.75" customHeight="1" thickTop="1" x14ac:dyDescent="0.2">
      <c r="A26" s="2291" t="s">
        <v>657</v>
      </c>
      <c r="B26" s="2286"/>
      <c r="C26" s="700"/>
      <c r="D26" s="700"/>
      <c r="E26" s="700"/>
      <c r="F26" s="701"/>
    </row>
    <row r="27" spans="1:11" ht="13.5" thickBot="1" x14ac:dyDescent="0.25">
      <c r="A27" s="2283" t="s">
        <v>1070</v>
      </c>
      <c r="B27" s="2284"/>
      <c r="C27" s="565"/>
      <c r="D27" s="565"/>
      <c r="E27" s="565"/>
      <c r="F27" s="1726">
        <f>SUM(C27+D27)-E27</f>
        <v>0</v>
      </c>
      <c r="G27" s="540"/>
    </row>
    <row r="28" spans="1:11" ht="7.5" customHeight="1" thickTop="1" x14ac:dyDescent="0.2">
      <c r="A28" s="570"/>
    </row>
    <row r="29" spans="1:11" ht="23.25" customHeight="1" x14ac:dyDescent="0.2">
      <c r="A29" s="2289" t="s">
        <v>582</v>
      </c>
      <c r="B29" s="2290"/>
      <c r="C29" s="702"/>
      <c r="D29" s="702"/>
      <c r="E29" s="702"/>
      <c r="F29" s="702"/>
      <c r="G29" s="702"/>
      <c r="H29" s="702"/>
      <c r="I29" s="702"/>
      <c r="J29" s="702"/>
    </row>
    <row r="30" spans="1:11" ht="33.75" x14ac:dyDescent="0.2">
      <c r="A30" s="1500" t="s">
        <v>1071</v>
      </c>
      <c r="B30" s="703" t="s">
        <v>1124</v>
      </c>
      <c r="C30" s="1856" t="s">
        <v>583</v>
      </c>
      <c r="D30" s="1856" t="s">
        <v>1673</v>
      </c>
      <c r="E30" s="1856" t="s">
        <v>1957</v>
      </c>
      <c r="F30" s="1856" t="s">
        <v>1958</v>
      </c>
      <c r="G30" s="1856" t="s">
        <v>1908</v>
      </c>
      <c r="H30" s="1856" t="s">
        <v>1959</v>
      </c>
      <c r="I30" s="1856" t="s">
        <v>1960</v>
      </c>
      <c r="J30" s="1857" t="s">
        <v>2</v>
      </c>
      <c r="K30" s="704"/>
    </row>
    <row r="31" spans="1:11" ht="12" customHeight="1" x14ac:dyDescent="0.2">
      <c r="A31" s="705"/>
      <c r="B31" s="706"/>
      <c r="C31" s="707"/>
      <c r="D31" s="708"/>
      <c r="E31" s="707"/>
      <c r="F31" s="707"/>
      <c r="G31" s="707"/>
      <c r="H31" s="707"/>
      <c r="I31" s="1727">
        <f>((E31+F31)-H31)+G31</f>
        <v>0</v>
      </c>
      <c r="J31" s="707"/>
      <c r="K31" s="709"/>
    </row>
    <row r="32" spans="1:11" ht="12" customHeight="1" x14ac:dyDescent="0.2">
      <c r="A32" s="705"/>
      <c r="B32" s="706"/>
      <c r="C32" s="707"/>
      <c r="D32" s="708"/>
      <c r="E32" s="707"/>
      <c r="F32" s="707"/>
      <c r="G32" s="707"/>
      <c r="H32" s="707"/>
      <c r="I32" s="1727">
        <f>((E32+F32)-H32)+G32</f>
        <v>0</v>
      </c>
      <c r="J32" s="707"/>
      <c r="K32" s="709"/>
    </row>
    <row r="33" spans="1:11" ht="12" customHeight="1" x14ac:dyDescent="0.2">
      <c r="A33" s="705"/>
      <c r="B33" s="706"/>
      <c r="C33" s="707"/>
      <c r="D33" s="708"/>
      <c r="E33" s="707"/>
      <c r="F33" s="707"/>
      <c r="G33" s="707"/>
      <c r="H33" s="707"/>
      <c r="I33" s="1727">
        <f t="shared" ref="I33:I48" si="1">((E33+F33)-H33)+G33</f>
        <v>0</v>
      </c>
      <c r="J33" s="707"/>
      <c r="K33" s="709"/>
    </row>
    <row r="34" spans="1:11" ht="12" customHeight="1" x14ac:dyDescent="0.2">
      <c r="A34" s="705"/>
      <c r="B34" s="706"/>
      <c r="C34" s="707"/>
      <c r="D34" s="708"/>
      <c r="E34" s="707"/>
      <c r="F34" s="707"/>
      <c r="G34" s="707"/>
      <c r="H34" s="707"/>
      <c r="I34" s="1727">
        <f t="shared" si="1"/>
        <v>0</v>
      </c>
      <c r="J34" s="707"/>
      <c r="K34" s="710"/>
    </row>
    <row r="35" spans="1:11" ht="12" customHeight="1" x14ac:dyDescent="0.2">
      <c r="A35" s="705"/>
      <c r="B35" s="706"/>
      <c r="C35" s="711"/>
      <c r="D35" s="708"/>
      <c r="E35" s="711"/>
      <c r="F35" s="711"/>
      <c r="G35" s="711"/>
      <c r="H35" s="711"/>
      <c r="I35" s="1727">
        <f t="shared" si="1"/>
        <v>0</v>
      </c>
      <c r="J35" s="711"/>
      <c r="K35" s="710"/>
    </row>
    <row r="36" spans="1:11" ht="12" customHeight="1" x14ac:dyDescent="0.2">
      <c r="A36" s="705"/>
      <c r="B36" s="706"/>
      <c r="C36" s="707"/>
      <c r="D36" s="708"/>
      <c r="E36" s="707"/>
      <c r="F36" s="707"/>
      <c r="G36" s="707"/>
      <c r="H36" s="707"/>
      <c r="I36" s="1727">
        <f t="shared" si="1"/>
        <v>0</v>
      </c>
      <c r="J36" s="707"/>
      <c r="K36" s="712"/>
    </row>
    <row r="37" spans="1:11" ht="12" customHeight="1" x14ac:dyDescent="0.2">
      <c r="A37" s="705"/>
      <c r="B37" s="706"/>
      <c r="C37" s="466"/>
      <c r="D37" s="713"/>
      <c r="E37" s="466"/>
      <c r="F37" s="466"/>
      <c r="G37" s="466"/>
      <c r="H37" s="466"/>
      <c r="I37" s="1727">
        <f t="shared" si="1"/>
        <v>0</v>
      </c>
      <c r="J37" s="466"/>
      <c r="K37" s="710"/>
    </row>
    <row r="38" spans="1:11" ht="12" customHeight="1" x14ac:dyDescent="0.2">
      <c r="A38" s="705"/>
      <c r="B38" s="706"/>
      <c r="C38" s="707"/>
      <c r="D38" s="714"/>
      <c r="E38" s="715"/>
      <c r="F38" s="715"/>
      <c r="G38" s="715"/>
      <c r="H38" s="715"/>
      <c r="I38" s="1727">
        <f t="shared" si="1"/>
        <v>0</v>
      </c>
      <c r="J38" s="716" t="s">
        <v>264</v>
      </c>
      <c r="K38" s="717"/>
    </row>
    <row r="39" spans="1:11" ht="12" customHeight="1" x14ac:dyDescent="0.2">
      <c r="A39" s="705"/>
      <c r="B39" s="706"/>
      <c r="C39" s="707"/>
      <c r="D39" s="714"/>
      <c r="E39" s="715"/>
      <c r="F39" s="715"/>
      <c r="G39" s="715"/>
      <c r="H39" s="715"/>
      <c r="I39" s="1727">
        <f t="shared" si="1"/>
        <v>0</v>
      </c>
      <c r="J39" s="716"/>
      <c r="K39" s="717"/>
    </row>
    <row r="40" spans="1:11" ht="12" customHeight="1" x14ac:dyDescent="0.2">
      <c r="A40" s="705"/>
      <c r="B40" s="706"/>
      <c r="C40" s="707"/>
      <c r="D40" s="714"/>
      <c r="E40" s="715"/>
      <c r="F40" s="715"/>
      <c r="G40" s="715"/>
      <c r="H40" s="715"/>
      <c r="I40" s="1727">
        <f t="shared" si="1"/>
        <v>0</v>
      </c>
      <c r="J40" s="716"/>
      <c r="K40" s="717"/>
    </row>
    <row r="41" spans="1:11" ht="12" customHeight="1" x14ac:dyDescent="0.2">
      <c r="A41" s="705"/>
      <c r="B41" s="706"/>
      <c r="C41" s="707"/>
      <c r="D41" s="714"/>
      <c r="E41" s="715"/>
      <c r="F41" s="715"/>
      <c r="G41" s="715"/>
      <c r="H41" s="715"/>
      <c r="I41" s="1727">
        <f t="shared" si="1"/>
        <v>0</v>
      </c>
      <c r="J41" s="716"/>
      <c r="K41" s="717"/>
    </row>
    <row r="42" spans="1:11" ht="12" customHeight="1" x14ac:dyDescent="0.2">
      <c r="A42" s="705"/>
      <c r="B42" s="706"/>
      <c r="C42" s="707"/>
      <c r="D42" s="714"/>
      <c r="E42" s="715"/>
      <c r="F42" s="715"/>
      <c r="G42" s="715"/>
      <c r="H42" s="715"/>
      <c r="I42" s="1727">
        <f t="shared" si="1"/>
        <v>0</v>
      </c>
      <c r="J42" s="716"/>
      <c r="K42" s="717"/>
    </row>
    <row r="43" spans="1:11" ht="12" customHeight="1" x14ac:dyDescent="0.2">
      <c r="A43" s="705"/>
      <c r="B43" s="706"/>
      <c r="C43" s="707"/>
      <c r="D43" s="714"/>
      <c r="E43" s="715"/>
      <c r="F43" s="715"/>
      <c r="G43" s="715"/>
      <c r="H43" s="715"/>
      <c r="I43" s="1727">
        <f t="shared" si="1"/>
        <v>0</v>
      </c>
      <c r="J43" s="716"/>
      <c r="K43" s="717"/>
    </row>
    <row r="44" spans="1:11" ht="12" customHeight="1" x14ac:dyDescent="0.2">
      <c r="A44" s="705"/>
      <c r="B44" s="706"/>
      <c r="C44" s="707"/>
      <c r="D44" s="708"/>
      <c r="E44" s="707"/>
      <c r="F44" s="707"/>
      <c r="G44" s="707"/>
      <c r="H44" s="707"/>
      <c r="I44" s="1727">
        <f t="shared" si="1"/>
        <v>0</v>
      </c>
      <c r="J44" s="707"/>
      <c r="K44" s="710"/>
    </row>
    <row r="45" spans="1:11" ht="12" customHeight="1" x14ac:dyDescent="0.2">
      <c r="A45" s="705"/>
      <c r="B45" s="706"/>
      <c r="C45" s="707"/>
      <c r="D45" s="708"/>
      <c r="E45" s="707"/>
      <c r="F45" s="707"/>
      <c r="G45" s="707"/>
      <c r="H45" s="707"/>
      <c r="I45" s="1727">
        <f t="shared" si="1"/>
        <v>0</v>
      </c>
      <c r="J45" s="707"/>
      <c r="K45" s="710"/>
    </row>
    <row r="46" spans="1:11" ht="12" customHeight="1" x14ac:dyDescent="0.2">
      <c r="A46" s="705"/>
      <c r="B46" s="706"/>
      <c r="C46" s="707"/>
      <c r="D46" s="708"/>
      <c r="E46" s="707"/>
      <c r="F46" s="707"/>
      <c r="G46" s="707"/>
      <c r="H46" s="707"/>
      <c r="I46" s="1727">
        <f t="shared" si="1"/>
        <v>0</v>
      </c>
      <c r="J46" s="707"/>
      <c r="K46" s="710"/>
    </row>
    <row r="47" spans="1:11" ht="12" customHeight="1" x14ac:dyDescent="0.2">
      <c r="A47" s="705"/>
      <c r="B47" s="706"/>
      <c r="C47" s="711"/>
      <c r="D47" s="708"/>
      <c r="E47" s="711"/>
      <c r="F47" s="711"/>
      <c r="G47" s="711"/>
      <c r="H47" s="711"/>
      <c r="I47" s="1727">
        <f t="shared" si="1"/>
        <v>0</v>
      </c>
      <c r="J47" s="711"/>
      <c r="K47" s="710"/>
    </row>
    <row r="48" spans="1:11" ht="12" customHeight="1" x14ac:dyDescent="0.2">
      <c r="A48" s="705"/>
      <c r="B48" s="706"/>
      <c r="C48" s="707"/>
      <c r="D48" s="708"/>
      <c r="E48" s="707"/>
      <c r="F48" s="707"/>
      <c r="G48" s="707"/>
      <c r="H48" s="707"/>
      <c r="I48" s="1727">
        <f t="shared" si="1"/>
        <v>0</v>
      </c>
      <c r="J48" s="707"/>
      <c r="K48" s="710"/>
    </row>
    <row r="49" spans="1:11" ht="12" customHeight="1" x14ac:dyDescent="0.2">
      <c r="A49" s="705"/>
      <c r="B49" s="706"/>
      <c r="C49" s="1727">
        <f>SUM(C31:C48)</f>
        <v>0</v>
      </c>
      <c r="D49" s="718"/>
      <c r="E49" s="1727">
        <f t="shared" ref="E49:J49" si="2">SUM(E31:E48)</f>
        <v>0</v>
      </c>
      <c r="F49" s="1727">
        <f t="shared" si="2"/>
        <v>0</v>
      </c>
      <c r="G49" s="1727">
        <f t="shared" si="2"/>
        <v>0</v>
      </c>
      <c r="H49" s="1727">
        <f t="shared" si="2"/>
        <v>0</v>
      </c>
      <c r="I49" s="1727">
        <f t="shared" si="2"/>
        <v>0</v>
      </c>
      <c r="J49" s="1727">
        <f t="shared" si="2"/>
        <v>0</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72" t="s">
        <v>584</v>
      </c>
      <c r="C52" s="2273"/>
      <c r="D52" s="2273"/>
      <c r="E52" s="722" t="s">
        <v>845</v>
      </c>
      <c r="F52" s="2274"/>
      <c r="G52" s="2275"/>
      <c r="H52" s="709"/>
      <c r="I52" s="709"/>
      <c r="J52" s="719"/>
    </row>
    <row r="53" spans="1:11" ht="11.25" customHeight="1" x14ac:dyDescent="0.2">
      <c r="A53" s="723" t="s">
        <v>913</v>
      </c>
      <c r="B53" s="724" t="s">
        <v>951</v>
      </c>
      <c r="C53" s="719"/>
      <c r="D53" s="710"/>
      <c r="E53" s="722" t="s">
        <v>497</v>
      </c>
      <c r="F53" s="2276"/>
      <c r="G53" s="2277"/>
      <c r="H53" s="709"/>
      <c r="I53" s="709"/>
      <c r="J53" s="719"/>
    </row>
    <row r="54" spans="1:11" ht="11.25" customHeight="1" x14ac:dyDescent="0.2">
      <c r="A54" s="725" t="s">
        <v>914</v>
      </c>
      <c r="B54" s="720" t="s">
        <v>952</v>
      </c>
      <c r="C54" s="719"/>
      <c r="D54" s="710"/>
      <c r="E54" s="722" t="s">
        <v>498</v>
      </c>
      <c r="F54" s="2276"/>
      <c r="G54" s="2277"/>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39997558519241921"/>
  </sheetPr>
  <dimension ref="A1:K48"/>
  <sheetViews>
    <sheetView showGridLines="0" defaultGridColor="0" view="pageBreakPreview" topLeftCell="A3" colorId="8" zoomScaleNormal="110" zoomScaleSheetLayoutView="100" workbookViewId="0">
      <selection activeCell="H171" sqref="H17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1" t="s">
        <v>856</v>
      </c>
      <c r="B1" s="2302"/>
      <c r="C1" s="2302"/>
      <c r="D1" s="2302"/>
      <c r="E1" s="2302"/>
      <c r="F1" s="2302"/>
      <c r="G1" s="2303"/>
      <c r="H1" s="1501"/>
      <c r="I1" s="733"/>
      <c r="J1" s="433"/>
    </row>
    <row r="2" spans="1:11" ht="26.25" x14ac:dyDescent="0.2">
      <c r="A2" s="2320" t="s">
        <v>1677</v>
      </c>
      <c r="B2" s="2321"/>
      <c r="C2" s="2321"/>
      <c r="D2" s="2321"/>
      <c r="E2" s="2322"/>
      <c r="F2" s="734" t="s">
        <v>904</v>
      </c>
      <c r="G2" s="735" t="s">
        <v>1674</v>
      </c>
      <c r="H2" s="735" t="s">
        <v>410</v>
      </c>
      <c r="I2" s="735" t="s">
        <v>1158</v>
      </c>
      <c r="J2" s="735" t="s">
        <v>1809</v>
      </c>
      <c r="K2" s="735" t="s">
        <v>138</v>
      </c>
    </row>
    <row r="3" spans="1:11" x14ac:dyDescent="0.2">
      <c r="A3" s="2323" t="s">
        <v>1961</v>
      </c>
      <c r="B3" s="2324"/>
      <c r="C3" s="2324"/>
      <c r="D3" s="2324"/>
      <c r="E3" s="2325"/>
      <c r="F3" s="736"/>
      <c r="G3" s="737"/>
      <c r="H3" s="737"/>
      <c r="I3" s="737"/>
      <c r="J3" s="738"/>
      <c r="K3" s="738"/>
    </row>
    <row r="4" spans="1:11" x14ac:dyDescent="0.2">
      <c r="A4" s="2326" t="s">
        <v>369</v>
      </c>
      <c r="B4" s="2327"/>
      <c r="C4" s="2327"/>
      <c r="D4" s="2327"/>
      <c r="E4" s="2273"/>
      <c r="F4" s="739"/>
      <c r="G4" s="740"/>
      <c r="H4" s="741"/>
      <c r="I4" s="740"/>
      <c r="J4" s="742"/>
      <c r="K4" s="742"/>
    </row>
    <row r="5" spans="1:11" x14ac:dyDescent="0.2">
      <c r="A5" s="2304" t="s">
        <v>1069</v>
      </c>
      <c r="B5" s="2305"/>
      <c r="C5" s="2305"/>
      <c r="D5" s="2305"/>
      <c r="E5" s="2306"/>
      <c r="F5" s="743" t="s">
        <v>848</v>
      </c>
      <c r="G5" s="744"/>
      <c r="H5" s="737"/>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304" t="s">
        <v>1810</v>
      </c>
      <c r="B10" s="2305"/>
      <c r="C10" s="2305"/>
      <c r="D10" s="2305"/>
      <c r="E10" s="2307"/>
      <c r="F10" s="756" t="s">
        <v>862</v>
      </c>
      <c r="G10" s="755"/>
      <c r="H10" s="757"/>
      <c r="I10" s="737"/>
      <c r="J10" s="738"/>
      <c r="K10" s="738"/>
    </row>
    <row r="11" spans="1:11" x14ac:dyDescent="0.2">
      <c r="A11" s="2304" t="s">
        <v>160</v>
      </c>
      <c r="B11" s="2305"/>
      <c r="C11" s="2305"/>
      <c r="D11" s="2305"/>
      <c r="E11" s="2306"/>
      <c r="F11" s="743" t="s">
        <v>852</v>
      </c>
      <c r="G11" s="744"/>
      <c r="H11" s="737"/>
      <c r="I11" s="737"/>
      <c r="J11" s="738"/>
      <c r="K11" s="746"/>
    </row>
    <row r="12" spans="1:11" ht="13.5" thickBot="1" x14ac:dyDescent="0.25">
      <c r="A12" s="2331" t="s">
        <v>905</v>
      </c>
      <c r="B12" s="2332"/>
      <c r="C12" s="2332"/>
      <c r="D12" s="2332"/>
      <c r="E12" s="2333"/>
      <c r="F12" s="1728"/>
      <c r="G12" s="1729">
        <f>SUM(G5:G11)</f>
        <v>0</v>
      </c>
      <c r="H12" s="1729">
        <f>SUM(H5:H11)</f>
        <v>0</v>
      </c>
      <c r="I12" s="1729">
        <f>SUM(I5:I11)</f>
        <v>0</v>
      </c>
      <c r="J12" s="1729">
        <f>SUM(J5:J11)</f>
        <v>0</v>
      </c>
      <c r="K12" s="1729">
        <f>SUM(K5:K11)</f>
        <v>0</v>
      </c>
    </row>
    <row r="13" spans="1:11" ht="13.5" thickTop="1" x14ac:dyDescent="0.2">
      <c r="A13" s="2328" t="s">
        <v>370</v>
      </c>
      <c r="B13" s="2329"/>
      <c r="C13" s="2329"/>
      <c r="D13" s="2329"/>
      <c r="E13" s="2330"/>
      <c r="F13" s="758"/>
      <c r="G13" s="759"/>
      <c r="H13" s="760"/>
      <c r="I13" s="761"/>
      <c r="J13" s="761"/>
      <c r="K13" s="761"/>
    </row>
    <row r="14" spans="1:11" x14ac:dyDescent="0.2">
      <c r="A14" s="2311" t="s">
        <v>456</v>
      </c>
      <c r="B14" s="2311"/>
      <c r="C14" s="2311"/>
      <c r="D14" s="2311"/>
      <c r="E14" s="2312"/>
      <c r="F14" s="762" t="s">
        <v>854</v>
      </c>
      <c r="G14" s="755"/>
      <c r="H14" s="737"/>
      <c r="I14" s="744"/>
      <c r="J14" s="746"/>
      <c r="K14" s="738"/>
    </row>
    <row r="15" spans="1:11" x14ac:dyDescent="0.2">
      <c r="A15" s="2305" t="s">
        <v>4</v>
      </c>
      <c r="B15" s="2305"/>
      <c r="C15" s="2305"/>
      <c r="D15" s="2305"/>
      <c r="E15" s="2306"/>
      <c r="F15" s="762" t="s">
        <v>855</v>
      </c>
      <c r="G15" s="744"/>
      <c r="H15" s="737"/>
      <c r="I15" s="737"/>
      <c r="J15" s="738"/>
      <c r="K15" s="738"/>
    </row>
    <row r="16" spans="1:11" x14ac:dyDescent="0.2">
      <c r="A16" s="2305" t="s">
        <v>298</v>
      </c>
      <c r="B16" s="2305"/>
      <c r="C16" s="2305"/>
      <c r="D16" s="2305"/>
      <c r="E16" s="2306"/>
      <c r="F16" s="762" t="s">
        <v>923</v>
      </c>
      <c r="G16" s="745"/>
      <c r="H16" s="740"/>
      <c r="I16" s="740"/>
      <c r="J16" s="742"/>
      <c r="K16" s="742"/>
    </row>
    <row r="17" spans="1:11" x14ac:dyDescent="0.2">
      <c r="A17" s="2336" t="s">
        <v>935</v>
      </c>
      <c r="B17" s="2336"/>
      <c r="C17" s="2336"/>
      <c r="D17" s="2336"/>
      <c r="E17" s="2337"/>
      <c r="F17" s="763"/>
      <c r="G17" s="764"/>
      <c r="H17" s="765"/>
      <c r="I17" s="765"/>
      <c r="J17" s="766"/>
      <c r="K17" s="767"/>
    </row>
    <row r="18" spans="1:11" x14ac:dyDescent="0.2">
      <c r="A18" s="2315" t="s">
        <v>368</v>
      </c>
      <c r="B18" s="2316"/>
      <c r="C18" s="2316"/>
      <c r="D18" s="2316"/>
      <c r="E18" s="2317"/>
      <c r="F18" s="762" t="s">
        <v>932</v>
      </c>
      <c r="G18" s="755"/>
      <c r="H18" s="755"/>
      <c r="I18" s="755"/>
      <c r="J18" s="738"/>
      <c r="K18" s="768"/>
    </row>
    <row r="19" spans="1:11" ht="21.75" customHeight="1" x14ac:dyDescent="0.2">
      <c r="A19" s="2313" t="s">
        <v>1806</v>
      </c>
      <c r="B19" s="2313"/>
      <c r="C19" s="2313"/>
      <c r="D19" s="2313"/>
      <c r="E19" s="2314"/>
      <c r="F19" s="762" t="s">
        <v>933</v>
      </c>
      <c r="G19" s="755"/>
      <c r="H19" s="755"/>
      <c r="I19" s="755"/>
      <c r="J19" s="738"/>
      <c r="K19" s="768"/>
    </row>
    <row r="20" spans="1:11" x14ac:dyDescent="0.2">
      <c r="A20" s="2315" t="s">
        <v>1811</v>
      </c>
      <c r="B20" s="2316"/>
      <c r="C20" s="2316"/>
      <c r="D20" s="2316"/>
      <c r="E20" s="2317"/>
      <c r="F20" s="762" t="s">
        <v>934</v>
      </c>
      <c r="G20" s="755"/>
      <c r="H20" s="755"/>
      <c r="I20" s="755"/>
      <c r="J20" s="738"/>
      <c r="K20" s="768"/>
    </row>
    <row r="21" spans="1:11" ht="13.5" thickBot="1" x14ac:dyDescent="0.25">
      <c r="A21" s="2334" t="s">
        <v>638</v>
      </c>
      <c r="B21" s="2334"/>
      <c r="C21" s="2334"/>
      <c r="D21" s="2334"/>
      <c r="E21" s="2334"/>
      <c r="F21" s="1730"/>
      <c r="G21" s="765"/>
      <c r="H21" s="769"/>
      <c r="I21" s="769"/>
      <c r="J21" s="1731">
        <f>SUM(J18:J20)</f>
        <v>0</v>
      </c>
      <c r="K21" s="766"/>
    </row>
    <row r="22" spans="1:11" ht="13.5" thickTop="1" x14ac:dyDescent="0.2">
      <c r="A22" s="2305" t="s">
        <v>1812</v>
      </c>
      <c r="B22" s="2305"/>
      <c r="C22" s="2305"/>
      <c r="D22" s="2305"/>
      <c r="E22" s="2306"/>
      <c r="F22" s="762" t="s">
        <v>862</v>
      </c>
      <c r="G22" s="755"/>
      <c r="H22" s="737"/>
      <c r="I22" s="737"/>
      <c r="J22" s="770"/>
      <c r="K22" s="738"/>
    </row>
    <row r="23" spans="1:11" ht="13.5" thickBot="1" x14ac:dyDescent="0.25">
      <c r="A23" s="2335" t="s">
        <v>906</v>
      </c>
      <c r="B23" s="2334"/>
      <c r="C23" s="2334"/>
      <c r="D23" s="2334"/>
      <c r="E23" s="2334"/>
      <c r="F23" s="1732"/>
      <c r="G23" s="1729">
        <f>SUM(G14:G16,G21,G22)</f>
        <v>0</v>
      </c>
      <c r="H23" s="1729">
        <f>SUM(H14:H16,H21,H22)</f>
        <v>0</v>
      </c>
      <c r="I23" s="1729">
        <f>SUM(I14:I16,I21,I22)</f>
        <v>0</v>
      </c>
      <c r="J23" s="1729">
        <f>SUM(J14:J16,J21,J22)</f>
        <v>0</v>
      </c>
      <c r="K23" s="1729">
        <f>SUM(K14:K16,K21,K22)</f>
        <v>0</v>
      </c>
    </row>
    <row r="24" spans="1:11" ht="14.25" thickTop="1" thickBot="1" x14ac:dyDescent="0.25">
      <c r="A24" s="2335" t="s">
        <v>1962</v>
      </c>
      <c r="B24" s="2334"/>
      <c r="C24" s="2334"/>
      <c r="D24" s="2334"/>
      <c r="E24" s="2334"/>
      <c r="F24" s="1733"/>
      <c r="G24" s="1734">
        <f>SUM(G3,G12)-G23</f>
        <v>0</v>
      </c>
      <c r="H24" s="1734">
        <f>SUM(H3,H12)-H23</f>
        <v>0</v>
      </c>
      <c r="I24" s="1734">
        <f>SUM(I3,I12)-I23</f>
        <v>0</v>
      </c>
      <c r="J24" s="1734">
        <f>SUM(J3,J12)-J23</f>
        <v>0</v>
      </c>
      <c r="K24" s="1734">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29">
        <f>G24-G25</f>
        <v>0</v>
      </c>
      <c r="H26" s="1729">
        <f>H24-H25</f>
        <v>0</v>
      </c>
      <c r="I26" s="1729">
        <f>I24-I25</f>
        <v>0</v>
      </c>
      <c r="J26" s="1729">
        <f>J24-J25</f>
        <v>0</v>
      </c>
      <c r="K26" s="1729">
        <f>K24-K25</f>
        <v>0</v>
      </c>
    </row>
    <row r="27" spans="1:11" ht="5.25" customHeight="1" thickTop="1" x14ac:dyDescent="0.2">
      <c r="I27" s="202"/>
      <c r="J27" s="202"/>
    </row>
    <row r="28" spans="1:11" ht="29.25" customHeight="1" x14ac:dyDescent="0.2">
      <c r="A28" s="1851" t="s">
        <v>1907</v>
      </c>
      <c r="B28" s="1852"/>
      <c r="C28" s="1852"/>
      <c r="D28" s="1852"/>
      <c r="E28" s="1853"/>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308"/>
      <c r="I31" s="2309"/>
      <c r="J31" s="2309"/>
      <c r="K31" s="2309"/>
    </row>
    <row r="32" spans="1:11" x14ac:dyDescent="0.2">
      <c r="A32" s="782"/>
      <c r="B32" s="237"/>
      <c r="C32" s="237"/>
      <c r="D32" s="237"/>
      <c r="E32" s="778"/>
      <c r="F32" s="784" t="s">
        <v>540</v>
      </c>
      <c r="G32" s="737"/>
      <c r="H32" s="2310"/>
      <c r="I32" s="2309"/>
      <c r="J32" s="2309"/>
      <c r="K32" s="2309"/>
    </row>
    <row r="33" spans="1:11" ht="1.5" customHeight="1" x14ac:dyDescent="0.2">
      <c r="A33" s="785" t="s">
        <v>1169</v>
      </c>
      <c r="B33" s="364"/>
      <c r="C33" s="364"/>
      <c r="D33" s="364"/>
      <c r="E33" s="364"/>
      <c r="F33" s="364"/>
      <c r="G33" s="786"/>
      <c r="H33" s="2310"/>
      <c r="I33" s="2309"/>
      <c r="J33" s="2309"/>
      <c r="K33" s="2309"/>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305" t="s">
        <v>541</v>
      </c>
      <c r="B41" s="2318"/>
      <c r="C41" s="2318"/>
      <c r="D41" s="2318"/>
      <c r="E41" s="2318"/>
      <c r="F41" s="2319"/>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2" t="s">
        <v>1807</v>
      </c>
      <c r="B46" s="408" t="s">
        <v>1675</v>
      </c>
    </row>
    <row r="47" spans="1:11" s="796" customFormat="1" ht="12.75" customHeight="1" x14ac:dyDescent="0.2">
      <c r="A47" s="794"/>
      <c r="B47" s="795" t="s">
        <v>1676</v>
      </c>
      <c r="E47" s="795"/>
      <c r="K47" s="797"/>
    </row>
    <row r="48" spans="1:11" ht="12.75" customHeight="1" x14ac:dyDescent="0.2">
      <c r="A48" s="1503"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39997558519241921"/>
  </sheetPr>
  <dimension ref="A1:N27"/>
  <sheetViews>
    <sheetView showGridLines="0" defaultGridColor="0" colorId="8" zoomScale="110" zoomScaleNormal="110" workbookViewId="0">
      <selection activeCell="D15" sqref="D15"/>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0" t="s">
        <v>1906</v>
      </c>
      <c r="B1" s="2341"/>
      <c r="C1" s="2342"/>
      <c r="D1" s="799"/>
      <c r="E1" s="800"/>
      <c r="F1" s="800"/>
      <c r="G1" s="801"/>
      <c r="H1" s="802"/>
      <c r="I1" s="803"/>
      <c r="J1" s="2338"/>
      <c r="K1" s="2339"/>
      <c r="L1" s="2339"/>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0" t="s">
        <v>892</v>
      </c>
      <c r="B3" s="1601">
        <v>210</v>
      </c>
      <c r="C3" s="808"/>
      <c r="D3" s="808"/>
      <c r="E3" s="808"/>
      <c r="F3" s="1731">
        <f>(C3+D3)-E3</f>
        <v>0</v>
      </c>
      <c r="G3" s="809"/>
      <c r="H3" s="808"/>
      <c r="I3" s="808"/>
      <c r="J3" s="808"/>
      <c r="K3" s="1740">
        <f>(H3+I3)-J3</f>
        <v>0</v>
      </c>
      <c r="L3" s="1740">
        <f>F3-K3</f>
        <v>0</v>
      </c>
      <c r="M3" s="807"/>
      <c r="N3" s="807"/>
    </row>
    <row r="4" spans="1:14" ht="15" customHeight="1" thickTop="1" x14ac:dyDescent="0.2">
      <c r="A4" s="1602" t="s">
        <v>158</v>
      </c>
      <c r="B4" s="1601">
        <v>220</v>
      </c>
      <c r="C4" s="754"/>
      <c r="D4" s="754"/>
      <c r="E4" s="754"/>
      <c r="F4" s="746"/>
      <c r="G4" s="810"/>
      <c r="H4" s="811"/>
      <c r="I4" s="811"/>
      <c r="J4" s="811"/>
      <c r="K4" s="812"/>
      <c r="L4" s="746"/>
    </row>
    <row r="5" spans="1:14" ht="13.5" thickBot="1" x14ac:dyDescent="0.25">
      <c r="A5" s="751" t="s">
        <v>893</v>
      </c>
      <c r="B5" s="813">
        <v>221</v>
      </c>
      <c r="C5" s="814">
        <v>165000</v>
      </c>
      <c r="D5" s="814"/>
      <c r="E5" s="814"/>
      <c r="F5" s="1731">
        <f>(C5+D5)-E5</f>
        <v>165000</v>
      </c>
      <c r="G5" s="810"/>
      <c r="H5" s="815"/>
      <c r="I5" s="815"/>
      <c r="J5" s="815"/>
      <c r="K5" s="766"/>
      <c r="L5" s="1740">
        <f>F5-K5</f>
        <v>165000</v>
      </c>
    </row>
    <row r="6" spans="1:14" ht="14.25" thickTop="1" thickBot="1" x14ac:dyDescent="0.25">
      <c r="A6" s="751" t="s">
        <v>1117</v>
      </c>
      <c r="B6" s="813">
        <v>222</v>
      </c>
      <c r="C6" s="738"/>
      <c r="D6" s="738"/>
      <c r="E6" s="738"/>
      <c r="F6" s="1731">
        <f>(C6+D6)-E6</f>
        <v>0</v>
      </c>
      <c r="G6" s="810">
        <v>50</v>
      </c>
      <c r="H6" s="738"/>
      <c r="I6" s="738"/>
      <c r="J6" s="738"/>
      <c r="K6" s="1740">
        <f>(H6+I6)-J6</f>
        <v>0</v>
      </c>
      <c r="L6" s="1740">
        <f>F6-K6</f>
        <v>0</v>
      </c>
    </row>
    <row r="7" spans="1:14" ht="15" customHeight="1" thickTop="1" x14ac:dyDescent="0.2">
      <c r="A7" s="1602" t="s">
        <v>159</v>
      </c>
      <c r="B7" s="1601">
        <v>230</v>
      </c>
      <c r="C7" s="754"/>
      <c r="D7" s="754"/>
      <c r="E7" s="754"/>
      <c r="F7" s="746"/>
      <c r="G7" s="816"/>
      <c r="H7" s="754"/>
      <c r="I7" s="754"/>
      <c r="J7" s="754"/>
      <c r="K7" s="746"/>
      <c r="L7" s="746"/>
    </row>
    <row r="8" spans="1:14" ht="13.5" thickBot="1" x14ac:dyDescent="0.25">
      <c r="A8" s="751" t="s">
        <v>1118</v>
      </c>
      <c r="B8" s="813">
        <v>231</v>
      </c>
      <c r="C8" s="817">
        <v>14834692</v>
      </c>
      <c r="D8" s="817"/>
      <c r="E8" s="817"/>
      <c r="F8" s="1731">
        <f>(C8+D8)-E8</f>
        <v>14834692</v>
      </c>
      <c r="G8" s="816">
        <v>50</v>
      </c>
      <c r="H8" s="738">
        <v>9535212</v>
      </c>
      <c r="I8" s="738">
        <v>358044</v>
      </c>
      <c r="J8" s="738"/>
      <c r="K8" s="1740">
        <f>(H8+I8)-J8</f>
        <v>9893256</v>
      </c>
      <c r="L8" s="1740">
        <f>F8-K8</f>
        <v>4941436</v>
      </c>
    </row>
    <row r="9" spans="1:14" ht="14.25" thickTop="1" thickBot="1" x14ac:dyDescent="0.25">
      <c r="A9" s="751" t="s">
        <v>1119</v>
      </c>
      <c r="B9" s="813">
        <v>232</v>
      </c>
      <c r="C9" s="738"/>
      <c r="D9" s="738"/>
      <c r="E9" s="738"/>
      <c r="F9" s="1731">
        <f>(C9+D9)-E9</f>
        <v>0</v>
      </c>
      <c r="G9" s="816">
        <v>20</v>
      </c>
      <c r="H9" s="738"/>
      <c r="I9" s="738"/>
      <c r="J9" s="738"/>
      <c r="K9" s="1740">
        <f>(H9+I9)-J9</f>
        <v>0</v>
      </c>
      <c r="L9" s="1740">
        <f>F9-K9</f>
        <v>0</v>
      </c>
    </row>
    <row r="10" spans="1:14" ht="24" thickTop="1" thickBot="1" x14ac:dyDescent="0.25">
      <c r="A10" s="818" t="s">
        <v>1120</v>
      </c>
      <c r="B10" s="813">
        <v>240</v>
      </c>
      <c r="C10" s="819">
        <v>955744</v>
      </c>
      <c r="D10" s="819">
        <v>91872</v>
      </c>
      <c r="E10" s="819"/>
      <c r="F10" s="1735">
        <f>(C10+D10)-E10</f>
        <v>1047616</v>
      </c>
      <c r="G10" s="816">
        <v>20</v>
      </c>
      <c r="H10" s="820">
        <v>705267</v>
      </c>
      <c r="I10" s="820">
        <v>27196</v>
      </c>
      <c r="J10" s="820"/>
      <c r="K10" s="1740">
        <f>(H10+I10)-J10</f>
        <v>732463</v>
      </c>
      <c r="L10" s="1740">
        <f>F10-K10</f>
        <v>315153</v>
      </c>
    </row>
    <row r="11" spans="1:14" ht="13.5" thickTop="1" x14ac:dyDescent="0.2">
      <c r="A11" s="1603" t="s">
        <v>1136</v>
      </c>
      <c r="B11" s="1601">
        <v>250</v>
      </c>
      <c r="C11" s="754"/>
      <c r="D11" s="754"/>
      <c r="E11" s="754"/>
      <c r="F11" s="746"/>
      <c r="G11" s="816"/>
      <c r="H11" s="754"/>
      <c r="I11" s="754"/>
      <c r="J11" s="754"/>
      <c r="K11" s="746"/>
      <c r="L11" s="746"/>
    </row>
    <row r="12" spans="1:14" ht="13.5" thickBot="1" x14ac:dyDescent="0.25">
      <c r="A12" s="821" t="s">
        <v>1121</v>
      </c>
      <c r="B12" s="813">
        <v>251</v>
      </c>
      <c r="C12" s="817">
        <v>3111806</v>
      </c>
      <c r="D12" s="817">
        <v>685063</v>
      </c>
      <c r="E12" s="817">
        <v>79303</v>
      </c>
      <c r="F12" s="1731">
        <f>(C12+D12)-E12</f>
        <v>3717566</v>
      </c>
      <c r="G12" s="816">
        <v>10</v>
      </c>
      <c r="H12" s="738">
        <v>1781735</v>
      </c>
      <c r="I12" s="738">
        <v>263949</v>
      </c>
      <c r="J12" s="738">
        <v>67677</v>
      </c>
      <c r="K12" s="1740">
        <f>(H12+I12)-J12</f>
        <v>1978007</v>
      </c>
      <c r="L12" s="1740">
        <f>F12-K12</f>
        <v>1739559</v>
      </c>
    </row>
    <row r="13" spans="1:14" ht="14.25" thickTop="1" thickBot="1" x14ac:dyDescent="0.25">
      <c r="A13" s="821" t="s">
        <v>1122</v>
      </c>
      <c r="B13" s="813">
        <v>252</v>
      </c>
      <c r="C13" s="817"/>
      <c r="D13" s="817"/>
      <c r="E13" s="817"/>
      <c r="F13" s="1731">
        <f>(C13+D13)-E13</f>
        <v>0</v>
      </c>
      <c r="G13" s="816">
        <v>5</v>
      </c>
      <c r="H13" s="738"/>
      <c r="I13" s="738"/>
      <c r="J13" s="738"/>
      <c r="K13" s="1740">
        <f>(H13+I13)-J13</f>
        <v>0</v>
      </c>
      <c r="L13" s="1740">
        <f>F13-K13</f>
        <v>0</v>
      </c>
    </row>
    <row r="14" spans="1:14" ht="14.25" thickTop="1" thickBot="1" x14ac:dyDescent="0.25">
      <c r="A14" s="821" t="s">
        <v>1123</v>
      </c>
      <c r="B14" s="813">
        <v>253</v>
      </c>
      <c r="C14" s="738"/>
      <c r="D14" s="738"/>
      <c r="E14" s="738"/>
      <c r="F14" s="1731">
        <f>(C14+D14)-E14</f>
        <v>0</v>
      </c>
      <c r="G14" s="816">
        <v>3</v>
      </c>
      <c r="H14" s="738"/>
      <c r="I14" s="738"/>
      <c r="J14" s="738"/>
      <c r="K14" s="1740">
        <f>(H14+I14)-J14</f>
        <v>0</v>
      </c>
      <c r="L14" s="1740">
        <f>F14-K14</f>
        <v>0</v>
      </c>
    </row>
    <row r="15" spans="1:14" ht="15" customHeight="1" thickTop="1" thickBot="1" x14ac:dyDescent="0.25">
      <c r="A15" s="1602" t="s">
        <v>528</v>
      </c>
      <c r="B15" s="1601">
        <v>260</v>
      </c>
      <c r="C15" s="817">
        <v>408562</v>
      </c>
      <c r="D15" s="817">
        <v>368796</v>
      </c>
      <c r="E15" s="817"/>
      <c r="F15" s="1731">
        <f>(C15+D15)-E15</f>
        <v>777358</v>
      </c>
      <c r="G15" s="822" t="s">
        <v>862</v>
      </c>
      <c r="H15" s="754"/>
      <c r="I15" s="754"/>
      <c r="J15" s="754"/>
      <c r="K15" s="754"/>
      <c r="L15" s="1740">
        <f>F15-K15</f>
        <v>777358</v>
      </c>
    </row>
    <row r="16" spans="1:14" ht="15" customHeight="1" thickTop="1" thickBot="1" x14ac:dyDescent="0.25">
      <c r="A16" s="1736" t="s">
        <v>643</v>
      </c>
      <c r="B16" s="1737">
        <v>200</v>
      </c>
      <c r="C16" s="1731">
        <f>SUM(C3,C5:C6,C8:C10,C12:C15)</f>
        <v>19475804</v>
      </c>
      <c r="D16" s="1731">
        <f>SUM(D3,D5:D6,D8:D10,D12:D15)</f>
        <v>1145731</v>
      </c>
      <c r="E16" s="1731">
        <f>SUM(E3,E5:E6,E8:E10,E12:E15)</f>
        <v>79303</v>
      </c>
      <c r="F16" s="1731">
        <f>SUM(F3,F5:F6,F8:F10,F12:F15)</f>
        <v>20542232</v>
      </c>
      <c r="G16" s="816"/>
      <c r="H16" s="1731">
        <f>SUM(H3,H6,H8:H10,H12:H14,)</f>
        <v>12022214</v>
      </c>
      <c r="I16" s="1731">
        <f>SUM(I3,I6,I8:I10,I12:I14,)</f>
        <v>649189</v>
      </c>
      <c r="J16" s="1731">
        <f>SUM(J3,J6,J8:J10,J12:J14,)</f>
        <v>67677</v>
      </c>
      <c r="K16" s="1731">
        <f>(H16+I16)-J16</f>
        <v>12603726</v>
      </c>
      <c r="L16" s="1731">
        <f>F16-K16</f>
        <v>7938506</v>
      </c>
    </row>
    <row r="17" spans="1:12" ht="15" customHeight="1" thickTop="1" thickBot="1" x14ac:dyDescent="0.25">
      <c r="A17" s="1604" t="s">
        <v>291</v>
      </c>
      <c r="B17" s="1601">
        <v>700</v>
      </c>
      <c r="C17" s="742"/>
      <c r="D17" s="742"/>
      <c r="E17" s="742"/>
      <c r="F17" s="1731">
        <f>SUM('Expenditures 15-22'!I114,'Expenditures 15-22'!I151,'Expenditures 15-22'!I210,'Expenditures 15-22'!I312,'Expenditures 15-22'!I342,'Expenditures 15-22'!I367)</f>
        <v>68078</v>
      </c>
      <c r="G17" s="810">
        <v>10</v>
      </c>
      <c r="H17" s="742"/>
      <c r="I17" s="1740">
        <f>F17/G17</f>
        <v>6807.8</v>
      </c>
      <c r="J17" s="742"/>
      <c r="K17" s="768"/>
      <c r="L17" s="768"/>
    </row>
    <row r="18" spans="1:12" ht="14.25" thickTop="1" thickBot="1" x14ac:dyDescent="0.25">
      <c r="A18" s="1738" t="s">
        <v>685</v>
      </c>
      <c r="B18" s="1739"/>
      <c r="C18" s="744"/>
      <c r="D18" s="744"/>
      <c r="E18" s="744"/>
      <c r="F18" s="823"/>
      <c r="G18" s="824"/>
      <c r="H18" s="746"/>
      <c r="I18" s="1731">
        <f>SUM(I16,I17)</f>
        <v>655996.80000000005</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39997558519241921"/>
  </sheetPr>
  <dimension ref="A1:H202"/>
  <sheetViews>
    <sheetView showGridLines="0" defaultGridColor="0" view="pageBreakPreview" colorId="8" zoomScaleNormal="110" zoomScaleSheetLayoutView="100" workbookViewId="0">
      <pane ySplit="5" topLeftCell="A6" activePane="bottomLeft" state="frozen"/>
      <selection activeCell="AF22" sqref="AF22"/>
      <selection pane="bottomLeft" activeCell="AF22" sqref="AF22"/>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46" t="s">
        <v>1972</v>
      </c>
      <c r="B1" s="2347"/>
      <c r="C1" s="2347"/>
      <c r="D1" s="2347"/>
      <c r="E1" s="2347"/>
      <c r="F1" s="2348"/>
      <c r="G1" s="828"/>
    </row>
    <row r="2" spans="1:7" ht="15" customHeight="1" thickBot="1" x14ac:dyDescent="0.25">
      <c r="A2" s="2349" t="s">
        <v>477</v>
      </c>
      <c r="B2" s="2350"/>
      <c r="C2" s="2350"/>
      <c r="D2" s="2350"/>
      <c r="E2" s="2350"/>
      <c r="F2" s="2351"/>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52"/>
      <c r="B5" s="2353"/>
      <c r="C5" s="2353"/>
      <c r="D5" s="2353"/>
      <c r="E5" s="2353"/>
      <c r="F5" s="2353"/>
    </row>
    <row r="6" spans="1:7" ht="13.5" customHeight="1" thickBot="1" x14ac:dyDescent="0.25">
      <c r="A6" s="2343" t="s">
        <v>1104</v>
      </c>
      <c r="B6" s="2344"/>
      <c r="C6" s="2344"/>
      <c r="D6" s="2344"/>
      <c r="E6" s="2344"/>
      <c r="F6" s="2345"/>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79">
        <f>'Expenditures 15-22'!K114</f>
        <v>46241941</v>
      </c>
      <c r="G8" s="838"/>
    </row>
    <row r="9" spans="1:7" x14ac:dyDescent="0.2">
      <c r="A9" s="842" t="s">
        <v>460</v>
      </c>
      <c r="B9" s="843" t="s">
        <v>1874</v>
      </c>
      <c r="C9" s="844"/>
      <c r="D9" s="842" t="s">
        <v>501</v>
      </c>
      <c r="E9" s="841"/>
      <c r="F9" s="1880">
        <f>'Expenditures 15-22'!K151</f>
        <v>0</v>
      </c>
      <c r="G9" s="845"/>
    </row>
    <row r="10" spans="1:7" x14ac:dyDescent="0.2">
      <c r="A10" s="842" t="s">
        <v>499</v>
      </c>
      <c r="B10" s="843" t="s">
        <v>1875</v>
      </c>
      <c r="C10" s="844"/>
      <c r="D10" s="842" t="s">
        <v>501</v>
      </c>
      <c r="E10" s="841"/>
      <c r="F10" s="1880">
        <f>'Expenditures 15-22'!K174</f>
        <v>0</v>
      </c>
      <c r="G10" s="845"/>
    </row>
    <row r="11" spans="1:7" x14ac:dyDescent="0.2">
      <c r="A11" s="842" t="s">
        <v>461</v>
      </c>
      <c r="B11" s="843" t="s">
        <v>1876</v>
      </c>
      <c r="C11" s="844"/>
      <c r="D11" s="842" t="s">
        <v>501</v>
      </c>
      <c r="E11" s="841"/>
      <c r="F11" s="1880">
        <f>'Expenditures 15-22'!K210</f>
        <v>2887809</v>
      </c>
      <c r="G11" s="845"/>
    </row>
    <row r="12" spans="1:7" x14ac:dyDescent="0.2">
      <c r="A12" s="842" t="s">
        <v>462</v>
      </c>
      <c r="B12" s="843" t="s">
        <v>1877</v>
      </c>
      <c r="C12" s="844"/>
      <c r="D12" s="842" t="s">
        <v>501</v>
      </c>
      <c r="E12" s="841"/>
      <c r="F12" s="1880">
        <f>'Expenditures 15-22'!K295</f>
        <v>0</v>
      </c>
      <c r="G12" s="845"/>
    </row>
    <row r="13" spans="1:7" x14ac:dyDescent="0.2">
      <c r="A13" s="842" t="s">
        <v>106</v>
      </c>
      <c r="B13" s="843" t="s">
        <v>1878</v>
      </c>
      <c r="C13" s="844"/>
      <c r="D13" s="842" t="s">
        <v>501</v>
      </c>
      <c r="E13" s="841"/>
      <c r="F13" s="1880">
        <f>'Expenditures 15-22'!K342</f>
        <v>0</v>
      </c>
      <c r="G13" s="846"/>
    </row>
    <row r="14" spans="1:7" ht="12" customHeight="1" thickBot="1" x14ac:dyDescent="0.25">
      <c r="A14" s="1741"/>
      <c r="B14" s="1742"/>
      <c r="C14" s="1743"/>
      <c r="D14" s="1744" t="s">
        <v>501</v>
      </c>
      <c r="E14" s="1745" t="s">
        <v>958</v>
      </c>
      <c r="F14" s="1746">
        <f>SUM(F8:F13)</f>
        <v>49129750</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1">
        <f>'Revenues 9-14'!F43</f>
        <v>0</v>
      </c>
      <c r="G18" s="838"/>
    </row>
    <row r="19" spans="1:7" x14ac:dyDescent="0.2">
      <c r="A19" s="842" t="s">
        <v>461</v>
      </c>
      <c r="B19" s="843" t="s">
        <v>1011</v>
      </c>
      <c r="C19" s="850">
        <f>'Revenues 9-14'!B47</f>
        <v>1421</v>
      </c>
      <c r="D19" s="851" t="str">
        <f>'Revenues 9-14'!A47</f>
        <v>Summer Sch - Transp. Fees from Pupils or Parents (In State)</v>
      </c>
      <c r="E19" s="852"/>
      <c r="F19" s="1882">
        <f>'Revenues 9-14'!F47</f>
        <v>0</v>
      </c>
      <c r="G19" s="838"/>
    </row>
    <row r="20" spans="1:7" x14ac:dyDescent="0.2">
      <c r="A20" s="842" t="s">
        <v>461</v>
      </c>
      <c r="B20" s="843" t="s">
        <v>1012</v>
      </c>
      <c r="C20" s="848">
        <f>'Revenues 9-14'!B48</f>
        <v>1422</v>
      </c>
      <c r="D20" s="849" t="str">
        <f>'Revenues 9-14'!A48</f>
        <v>Summer Sch - Transp. Fees from Other Districts (In State)</v>
      </c>
      <c r="E20" s="841"/>
      <c r="F20" s="1883">
        <f>'Revenues 9-14'!F48</f>
        <v>0</v>
      </c>
      <c r="G20" s="838"/>
    </row>
    <row r="21" spans="1:7" x14ac:dyDescent="0.2">
      <c r="A21" s="842" t="s">
        <v>461</v>
      </c>
      <c r="B21" s="843" t="s">
        <v>1013</v>
      </c>
      <c r="C21" s="850">
        <f>'Revenues 9-14'!B49</f>
        <v>1423</v>
      </c>
      <c r="D21" s="849" t="str">
        <f>'Revenues 9-14'!A49</f>
        <v>Summer Sch - Transp. Fees from Other Sources (In State)</v>
      </c>
      <c r="E21" s="841"/>
      <c r="F21" s="1884">
        <f>'Revenues 9-14'!F49</f>
        <v>0</v>
      </c>
      <c r="G21" s="838"/>
    </row>
    <row r="22" spans="1:7" x14ac:dyDescent="0.2">
      <c r="A22" s="842" t="s">
        <v>461</v>
      </c>
      <c r="B22" s="843" t="s">
        <v>1014</v>
      </c>
      <c r="C22" s="850">
        <f>'Revenues 9-14'!B50</f>
        <v>1424</v>
      </c>
      <c r="D22" s="849" t="str">
        <f>'Revenues 9-14'!A50</f>
        <v>Summer Sch - Transp. Fees from Other Sources (Out of State)</v>
      </c>
      <c r="E22" s="841"/>
      <c r="F22" s="1884">
        <f>'Revenues 9-14'!F50</f>
        <v>0</v>
      </c>
      <c r="G22" s="838"/>
    </row>
    <row r="23" spans="1:7" x14ac:dyDescent="0.2">
      <c r="A23" s="842" t="s">
        <v>461</v>
      </c>
      <c r="B23" s="843" t="s">
        <v>1015</v>
      </c>
      <c r="C23" s="848">
        <f>'Revenues 9-14'!B52</f>
        <v>1432</v>
      </c>
      <c r="D23" s="849" t="str">
        <f>'Revenues 9-14'!A52</f>
        <v>CTE - Transp Fees from Other Districts (In State)</v>
      </c>
      <c r="E23" s="841"/>
      <c r="F23" s="1884">
        <f>'Revenues 9-14'!F52</f>
        <v>0</v>
      </c>
      <c r="G23" s="838"/>
    </row>
    <row r="24" spans="1:7" x14ac:dyDescent="0.2">
      <c r="A24" s="842" t="s">
        <v>461</v>
      </c>
      <c r="B24" s="843" t="s">
        <v>1016</v>
      </c>
      <c r="C24" s="848">
        <f>'Revenues 9-14'!B56</f>
        <v>1442</v>
      </c>
      <c r="D24" s="849" t="str">
        <f>'Revenues 9-14'!A56</f>
        <v>Special Ed - Transp Fees from Other Districts (In State)</v>
      </c>
      <c r="E24" s="841"/>
      <c r="F24" s="1884">
        <f>'Revenues 9-14'!F56</f>
        <v>2643603</v>
      </c>
      <c r="G24" s="838"/>
    </row>
    <row r="25" spans="1:7" x14ac:dyDescent="0.2">
      <c r="A25" s="842" t="s">
        <v>461</v>
      </c>
      <c r="B25" s="843" t="s">
        <v>1017</v>
      </c>
      <c r="C25" s="848">
        <f>'Revenues 9-14'!B59</f>
        <v>1451</v>
      </c>
      <c r="D25" s="849" t="str">
        <f>'Revenues 9-14'!A59</f>
        <v>Adult - Transp Fees from Pupils or Parents (In State)</v>
      </c>
      <c r="E25" s="841"/>
      <c r="F25" s="1884">
        <f>'Revenues 9-14'!F59</f>
        <v>0</v>
      </c>
      <c r="G25" s="838"/>
    </row>
    <row r="26" spans="1:7" x14ac:dyDescent="0.2">
      <c r="A26" s="842" t="s">
        <v>461</v>
      </c>
      <c r="B26" s="843" t="s">
        <v>1018</v>
      </c>
      <c r="C26" s="848">
        <f>'Revenues 9-14'!B60</f>
        <v>1452</v>
      </c>
      <c r="D26" s="849" t="str">
        <f>'Revenues 9-14'!A60</f>
        <v>Adult - Transp Fees from Other Districts (In State)</v>
      </c>
      <c r="E26" s="841"/>
      <c r="F26" s="1884">
        <f>'Revenues 9-14'!F60</f>
        <v>0</v>
      </c>
      <c r="G26" s="838"/>
    </row>
    <row r="27" spans="1:7" x14ac:dyDescent="0.2">
      <c r="A27" s="842" t="s">
        <v>461</v>
      </c>
      <c r="B27" s="843" t="s">
        <v>1019</v>
      </c>
      <c r="C27" s="848">
        <f>'Revenues 9-14'!B61</f>
        <v>1453</v>
      </c>
      <c r="D27" s="849" t="str">
        <f>'Revenues 9-14'!A61</f>
        <v>Adult - Transp Fees from Other Sources (In State)</v>
      </c>
      <c r="E27" s="841"/>
      <c r="F27" s="1884">
        <f>'Revenues 9-14'!F61</f>
        <v>0</v>
      </c>
      <c r="G27" s="838"/>
    </row>
    <row r="28" spans="1:7" x14ac:dyDescent="0.2">
      <c r="A28" s="842" t="s">
        <v>461</v>
      </c>
      <c r="B28" s="843" t="s">
        <v>1020</v>
      </c>
      <c r="C28" s="848">
        <f>'Revenues 9-14'!B62</f>
        <v>1454</v>
      </c>
      <c r="D28" s="849" t="str">
        <f>'Revenues 9-14'!A62</f>
        <v>Adult - Transp Fees from Other Sources (Out of State)</v>
      </c>
      <c r="E28" s="841"/>
      <c r="F28" s="1884">
        <f>'Revenues 9-14'!F62</f>
        <v>0</v>
      </c>
      <c r="G28" s="838"/>
    </row>
    <row r="29" spans="1:7" x14ac:dyDescent="0.2">
      <c r="A29" s="842" t="s">
        <v>1097</v>
      </c>
      <c r="B29" s="843" t="s">
        <v>810</v>
      </c>
      <c r="C29" s="853">
        <f>'Revenues 9-14'!B149</f>
        <v>3410</v>
      </c>
      <c r="D29" s="854" t="str">
        <f>'Revenues 9-14'!A149</f>
        <v>Adult Ed (from ICCB)</v>
      </c>
      <c r="E29" s="841"/>
      <c r="F29" s="1884">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5">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4">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4">
        <f>SUM('Revenues 9-14'!D212,'Revenues 9-14'!F212)</f>
        <v>0</v>
      </c>
      <c r="G32" s="838"/>
    </row>
    <row r="33" spans="1:7" x14ac:dyDescent="0.2">
      <c r="A33" s="842" t="s">
        <v>460</v>
      </c>
      <c r="B33" s="843" t="s">
        <v>1999</v>
      </c>
      <c r="C33" s="848">
        <f>'Revenues 9-14'!B222</f>
        <v>4810</v>
      </c>
      <c r="D33" s="856" t="str">
        <f>'Revenues 9-14'!A222</f>
        <v>Federal - Adult Education</v>
      </c>
      <c r="E33" s="841"/>
      <c r="F33" s="1884">
        <f>'Revenues 9-14'!D222</f>
        <v>0</v>
      </c>
      <c r="G33" s="838"/>
    </row>
    <row r="34" spans="1:7" x14ac:dyDescent="0.2">
      <c r="A34" s="842" t="s">
        <v>459</v>
      </c>
      <c r="B34" s="842" t="s">
        <v>1469</v>
      </c>
      <c r="C34" s="859" t="str">
        <f>'Expenditures 15-22'!B7</f>
        <v>1125</v>
      </c>
      <c r="D34" s="860" t="str">
        <f>'Expenditures 15-22'!A7</f>
        <v>Pre-K Programs</v>
      </c>
      <c r="E34" s="841"/>
      <c r="F34" s="1884">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4">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4">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4">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4">
        <f>'Expenditures 15-22'!K15-SUM('Expenditures 15-22'!G15,'Expenditures 15-22'!I15)</f>
        <v>0</v>
      </c>
      <c r="G38" s="838"/>
    </row>
    <row r="39" spans="1:7" x14ac:dyDescent="0.2">
      <c r="A39" s="842" t="s">
        <v>459</v>
      </c>
      <c r="B39" s="842" t="s">
        <v>117</v>
      </c>
      <c r="C39" s="859" t="str">
        <f>'Expenditures 15-22'!B20</f>
        <v>1910</v>
      </c>
      <c r="D39" s="861" t="str">
        <f>'Expenditures 15-22'!A20</f>
        <v>Pre-K Programs - Private Tuition</v>
      </c>
      <c r="E39" s="841"/>
      <c r="F39" s="1884">
        <f>'Expenditures 15-22'!K20</f>
        <v>0</v>
      </c>
      <c r="G39" s="838"/>
    </row>
    <row r="40" spans="1:7" x14ac:dyDescent="0.2">
      <c r="A40" s="842" t="s">
        <v>459</v>
      </c>
      <c r="B40" s="842" t="s">
        <v>118</v>
      </c>
      <c r="C40" s="859" t="str">
        <f>'Expenditures 15-22'!B21</f>
        <v>1911</v>
      </c>
      <c r="D40" s="861" t="str">
        <f>'Expenditures 15-22'!A21</f>
        <v>Regular K-12 Programs - Private Tuition</v>
      </c>
      <c r="E40" s="841"/>
      <c r="F40" s="1884">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4">
        <f>'Expenditures 15-22'!K22</f>
        <v>0</v>
      </c>
      <c r="G41" s="838"/>
    </row>
    <row r="42" spans="1:7" x14ac:dyDescent="0.2">
      <c r="A42" s="842" t="s">
        <v>459</v>
      </c>
      <c r="B42" s="842" t="s">
        <v>120</v>
      </c>
      <c r="C42" s="862" t="str">
        <f>'Expenditures 15-22'!B23</f>
        <v>1913</v>
      </c>
      <c r="D42" s="861" t="str">
        <f>'Expenditures 15-22'!A23</f>
        <v>Special Education Programs Pre-K - Tuition</v>
      </c>
      <c r="E42" s="841"/>
      <c r="F42" s="1884">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4">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4">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4">
        <f>'Expenditures 15-22'!K26</f>
        <v>0</v>
      </c>
      <c r="G45" s="838"/>
    </row>
    <row r="46" spans="1:7" x14ac:dyDescent="0.2">
      <c r="A46" s="842" t="s">
        <v>459</v>
      </c>
      <c r="B46" s="842" t="s">
        <v>124</v>
      </c>
      <c r="C46" s="859" t="str">
        <f>'Expenditures 15-22'!B27</f>
        <v>1917</v>
      </c>
      <c r="D46" s="861" t="str">
        <f>'Expenditures 15-22'!A27</f>
        <v>CTE Programs - Private Tuition</v>
      </c>
      <c r="E46" s="841"/>
      <c r="F46" s="1884">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4">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4">
        <f>'Expenditures 15-22'!K29</f>
        <v>0</v>
      </c>
      <c r="G48" s="838"/>
    </row>
    <row r="49" spans="1:7" x14ac:dyDescent="0.2">
      <c r="A49" s="842" t="s">
        <v>459</v>
      </c>
      <c r="B49" s="842" t="s">
        <v>127</v>
      </c>
      <c r="C49" s="859" t="str">
        <f>'Expenditures 15-22'!B30</f>
        <v>1920</v>
      </c>
      <c r="D49" s="861" t="str">
        <f>'Expenditures 15-22'!A30</f>
        <v>Gifted Programs - Private Tuition</v>
      </c>
      <c r="E49" s="841"/>
      <c r="F49" s="1884">
        <f>'Expenditures 15-22'!K30</f>
        <v>0</v>
      </c>
      <c r="G49" s="838"/>
    </row>
    <row r="50" spans="1:7" x14ac:dyDescent="0.2">
      <c r="A50" s="842" t="s">
        <v>459</v>
      </c>
      <c r="B50" s="842" t="s">
        <v>128</v>
      </c>
      <c r="C50" s="859" t="str">
        <f>'Expenditures 15-22'!B31</f>
        <v>1921</v>
      </c>
      <c r="D50" s="861" t="str">
        <f>'Expenditures 15-22'!A31</f>
        <v>Bilingual Programs - Private Tuition</v>
      </c>
      <c r="E50" s="841"/>
      <c r="F50" s="1884">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4">
        <f>'Expenditures 15-22'!K32</f>
        <v>0</v>
      </c>
      <c r="G51" s="838"/>
    </row>
    <row r="52" spans="1:7" x14ac:dyDescent="0.2">
      <c r="A52" s="842" t="s">
        <v>459</v>
      </c>
      <c r="B52" s="842" t="s">
        <v>1474</v>
      </c>
      <c r="C52" s="862" t="str">
        <f>'Expenditures 15-22'!B75</f>
        <v>3000</v>
      </c>
      <c r="D52" s="861" t="s">
        <v>449</v>
      </c>
      <c r="E52" s="841"/>
      <c r="F52" s="1884">
        <f>'Expenditures 15-22'!K75-SUM('Expenditures 15-22'!G75,'Expenditures 15-22'!I75)</f>
        <v>0</v>
      </c>
      <c r="G52" s="838"/>
    </row>
    <row r="53" spans="1:7" x14ac:dyDescent="0.2">
      <c r="A53" s="842" t="s">
        <v>459</v>
      </c>
      <c r="B53" s="842" t="s">
        <v>1475</v>
      </c>
      <c r="C53" s="862">
        <f>'Expenditures 15-22'!B102</f>
        <v>4000</v>
      </c>
      <c r="D53" s="861" t="str">
        <f>'Expenditures 15-22'!A102</f>
        <v>Total Payments to Other Govt Units</v>
      </c>
      <c r="E53" s="841"/>
      <c r="F53" s="1884">
        <f>'Expenditures 15-22'!K102</f>
        <v>11000303</v>
      </c>
      <c r="G53" s="838"/>
    </row>
    <row r="54" spans="1:7" x14ac:dyDescent="0.2">
      <c r="A54" s="842" t="s">
        <v>459</v>
      </c>
      <c r="B54" s="842" t="s">
        <v>1476</v>
      </c>
      <c r="C54" s="862" t="s">
        <v>982</v>
      </c>
      <c r="D54" s="858" t="s">
        <v>1095</v>
      </c>
      <c r="E54" s="841"/>
      <c r="F54" s="1884">
        <f>'Expenditures 15-22'!G114</f>
        <v>1066610</v>
      </c>
      <c r="G54" s="838"/>
    </row>
    <row r="55" spans="1:7" x14ac:dyDescent="0.2">
      <c r="A55" s="842" t="s">
        <v>459</v>
      </c>
      <c r="B55" s="842" t="s">
        <v>1477</v>
      </c>
      <c r="C55" s="862" t="s">
        <v>982</v>
      </c>
      <c r="D55" s="858" t="s">
        <v>291</v>
      </c>
      <c r="E55" s="841"/>
      <c r="F55" s="1884">
        <f>'Expenditures 15-22'!I114</f>
        <v>68078</v>
      </c>
      <c r="G55" s="838"/>
    </row>
    <row r="56" spans="1:7" x14ac:dyDescent="0.2">
      <c r="A56" s="842" t="s">
        <v>460</v>
      </c>
      <c r="B56" s="842" t="s">
        <v>1478</v>
      </c>
      <c r="C56" s="859" t="str">
        <f>'Expenditures 15-22'!B130</f>
        <v>3000</v>
      </c>
      <c r="D56" s="865" t="s">
        <v>449</v>
      </c>
      <c r="E56" s="841"/>
      <c r="F56" s="1884">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4">
        <f>'Expenditures 15-22'!K139</f>
        <v>0</v>
      </c>
      <c r="G57" s="838"/>
    </row>
    <row r="58" spans="1:7" x14ac:dyDescent="0.2">
      <c r="A58" s="842" t="s">
        <v>460</v>
      </c>
      <c r="B58" s="842" t="s">
        <v>1880</v>
      </c>
      <c r="C58" s="859" t="s">
        <v>982</v>
      </c>
      <c r="D58" s="858" t="s">
        <v>1095</v>
      </c>
      <c r="E58" s="841"/>
      <c r="F58" s="1886">
        <f>'Expenditures 15-22'!G151</f>
        <v>0</v>
      </c>
      <c r="G58" s="838"/>
    </row>
    <row r="59" spans="1:7" x14ac:dyDescent="0.2">
      <c r="A59" s="866" t="s">
        <v>460</v>
      </c>
      <c r="B59" s="829" t="s">
        <v>1881</v>
      </c>
      <c r="C59" s="867" t="s">
        <v>982</v>
      </c>
      <c r="D59" s="829" t="s">
        <v>291</v>
      </c>
      <c r="F59" s="1887">
        <f>'Expenditures 15-22'!I151</f>
        <v>0</v>
      </c>
      <c r="G59" s="838"/>
    </row>
    <row r="60" spans="1:7" x14ac:dyDescent="0.2">
      <c r="A60" s="866" t="s">
        <v>499</v>
      </c>
      <c r="B60" s="829" t="s">
        <v>1882</v>
      </c>
      <c r="C60" s="867">
        <v>4000</v>
      </c>
      <c r="D60" s="829" t="s">
        <v>312</v>
      </c>
      <c r="F60" s="1885">
        <f>'Expenditures 15-22'!K160</f>
        <v>0</v>
      </c>
      <c r="G60" s="838"/>
    </row>
    <row r="61" spans="1:7" x14ac:dyDescent="0.2">
      <c r="A61" s="868" t="s">
        <v>499</v>
      </c>
      <c r="B61" s="868" t="s">
        <v>1883</v>
      </c>
      <c r="C61" s="869" t="str">
        <f>'Expenditures 15-22'!B170</f>
        <v>5300</v>
      </c>
      <c r="D61" s="870" t="s">
        <v>311</v>
      </c>
      <c r="E61" s="852"/>
      <c r="F61" s="1884">
        <f>'Expenditures 15-22'!K170</f>
        <v>0</v>
      </c>
      <c r="G61" s="838"/>
    </row>
    <row r="62" spans="1:7" x14ac:dyDescent="0.2">
      <c r="A62" s="842" t="s">
        <v>461</v>
      </c>
      <c r="B62" s="842" t="s">
        <v>1884</v>
      </c>
      <c r="C62" s="859">
        <f>'Expenditures 15-22'!B185</f>
        <v>3000</v>
      </c>
      <c r="D62" s="849" t="s">
        <v>449</v>
      </c>
      <c r="E62" s="841"/>
      <c r="F62" s="1884">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4">
        <f>'Expenditures 15-22'!K196</f>
        <v>0</v>
      </c>
      <c r="G63" s="838"/>
    </row>
    <row r="64" spans="1:7" x14ac:dyDescent="0.2">
      <c r="A64" s="868" t="s">
        <v>461</v>
      </c>
      <c r="B64" s="868" t="s">
        <v>1886</v>
      </c>
      <c r="C64" s="869" t="str">
        <f>'Expenditures 15-22'!B206</f>
        <v>5300</v>
      </c>
      <c r="D64" s="865" t="s">
        <v>311</v>
      </c>
      <c r="E64" s="841"/>
      <c r="F64" s="1884">
        <f>'Expenditures 15-22'!K206</f>
        <v>0</v>
      </c>
      <c r="G64" s="838"/>
    </row>
    <row r="65" spans="1:8" x14ac:dyDescent="0.2">
      <c r="A65" s="842" t="s">
        <v>461</v>
      </c>
      <c r="B65" s="842" t="s">
        <v>1887</v>
      </c>
      <c r="C65" s="859" t="s">
        <v>982</v>
      </c>
      <c r="D65" s="858" t="s">
        <v>1095</v>
      </c>
      <c r="E65" s="841"/>
      <c r="F65" s="1884">
        <f>'Expenditures 15-22'!G210</f>
        <v>79121</v>
      </c>
      <c r="G65" s="838"/>
    </row>
    <row r="66" spans="1:8" x14ac:dyDescent="0.2">
      <c r="A66" s="842" t="s">
        <v>461</v>
      </c>
      <c r="B66" s="842" t="s">
        <v>1888</v>
      </c>
      <c r="C66" s="859" t="s">
        <v>982</v>
      </c>
      <c r="D66" s="858" t="s">
        <v>291</v>
      </c>
      <c r="E66" s="841"/>
      <c r="F66" s="1884">
        <f>'Expenditures 15-22'!I210</f>
        <v>0</v>
      </c>
      <c r="G66" s="838"/>
    </row>
    <row r="67" spans="1:8" x14ac:dyDescent="0.2">
      <c r="A67" s="842" t="s">
        <v>462</v>
      </c>
      <c r="B67" s="842" t="s">
        <v>1889</v>
      </c>
      <c r="C67" s="859" t="str">
        <f>'Expenditures 15-22'!B216</f>
        <v>1125</v>
      </c>
      <c r="D67" s="865" t="str">
        <f>'Expenditures 15-22'!A216</f>
        <v>Pre-K Programs</v>
      </c>
      <c r="E67" s="841"/>
      <c r="F67" s="1884">
        <f>'Expenditures 15-22'!K216</f>
        <v>0</v>
      </c>
      <c r="G67" s="838"/>
    </row>
    <row r="68" spans="1:8" x14ac:dyDescent="0.2">
      <c r="A68" s="842" t="s">
        <v>462</v>
      </c>
      <c r="B68" s="842" t="s">
        <v>1479</v>
      </c>
      <c r="C68" s="859" t="str">
        <f>'Expenditures 15-22'!B218</f>
        <v>1225</v>
      </c>
      <c r="D68" s="865" t="str">
        <f>'Expenditures 15-22'!A218</f>
        <v>Special Education Programs - Pre-K</v>
      </c>
      <c r="E68" s="841"/>
      <c r="F68" s="1884">
        <f>'Expenditures 15-22'!K218</f>
        <v>0</v>
      </c>
      <c r="G68" s="838"/>
    </row>
    <row r="69" spans="1:8" x14ac:dyDescent="0.2">
      <c r="A69" s="842" t="s">
        <v>462</v>
      </c>
      <c r="B69" s="842" t="s">
        <v>1890</v>
      </c>
      <c r="C69" s="859" t="str">
        <f>'Expenditures 15-22'!B220</f>
        <v>1275</v>
      </c>
      <c r="D69" s="865" t="str">
        <f>'Expenditures 15-22'!A220</f>
        <v>Remedial and Supplemental Programs - Pre-K</v>
      </c>
      <c r="E69" s="841"/>
      <c r="F69" s="1884">
        <f>'Expenditures 15-22'!K220</f>
        <v>0</v>
      </c>
      <c r="G69" s="838"/>
    </row>
    <row r="70" spans="1:8" x14ac:dyDescent="0.2">
      <c r="A70" s="842" t="s">
        <v>462</v>
      </c>
      <c r="B70" s="842" t="s">
        <v>1891</v>
      </c>
      <c r="C70" s="859">
        <f>'Expenditures 15-22'!B221</f>
        <v>1300</v>
      </c>
      <c r="D70" s="860" t="str">
        <f>'Expenditures 15-22'!A221</f>
        <v>Adult/Continuing Education Programs</v>
      </c>
      <c r="E70" s="841"/>
      <c r="F70" s="1884">
        <f>'Expenditures 15-22'!K221</f>
        <v>0</v>
      </c>
      <c r="G70" s="838"/>
    </row>
    <row r="71" spans="1:8" x14ac:dyDescent="0.2">
      <c r="A71" s="842" t="s">
        <v>462</v>
      </c>
      <c r="B71" s="842" t="s">
        <v>1892</v>
      </c>
      <c r="C71" s="859">
        <f>'Expenditures 15-22'!B224</f>
        <v>1600</v>
      </c>
      <c r="D71" s="860" t="str">
        <f>'Expenditures 15-22'!A224</f>
        <v>Summer School Programs</v>
      </c>
      <c r="E71" s="841"/>
      <c r="F71" s="1884">
        <f>'Expenditures 15-22'!K224</f>
        <v>0</v>
      </c>
      <c r="G71" s="838"/>
    </row>
    <row r="72" spans="1:8" x14ac:dyDescent="0.2">
      <c r="A72" s="842" t="s">
        <v>462</v>
      </c>
      <c r="B72" s="842" t="s">
        <v>1893</v>
      </c>
      <c r="C72" s="859">
        <f>'Expenditures 15-22'!B280</f>
        <v>3000</v>
      </c>
      <c r="D72" s="849" t="s">
        <v>449</v>
      </c>
      <c r="E72" s="841"/>
      <c r="F72" s="1884">
        <f>'Expenditures 15-22'!K280</f>
        <v>0</v>
      </c>
      <c r="G72" s="838"/>
    </row>
    <row r="73" spans="1:8" x14ac:dyDescent="0.2">
      <c r="A73" s="842" t="s">
        <v>462</v>
      </c>
      <c r="B73" s="842" t="s">
        <v>1894</v>
      </c>
      <c r="C73" s="859" t="str">
        <f>'Expenditures 15-22'!B285</f>
        <v>4000</v>
      </c>
      <c r="D73" s="860" t="str">
        <f>'Expenditures 15-22'!A285</f>
        <v>Total Payments to Other Govt Units</v>
      </c>
      <c r="E73" s="841"/>
      <c r="F73" s="1884">
        <f>'Expenditures 15-22'!K285</f>
        <v>0</v>
      </c>
      <c r="G73" s="838"/>
    </row>
    <row r="74" spans="1:8" x14ac:dyDescent="0.2">
      <c r="A74" s="842" t="s">
        <v>436</v>
      </c>
      <c r="B74" s="842" t="s">
        <v>1895</v>
      </c>
      <c r="C74" s="859" t="s">
        <v>860</v>
      </c>
      <c r="D74" s="860" t="s">
        <v>1487</v>
      </c>
      <c r="E74" s="841"/>
      <c r="F74" s="1888">
        <f>'Expenditures 15-22'!K334</f>
        <v>0</v>
      </c>
      <c r="G74" s="838"/>
    </row>
    <row r="75" spans="1:8" ht="5.25" customHeight="1" x14ac:dyDescent="0.2">
      <c r="A75" s="838"/>
      <c r="B75" s="848"/>
      <c r="C75" s="848"/>
      <c r="D75" s="838"/>
      <c r="E75" s="841"/>
      <c r="F75" s="855"/>
      <c r="G75" s="840"/>
    </row>
    <row r="76" spans="1:8" ht="12" thickBot="1" x14ac:dyDescent="0.25">
      <c r="A76" s="1741"/>
      <c r="B76" s="1747"/>
      <c r="C76" s="1743"/>
      <c r="D76" s="1748" t="s">
        <v>1896</v>
      </c>
      <c r="E76" s="1745" t="s">
        <v>958</v>
      </c>
      <c r="F76" s="1749">
        <f>SUM(F18:F74)</f>
        <v>14857715</v>
      </c>
      <c r="G76" s="838"/>
    </row>
    <row r="77" spans="1:8" s="866" customFormat="1" ht="12" customHeight="1" thickTop="1" thickBot="1" x14ac:dyDescent="0.25">
      <c r="A77" s="1750"/>
      <c r="B77" s="1747"/>
      <c r="C77" s="1743"/>
      <c r="D77" s="1748" t="s">
        <v>1897</v>
      </c>
      <c r="E77" s="1745"/>
      <c r="F77" s="1751">
        <f>(F14-F76)</f>
        <v>34272035</v>
      </c>
      <c r="G77" s="842"/>
    </row>
    <row r="78" spans="1:8" s="866" customFormat="1" ht="12" customHeight="1" thickTop="1" x14ac:dyDescent="0.2">
      <c r="A78" s="1752"/>
      <c r="B78" s="1747"/>
      <c r="C78" s="1743"/>
      <c r="D78" s="1748" t="s">
        <v>2059</v>
      </c>
      <c r="E78" s="1745"/>
      <c r="F78" s="871">
        <v>0</v>
      </c>
      <c r="G78" s="872"/>
      <c r="H78" s="842"/>
    </row>
    <row r="79" spans="1:8" s="866" customFormat="1" ht="12" customHeight="1" thickBot="1" x14ac:dyDescent="0.25">
      <c r="A79" s="1753"/>
      <c r="B79" s="1747"/>
      <c r="C79" s="1743"/>
      <c r="D79" s="1748" t="s">
        <v>1898</v>
      </c>
      <c r="E79" s="1745" t="s">
        <v>958</v>
      </c>
      <c r="F79" s="1754" t="str">
        <f>IF(F78&gt;0,F77/F78," Complete Line 78")</f>
        <v xml:space="preserve"> Complete Line 78</v>
      </c>
      <c r="G79" s="842"/>
    </row>
    <row r="80" spans="1:8" s="866" customFormat="1" ht="8.25" customHeight="1" thickTop="1" x14ac:dyDescent="0.2">
      <c r="A80" s="873"/>
      <c r="B80" s="842"/>
      <c r="C80" s="844"/>
      <c r="D80" s="874"/>
      <c r="E80" s="841"/>
      <c r="F80" s="875"/>
      <c r="G80" s="842"/>
    </row>
    <row r="81" spans="1:7" s="866" customFormat="1" ht="12" thickBot="1" x14ac:dyDescent="0.25">
      <c r="A81" s="2343" t="s">
        <v>1105</v>
      </c>
      <c r="B81" s="2344"/>
      <c r="C81" s="2344"/>
      <c r="D81" s="2344"/>
      <c r="E81" s="2344"/>
      <c r="F81" s="2345"/>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78">
        <f>'Revenues 9-14'!F42</f>
        <v>0</v>
      </c>
      <c r="G84" s="885"/>
    </row>
    <row r="85" spans="1:7" x14ac:dyDescent="0.2">
      <c r="A85" s="881" t="s">
        <v>461</v>
      </c>
      <c r="B85" s="881" t="s">
        <v>183</v>
      </c>
      <c r="C85" s="886">
        <f>'Revenues 9-14'!B44</f>
        <v>1413</v>
      </c>
      <c r="D85" s="884" t="str">
        <f>'Revenues 9-14'!A44</f>
        <v>Regular - Transp Fees from Other Sources (In State)</v>
      </c>
      <c r="E85" s="879"/>
      <c r="F85" s="1760">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0">
        <f>'Revenues 9-14'!F45</f>
        <v>0</v>
      </c>
      <c r="G86" s="887"/>
    </row>
    <row r="87" spans="1:7" x14ac:dyDescent="0.2">
      <c r="A87" s="881" t="s">
        <v>461</v>
      </c>
      <c r="B87" s="881" t="s">
        <v>167</v>
      </c>
      <c r="C87" s="883">
        <v>1416</v>
      </c>
      <c r="D87" s="884" t="str">
        <f>'Revenues 9-14'!A46</f>
        <v>Regular Transp Fees from Other Sources (Out of State)</v>
      </c>
      <c r="E87" s="879"/>
      <c r="F87" s="1760">
        <f>'Revenues 9-14'!F46</f>
        <v>0</v>
      </c>
      <c r="G87" s="887"/>
    </row>
    <row r="88" spans="1:7" x14ac:dyDescent="0.2">
      <c r="A88" s="881" t="s">
        <v>461</v>
      </c>
      <c r="B88" s="881" t="s">
        <v>168</v>
      </c>
      <c r="C88" s="883">
        <f>'Revenues 9-14'!B51</f>
        <v>1431</v>
      </c>
      <c r="D88" s="884" t="str">
        <f>'Revenues 9-14'!A51</f>
        <v>CTE - Transp Fees from Pupils or Parents (In State)</v>
      </c>
      <c r="E88" s="879"/>
      <c r="F88" s="1760">
        <f>'Revenues 9-14'!F51</f>
        <v>0</v>
      </c>
      <c r="G88" s="887"/>
    </row>
    <row r="89" spans="1:7" x14ac:dyDescent="0.2">
      <c r="A89" s="881" t="s">
        <v>461</v>
      </c>
      <c r="B89" s="881" t="s">
        <v>169</v>
      </c>
      <c r="C89" s="883">
        <f>'Revenues 9-14'!B53</f>
        <v>1433</v>
      </c>
      <c r="D89" s="884" t="str">
        <f>'Revenues 9-14'!A53</f>
        <v>CTE - Transp Fees from Other Sources (In State)</v>
      </c>
      <c r="E89" s="879"/>
      <c r="F89" s="1760">
        <f>'Revenues 9-14'!F53</f>
        <v>0</v>
      </c>
      <c r="G89" s="887"/>
    </row>
    <row r="90" spans="1:7" x14ac:dyDescent="0.2">
      <c r="A90" s="881" t="s">
        <v>461</v>
      </c>
      <c r="B90" s="881" t="s">
        <v>170</v>
      </c>
      <c r="C90" s="883">
        <f>'Revenues 9-14'!B54</f>
        <v>1434</v>
      </c>
      <c r="D90" s="884" t="str">
        <f>'Revenues 9-14'!A54</f>
        <v>CTE - Transp Fees from Other Sources (Out of State)</v>
      </c>
      <c r="E90" s="879"/>
      <c r="F90" s="1760">
        <f>'Revenues 9-14'!F54</f>
        <v>0</v>
      </c>
      <c r="G90" s="887"/>
    </row>
    <row r="91" spans="1:7" x14ac:dyDescent="0.2">
      <c r="A91" s="881" t="s">
        <v>461</v>
      </c>
      <c r="B91" s="881" t="s">
        <v>171</v>
      </c>
      <c r="C91" s="888">
        <f>'Revenues 9-14'!B55</f>
        <v>1441</v>
      </c>
      <c r="D91" s="884" t="str">
        <f>'Revenues 9-14'!A55</f>
        <v>Special Ed - Transp Fees from Pupils or Parents (In State)</v>
      </c>
      <c r="E91" s="879"/>
      <c r="F91" s="1760">
        <f>'Revenues 9-14'!F55</f>
        <v>0</v>
      </c>
      <c r="G91" s="887"/>
    </row>
    <row r="92" spans="1:7" x14ac:dyDescent="0.2">
      <c r="A92" s="881" t="s">
        <v>461</v>
      </c>
      <c r="B92" s="881" t="s">
        <v>172</v>
      </c>
      <c r="C92" s="883">
        <f>'Revenues 9-14'!B57</f>
        <v>1443</v>
      </c>
      <c r="D92" s="884" t="str">
        <f>'Revenues 9-14'!A57</f>
        <v>Special Ed - Transp Fees from Other Sources (In State)</v>
      </c>
      <c r="E92" s="879"/>
      <c r="F92" s="1760">
        <f>'Revenues 9-14'!F57</f>
        <v>269829</v>
      </c>
      <c r="G92" s="889"/>
    </row>
    <row r="93" spans="1:7" x14ac:dyDescent="0.2">
      <c r="A93" s="881" t="s">
        <v>461</v>
      </c>
      <c r="B93" s="881" t="s">
        <v>173</v>
      </c>
      <c r="C93" s="883">
        <f>'Revenues 9-14'!B58</f>
        <v>1444</v>
      </c>
      <c r="D93" s="884" t="str">
        <f>'Revenues 9-14'!A58</f>
        <v>Special Ed - Transp Fees from Other Sources (Out of State)</v>
      </c>
      <c r="E93" s="879"/>
      <c r="F93" s="1760">
        <f>'Revenues 9-14'!F58</f>
        <v>0</v>
      </c>
      <c r="G93" s="889"/>
    </row>
    <row r="94" spans="1:7" x14ac:dyDescent="0.2">
      <c r="A94" s="881" t="s">
        <v>459</v>
      </c>
      <c r="B94" s="881" t="s">
        <v>174</v>
      </c>
      <c r="C94" s="883">
        <v>1600</v>
      </c>
      <c r="D94" s="890" t="str">
        <f>'Revenues 9-14'!A75</f>
        <v>Total Food Service</v>
      </c>
      <c r="E94" s="879"/>
      <c r="F94" s="1760">
        <f>'Revenues 9-14'!C75</f>
        <v>26429</v>
      </c>
      <c r="G94" s="885"/>
    </row>
    <row r="95" spans="1:7" x14ac:dyDescent="0.2">
      <c r="A95" s="881" t="s">
        <v>140</v>
      </c>
      <c r="B95" s="881" t="s">
        <v>175</v>
      </c>
      <c r="C95" s="883">
        <v>1700</v>
      </c>
      <c r="D95" s="891" t="str">
        <f>'Revenues 9-14'!A82</f>
        <v>Total District/School Activity Income</v>
      </c>
      <c r="E95" s="879"/>
      <c r="F95" s="1760">
        <f>SUM('Revenues 9-14'!C82,'Revenues 9-14'!D82)</f>
        <v>0</v>
      </c>
      <c r="G95" s="885"/>
    </row>
    <row r="96" spans="1:7" x14ac:dyDescent="0.2">
      <c r="A96" s="881" t="s">
        <v>459</v>
      </c>
      <c r="B96" s="881" t="s">
        <v>176</v>
      </c>
      <c r="C96" s="883">
        <f>'Revenues 9-14'!B84</f>
        <v>1811</v>
      </c>
      <c r="D96" s="884" t="str">
        <f>'Revenues 9-14'!A84</f>
        <v>Rentals - Regular Textbooks</v>
      </c>
      <c r="E96" s="879"/>
      <c r="F96" s="1760">
        <f>'Revenues 9-14'!C84</f>
        <v>0</v>
      </c>
      <c r="G96" s="885"/>
    </row>
    <row r="97" spans="1:7" x14ac:dyDescent="0.2">
      <c r="A97" s="881" t="s">
        <v>459</v>
      </c>
      <c r="B97" s="881" t="s">
        <v>177</v>
      </c>
      <c r="C97" s="883">
        <f>'Revenues 9-14'!B87</f>
        <v>1819</v>
      </c>
      <c r="D97" s="884" t="str">
        <f>'Revenues 9-14'!A87</f>
        <v>Rentals - Other (Describe &amp; Itemize)</v>
      </c>
      <c r="E97" s="879"/>
      <c r="F97" s="1760">
        <f>'Revenues 9-14'!C87</f>
        <v>0</v>
      </c>
      <c r="G97" s="885"/>
    </row>
    <row r="98" spans="1:7" x14ac:dyDescent="0.2">
      <c r="A98" s="881" t="s">
        <v>459</v>
      </c>
      <c r="B98" s="881" t="s">
        <v>178</v>
      </c>
      <c r="C98" s="883">
        <f>'Revenues 9-14'!B88</f>
        <v>1821</v>
      </c>
      <c r="D98" s="884" t="str">
        <f>'Revenues 9-14'!A88</f>
        <v>Sales - Regular Textbooks</v>
      </c>
      <c r="E98" s="879"/>
      <c r="F98" s="1760">
        <f>'Revenues 9-14'!C88</f>
        <v>0</v>
      </c>
      <c r="G98" s="885"/>
    </row>
    <row r="99" spans="1:7" x14ac:dyDescent="0.2">
      <c r="A99" s="881" t="s">
        <v>459</v>
      </c>
      <c r="B99" s="881" t="s">
        <v>179</v>
      </c>
      <c r="C99" s="883">
        <f>'Revenues 9-14'!B91</f>
        <v>1829</v>
      </c>
      <c r="D99" s="884" t="str">
        <f>'Revenues 9-14'!A91</f>
        <v>Sales - Other (Describe &amp; Itemize)</v>
      </c>
      <c r="E99" s="879"/>
      <c r="F99" s="1760">
        <f>'Revenues 9-14'!C91</f>
        <v>0</v>
      </c>
      <c r="G99" s="885"/>
    </row>
    <row r="100" spans="1:7" x14ac:dyDescent="0.2">
      <c r="A100" s="881" t="s">
        <v>459</v>
      </c>
      <c r="B100" s="881" t="s">
        <v>180</v>
      </c>
      <c r="C100" s="883">
        <f>'Revenues 9-14'!B92</f>
        <v>1890</v>
      </c>
      <c r="D100" s="884" t="str">
        <f>'Revenues 9-14'!A92</f>
        <v>Other (Describe &amp; Itemize)</v>
      </c>
      <c r="E100" s="879"/>
      <c r="F100" s="1760">
        <f>'Revenues 9-14'!C92</f>
        <v>0</v>
      </c>
      <c r="G100" s="885"/>
    </row>
    <row r="101" spans="1:7" x14ac:dyDescent="0.2">
      <c r="A101" s="881" t="s">
        <v>140</v>
      </c>
      <c r="B101" s="881" t="s">
        <v>181</v>
      </c>
      <c r="C101" s="883">
        <f>'Revenues 9-14'!B95</f>
        <v>1910</v>
      </c>
      <c r="D101" s="884" t="str">
        <f>'Revenues 9-14'!A95</f>
        <v>Rentals</v>
      </c>
      <c r="E101" s="879"/>
      <c r="F101" s="1760">
        <f>SUM('Revenues 9-14'!C95:D95)</f>
        <v>5269</v>
      </c>
      <c r="G101" s="885"/>
    </row>
    <row r="102" spans="1:7" x14ac:dyDescent="0.2">
      <c r="A102" s="881" t="s">
        <v>503</v>
      </c>
      <c r="B102" s="881" t="s">
        <v>182</v>
      </c>
      <c r="C102" s="883">
        <f>'Revenues 9-14'!B98</f>
        <v>1940</v>
      </c>
      <c r="D102" s="884" t="str">
        <f>'Revenues 9-14'!A98</f>
        <v>Services Provided Other Districts</v>
      </c>
      <c r="E102" s="879"/>
      <c r="F102" s="1760">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0">
        <f>SUM('Revenues 9-14'!C104,'Revenues 9-14'!D104,'Revenues 9-14'!E104,'Revenues 9-14'!F104,'Revenues 9-14'!G104)</f>
        <v>79602</v>
      </c>
      <c r="G103" s="885"/>
    </row>
    <row r="104" spans="1:7" x14ac:dyDescent="0.2">
      <c r="A104" s="881" t="s">
        <v>459</v>
      </c>
      <c r="B104" s="881" t="s">
        <v>808</v>
      </c>
      <c r="C104" s="883">
        <f>'Revenues 9-14'!B106</f>
        <v>1993</v>
      </c>
      <c r="D104" s="884" t="str">
        <f>'Revenues 9-14'!A106</f>
        <v>Other Local Fees (Describe &amp; Itemize)</v>
      </c>
      <c r="E104" s="879"/>
      <c r="F104" s="1760">
        <f>('Revenues 9-14'!C106)</f>
        <v>0</v>
      </c>
      <c r="G104" s="885"/>
    </row>
    <row r="105" spans="1:7" x14ac:dyDescent="0.2">
      <c r="A105" s="881" t="s">
        <v>503</v>
      </c>
      <c r="B105" s="881" t="s">
        <v>2000</v>
      </c>
      <c r="C105" s="886">
        <v>3100</v>
      </c>
      <c r="D105" s="892" t="str">
        <f>'Revenues 9-14'!A132</f>
        <v>Total Special Education</v>
      </c>
      <c r="E105" s="879"/>
      <c r="F105" s="1760">
        <f>SUM('Revenues 9-14'!C132:D132,'Revenues 9-14'!F132)</f>
        <v>0</v>
      </c>
      <c r="G105" s="885"/>
    </row>
    <row r="106" spans="1:7" x14ac:dyDescent="0.2">
      <c r="A106" s="881" t="s">
        <v>673</v>
      </c>
      <c r="B106" s="881" t="s">
        <v>2001</v>
      </c>
      <c r="C106" s="893">
        <v>3200</v>
      </c>
      <c r="D106" s="884" t="str">
        <f>'Revenues 9-14'!A141</f>
        <v>Total Career and Technical Education</v>
      </c>
      <c r="E106" s="879"/>
      <c r="F106" s="1760">
        <f>SUM('Revenues 9-14'!C141,'Revenues 9-14'!D141,'Revenues 9-14'!G141)</f>
        <v>0</v>
      </c>
      <c r="G106" s="885"/>
    </row>
    <row r="107" spans="1:7" x14ac:dyDescent="0.2">
      <c r="A107" s="894" t="s">
        <v>664</v>
      </c>
      <c r="B107" s="881" t="s">
        <v>2002</v>
      </c>
      <c r="C107" s="893">
        <v>3300</v>
      </c>
      <c r="D107" s="884" t="str">
        <f>'Revenues 9-14'!A145</f>
        <v>Total Bilingual Ed</v>
      </c>
      <c r="E107" s="879"/>
      <c r="F107" s="1760">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0">
        <f>'Revenues 9-14'!C146</f>
        <v>2112</v>
      </c>
      <c r="G108" s="885"/>
    </row>
    <row r="109" spans="1:7" x14ac:dyDescent="0.2">
      <c r="A109" s="881" t="s">
        <v>673</v>
      </c>
      <c r="B109" s="881" t="s">
        <v>2004</v>
      </c>
      <c r="C109" s="893">
        <f>'Revenues 9-14'!B147</f>
        <v>3365</v>
      </c>
      <c r="D109" s="884" t="str">
        <f>'Revenues 9-14'!A147</f>
        <v>School Breakfast Initiative</v>
      </c>
      <c r="E109" s="879"/>
      <c r="F109" s="1760">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0">
        <f>SUM('Revenues 9-14'!C148,'Revenues 9-14'!D148)</f>
        <v>0</v>
      </c>
      <c r="G110" s="885"/>
    </row>
    <row r="111" spans="1:7" x14ac:dyDescent="0.2">
      <c r="A111" s="881" t="s">
        <v>668</v>
      </c>
      <c r="B111" s="881" t="s">
        <v>2006</v>
      </c>
      <c r="C111" s="895">
        <v>3500</v>
      </c>
      <c r="D111" s="884" t="str">
        <f>'Revenues 9-14'!A155</f>
        <v>Total Transportation</v>
      </c>
      <c r="E111" s="879"/>
      <c r="F111" s="1760">
        <f>SUM('Revenues 9-14'!C155,'Revenues 9-14'!D155,'Revenues 9-14'!F155,'Revenues 9-14'!G155)</f>
        <v>34054</v>
      </c>
      <c r="G111" s="885"/>
    </row>
    <row r="112" spans="1:7" x14ac:dyDescent="0.2">
      <c r="A112" s="881" t="s">
        <v>459</v>
      </c>
      <c r="B112" s="881" t="s">
        <v>2007</v>
      </c>
      <c r="C112" s="893">
        <f>'Revenues 9-14'!B156</f>
        <v>3610</v>
      </c>
      <c r="D112" s="884" t="str">
        <f>'Revenues 9-14'!A156</f>
        <v>Learning Improvement - Change Grants</v>
      </c>
      <c r="E112" s="879"/>
      <c r="F112" s="1760">
        <f>'Revenues 9-14'!C156</f>
        <v>0</v>
      </c>
      <c r="G112" s="885"/>
    </row>
    <row r="113" spans="1:7" x14ac:dyDescent="0.2">
      <c r="A113" s="881" t="s">
        <v>668</v>
      </c>
      <c r="B113" s="881" t="s">
        <v>2008</v>
      </c>
      <c r="C113" s="893">
        <f>'Revenues 9-14'!B157</f>
        <v>3660</v>
      </c>
      <c r="D113" s="884" t="str">
        <f>'Revenues 9-14'!A157</f>
        <v>Scientific Literacy</v>
      </c>
      <c r="E113" s="879"/>
      <c r="F113" s="1760">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0">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0">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0">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78">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78">
        <f>SUM('Revenues 9-14'!C163:G163)</f>
        <v>0</v>
      </c>
      <c r="G118" s="885"/>
    </row>
    <row r="119" spans="1:7" x14ac:dyDescent="0.2">
      <c r="A119" s="896" t="s">
        <v>504</v>
      </c>
      <c r="B119" s="896" t="s">
        <v>2014</v>
      </c>
      <c r="C119" s="897">
        <f>'Revenues 9-14'!B164</f>
        <v>3815</v>
      </c>
      <c r="D119" s="898" t="str">
        <f>'Revenues 9-14'!A164</f>
        <v>State Charter Schools</v>
      </c>
      <c r="E119" s="879"/>
      <c r="F119" s="1878">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0">
        <f>'Revenues 9-14'!D167</f>
        <v>0</v>
      </c>
      <c r="G120" s="903"/>
    </row>
    <row r="121" spans="1:7" x14ac:dyDescent="0.2">
      <c r="A121" s="900" t="s">
        <v>500</v>
      </c>
      <c r="B121" s="900" t="s">
        <v>2016</v>
      </c>
      <c r="C121" s="901">
        <f>'Revenues 9-14'!B168</f>
        <v>3999</v>
      </c>
      <c r="D121" s="902" t="s">
        <v>543</v>
      </c>
      <c r="E121" s="904"/>
      <c r="F121" s="1760">
        <f>SUM('Revenues 9-14'!C168:G168,'Revenues 9-14'!J168)</f>
        <v>581702</v>
      </c>
      <c r="G121" s="903"/>
    </row>
    <row r="122" spans="1:7" x14ac:dyDescent="0.2">
      <c r="A122" s="900" t="s">
        <v>459</v>
      </c>
      <c r="B122" s="900" t="s">
        <v>2017</v>
      </c>
      <c r="C122" s="905">
        <f>'Revenues 9-14'!B177</f>
        <v>4045</v>
      </c>
      <c r="D122" s="902" t="str">
        <f>'Revenues 9-14'!A177 &amp; " (Subtract)"</f>
        <v>Head Start (Subtract)</v>
      </c>
      <c r="E122" s="879"/>
      <c r="F122" s="1760">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0">
        <f>SUM('Revenues 9-14'!C181,'Revenues 9-14'!D181,'Revenues 9-14'!F181,'Revenues 9-14'!G181)</f>
        <v>0</v>
      </c>
      <c r="G123" s="903"/>
    </row>
    <row r="124" spans="1:7" x14ac:dyDescent="0.2">
      <c r="A124" s="900" t="s">
        <v>668</v>
      </c>
      <c r="B124" s="900" t="s">
        <v>2019</v>
      </c>
      <c r="C124" s="905">
        <v>4100</v>
      </c>
      <c r="D124" s="906" t="str">
        <f>'Revenues 9-14'!A188</f>
        <v>Total Title V</v>
      </c>
      <c r="E124" s="879"/>
      <c r="F124" s="1760">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0">
        <f>SUM('Revenues 9-14'!C198,'Revenues 9-14'!G198)</f>
        <v>116288</v>
      </c>
      <c r="G125" s="903"/>
    </row>
    <row r="126" spans="1:7" x14ac:dyDescent="0.2">
      <c r="A126" s="900" t="s">
        <v>668</v>
      </c>
      <c r="B126" s="900" t="s">
        <v>2021</v>
      </c>
      <c r="C126" s="905">
        <v>4300</v>
      </c>
      <c r="D126" s="906" t="str">
        <f>'Revenues 9-14'!A204</f>
        <v>Total Title I</v>
      </c>
      <c r="E126" s="879"/>
      <c r="F126" s="1760">
        <f>SUM('Revenues 9-14'!C204,'Revenues 9-14'!D204,'Revenues 9-14'!F204,'Revenues 9-14'!G204)</f>
        <v>0</v>
      </c>
      <c r="G126" s="903"/>
    </row>
    <row r="127" spans="1:7" x14ac:dyDescent="0.2">
      <c r="A127" s="900" t="s">
        <v>668</v>
      </c>
      <c r="B127" s="900" t="s">
        <v>2022</v>
      </c>
      <c r="C127" s="905">
        <v>4400</v>
      </c>
      <c r="D127" s="906" t="str">
        <f>'Revenues 9-14'!A209</f>
        <v>Total Title IV</v>
      </c>
      <c r="E127" s="879"/>
      <c r="F127" s="1760">
        <f>SUM('Revenues 9-14'!C209,'Revenues 9-14'!D209,'Revenues 9-14'!F209,'Revenues 9-14'!G209)</f>
        <v>0</v>
      </c>
      <c r="G127" s="903"/>
    </row>
    <row r="128" spans="1:7" x14ac:dyDescent="0.2">
      <c r="A128" s="900" t="s">
        <v>668</v>
      </c>
      <c r="B128" s="900" t="s">
        <v>2023</v>
      </c>
      <c r="C128" s="905">
        <f>'Revenues 9-14'!B213</f>
        <v>4620</v>
      </c>
      <c r="D128" s="906" t="str">
        <f>'Revenues 9-14'!A213</f>
        <v>Fed - Spec Education - IDEA - Flow Through</v>
      </c>
      <c r="E128" s="879"/>
      <c r="F128" s="1760">
        <f>SUM('Revenues 9-14'!C213:D213,'Revenues 9-14'!F213:G213)</f>
        <v>1419382</v>
      </c>
      <c r="G128" s="903"/>
    </row>
    <row r="129" spans="1:7" x14ac:dyDescent="0.2">
      <c r="A129" s="900" t="s">
        <v>668</v>
      </c>
      <c r="B129" s="900" t="s">
        <v>2024</v>
      </c>
      <c r="C129" s="905">
        <f>'Revenues 9-14'!B214</f>
        <v>4625</v>
      </c>
      <c r="D129" s="906" t="str">
        <f>'Revenues 9-14'!A214</f>
        <v>Fed - Spec Education - IDEA - Room &amp; Board</v>
      </c>
      <c r="E129" s="879"/>
      <c r="F129" s="1760">
        <f>SUM('Revenues 9-14'!C214,'Revenues 9-14'!D214,'Revenues 9-14'!F214,'Revenues 9-14'!G214)</f>
        <v>0</v>
      </c>
      <c r="G129" s="903"/>
    </row>
    <row r="130" spans="1:7" x14ac:dyDescent="0.2">
      <c r="A130" s="900" t="s">
        <v>668</v>
      </c>
      <c r="B130" s="900" t="s">
        <v>2025</v>
      </c>
      <c r="C130" s="905">
        <f>'Revenues 9-14'!B215</f>
        <v>4630</v>
      </c>
      <c r="D130" s="906" t="str">
        <f>'Revenues 9-14'!A215</f>
        <v>Fed - Spec Education - IDEA - Discretionary</v>
      </c>
      <c r="E130" s="879"/>
      <c r="F130" s="1760">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0">
        <f>SUM('Revenues 9-14'!C216:D216,'Revenues 9-14'!F216:G216)</f>
        <v>0</v>
      </c>
      <c r="G131" s="903"/>
    </row>
    <row r="132" spans="1:7" x14ac:dyDescent="0.2">
      <c r="A132" s="900" t="s">
        <v>673</v>
      </c>
      <c r="B132" s="900" t="s">
        <v>2026</v>
      </c>
      <c r="C132" s="905">
        <v>4700</v>
      </c>
      <c r="D132" s="902" t="str">
        <f>'Revenues 9-14'!A221</f>
        <v>Total CTE - Perkins</v>
      </c>
      <c r="E132" s="879"/>
      <c r="F132" s="1760">
        <f>SUM('Revenues 9-14'!C221,'Revenues 9-14'!D221,'Revenues 9-14'!G221)</f>
        <v>0</v>
      </c>
      <c r="G132" s="903">
        <v>6303</v>
      </c>
    </row>
    <row r="133" spans="1:7" s="840" customFormat="1" hidden="1" x14ac:dyDescent="0.2">
      <c r="A133" s="907" t="s">
        <v>206</v>
      </c>
      <c r="B133" s="907" t="s">
        <v>2027</v>
      </c>
      <c r="C133" s="908" t="s">
        <v>207</v>
      </c>
      <c r="D133" s="909" t="str">
        <f>'Revenues 9-14'!A224</f>
        <v>ARRA - Title I - Low Income</v>
      </c>
      <c r="E133" s="910"/>
      <c r="F133" s="1878">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0">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0">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0">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0">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0">
        <v>0</v>
      </c>
      <c r="G138" s="878"/>
    </row>
    <row r="139" spans="1:7" s="840" customFormat="1" hidden="1" x14ac:dyDescent="0.2">
      <c r="A139" s="907" t="s">
        <v>206</v>
      </c>
      <c r="B139" s="907" t="s">
        <v>2033</v>
      </c>
      <c r="C139" s="908" t="s">
        <v>213</v>
      </c>
      <c r="D139" s="909" t="str">
        <f>'Revenues 9-14'!A230</f>
        <v>ARRA - IDEA - Part B - Flow-Through</v>
      </c>
      <c r="E139" s="910"/>
      <c r="F139" s="1760">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0">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0">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0">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0">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0">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0">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0">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0">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0">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0">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0">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0">
        <v>0</v>
      </c>
      <c r="G151" s="878"/>
    </row>
    <row r="152" spans="1:7" s="840" customFormat="1" hidden="1" x14ac:dyDescent="0.2">
      <c r="A152" s="907" t="s">
        <v>206</v>
      </c>
      <c r="B152" s="907" t="s">
        <v>1417</v>
      </c>
      <c r="C152" s="908" t="s">
        <v>233</v>
      </c>
      <c r="D152" s="909" t="str">
        <f>'Revenues 9-14'!A247</f>
        <v>Other ARRA Funds VII</v>
      </c>
      <c r="E152" s="910"/>
      <c r="F152" s="1760">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0">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0">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0">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0">
        <f>SUM('Revenues 9-14'!C251:G251,'Revenues 9-14'!J251)</f>
        <v>0</v>
      </c>
      <c r="G156" s="878"/>
    </row>
    <row r="157" spans="1:7" s="840" customFormat="1" x14ac:dyDescent="0.2">
      <c r="A157" s="911" t="s">
        <v>500</v>
      </c>
      <c r="B157" s="912" t="s">
        <v>2041</v>
      </c>
      <c r="C157" s="913" t="s">
        <v>841</v>
      </c>
      <c r="D157" s="914" t="s">
        <v>777</v>
      </c>
      <c r="E157" s="915"/>
      <c r="F157" s="1760">
        <f>SUM(F133:F156)</f>
        <v>0</v>
      </c>
      <c r="G157" s="878"/>
    </row>
    <row r="158" spans="1:7" s="840" customFormat="1" x14ac:dyDescent="0.2">
      <c r="A158" s="911" t="s">
        <v>459</v>
      </c>
      <c r="B158" s="912" t="s">
        <v>2042</v>
      </c>
      <c r="C158" s="913" t="s">
        <v>1427</v>
      </c>
      <c r="D158" s="914" t="s">
        <v>1428</v>
      </c>
      <c r="E158" s="915"/>
      <c r="F158" s="1760">
        <f>SUM('Revenues 9-14'!C253)</f>
        <v>0</v>
      </c>
      <c r="G158" s="878"/>
    </row>
    <row r="159" spans="1:7" s="840" customFormat="1" x14ac:dyDescent="0.2">
      <c r="A159" s="911" t="s">
        <v>500</v>
      </c>
      <c r="B159" s="912" t="s">
        <v>2043</v>
      </c>
      <c r="C159" s="913" t="s">
        <v>1466</v>
      </c>
      <c r="D159" s="914" t="s">
        <v>1467</v>
      </c>
      <c r="E159" s="915"/>
      <c r="F159" s="1760">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0">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60">
        <f>SUM('Revenues 9-14'!C256,'Revenues 9-14'!F256,'Revenues 9-14'!G256)</f>
        <v>0</v>
      </c>
      <c r="G161" s="916"/>
    </row>
    <row r="162" spans="1:7" x14ac:dyDescent="0.2">
      <c r="A162" s="900" t="s">
        <v>668</v>
      </c>
      <c r="B162" s="900" t="s">
        <v>2046</v>
      </c>
      <c r="C162" s="905">
        <f>'Revenues 9-14'!B257</f>
        <v>4920</v>
      </c>
      <c r="D162" s="902" t="str">
        <f>'Revenues 9-14'!A257</f>
        <v>McKinney Education for Homeless Children</v>
      </c>
      <c r="E162" s="879"/>
      <c r="F162" s="1760">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78">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78">
        <f>SUM('Revenues 9-14'!C259,'Revenues 9-14'!D259,'Revenues 9-14'!F259,'Revenues 9-14'!G259)</f>
        <v>0</v>
      </c>
      <c r="G164" s="903"/>
    </row>
    <row r="165" spans="1:7" x14ac:dyDescent="0.2">
      <c r="A165" s="900" t="s">
        <v>668</v>
      </c>
      <c r="B165" s="900" t="s">
        <v>2049</v>
      </c>
      <c r="C165" s="905">
        <f>'Revenues 9-14'!B260</f>
        <v>4960</v>
      </c>
      <c r="D165" s="902" t="str">
        <f>'Revenues 9-14'!A260</f>
        <v>Federal Charter Schools</v>
      </c>
      <c r="E165" s="879"/>
      <c r="F165" s="1760">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0">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0">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0">
        <f>SUM('Revenues 9-14'!C263:D263,'Revenues 9-14'!F263:G263)</f>
        <v>199424</v>
      </c>
      <c r="G168" s="920">
        <v>6320</v>
      </c>
    </row>
    <row r="169" spans="1:7" x14ac:dyDescent="0.2">
      <c r="A169" s="900" t="s">
        <v>668</v>
      </c>
      <c r="B169" s="900" t="s">
        <v>2051</v>
      </c>
      <c r="C169" s="905">
        <f>'Revenues 9-14'!B264</f>
        <v>4992</v>
      </c>
      <c r="D169" s="906" t="str">
        <f>'Revenues 9-14'!A264</f>
        <v>Medicaid Matching Funds - Fee-for-Service Program</v>
      </c>
      <c r="E169" s="879"/>
      <c r="F169" s="1760">
        <f>SUM('Revenues 9-14'!C264:D264,'Revenues 9-14'!F264:G264)</f>
        <v>425884</v>
      </c>
      <c r="G169" s="920"/>
    </row>
    <row r="170" spans="1:7" x14ac:dyDescent="0.2">
      <c r="A170" s="921" t="s">
        <v>668</v>
      </c>
      <c r="B170" s="917" t="s">
        <v>2052</v>
      </c>
      <c r="C170" s="918">
        <f>'Revenues 9-14'!B265</f>
        <v>4999</v>
      </c>
      <c r="D170" s="919" t="str">
        <f>'Revenues 9-14'!A265</f>
        <v>Other Restricted Revenue from Federal Sources (Describe &amp; Itemize)</v>
      </c>
      <c r="E170" s="879"/>
      <c r="F170" s="1760">
        <f>SUM('Revenues 9-14'!C265:D265,'Revenues 9-14'!F265:G265)</f>
        <v>0</v>
      </c>
      <c r="G170" s="900"/>
    </row>
    <row r="171" spans="1:7" x14ac:dyDescent="0.2">
      <c r="A171" s="1889" t="s">
        <v>5</v>
      </c>
      <c r="B171" s="1890" t="s">
        <v>1917</v>
      </c>
      <c r="C171" s="1891">
        <v>3100</v>
      </c>
      <c r="D171" s="1892" t="s">
        <v>1919</v>
      </c>
      <c r="E171" s="879"/>
      <c r="F171" s="1877"/>
      <c r="G171" s="900"/>
    </row>
    <row r="172" spans="1:7" x14ac:dyDescent="0.2">
      <c r="A172" s="1889" t="s">
        <v>664</v>
      </c>
      <c r="B172" s="1890" t="s">
        <v>1917</v>
      </c>
      <c r="C172" s="1891">
        <v>3300</v>
      </c>
      <c r="D172" s="1892" t="s">
        <v>1920</v>
      </c>
      <c r="E172" s="879"/>
      <c r="F172" s="1877"/>
      <c r="G172" s="900"/>
    </row>
    <row r="173" spans="1:7" ht="6" customHeight="1" x14ac:dyDescent="0.2">
      <c r="A173" s="900"/>
      <c r="B173" s="900"/>
      <c r="C173" s="922"/>
      <c r="D173" s="900"/>
      <c r="E173" s="879"/>
      <c r="F173" s="923"/>
      <c r="G173" s="920"/>
    </row>
    <row r="174" spans="1:7" x14ac:dyDescent="0.2">
      <c r="A174" s="1741"/>
      <c r="B174" s="1755"/>
      <c r="C174" s="1756"/>
      <c r="D174" s="1757" t="s">
        <v>2053</v>
      </c>
      <c r="E174" s="1758" t="s">
        <v>958</v>
      </c>
      <c r="F174" s="1759">
        <f>SUM(F84:F132,F157:F172)</f>
        <v>3159975</v>
      </c>
    </row>
    <row r="175" spans="1:7" ht="12" customHeight="1" x14ac:dyDescent="0.2">
      <c r="A175" s="1741"/>
      <c r="B175" s="1755"/>
      <c r="C175" s="1756"/>
      <c r="D175" s="1757" t="s">
        <v>2054</v>
      </c>
      <c r="E175" s="1758"/>
      <c r="F175" s="1760">
        <f>'PCTC-OEPP 27-28'!F77-F174</f>
        <v>31112060</v>
      </c>
    </row>
    <row r="176" spans="1:7" ht="12" customHeight="1" x14ac:dyDescent="0.2">
      <c r="A176" s="1741"/>
      <c r="B176" s="1755"/>
      <c r="C176" s="1756"/>
      <c r="D176" s="1757" t="s">
        <v>1814</v>
      </c>
      <c r="E176" s="1758"/>
      <c r="F176" s="1760">
        <f>'Cap Outlay Deprec 26'!I18</f>
        <v>655996.80000000005</v>
      </c>
    </row>
    <row r="177" spans="1:7" ht="12" customHeight="1" x14ac:dyDescent="0.2">
      <c r="A177" s="1741"/>
      <c r="B177" s="1755"/>
      <c r="C177" s="1756"/>
      <c r="D177" s="1757" t="s">
        <v>2055</v>
      </c>
      <c r="E177" s="1758"/>
      <c r="F177" s="1760">
        <f>F175+F176</f>
        <v>31768056.800000001</v>
      </c>
    </row>
    <row r="178" spans="1:7" ht="12" customHeight="1" x14ac:dyDescent="0.2">
      <c r="A178" s="1741"/>
      <c r="B178" s="1761"/>
      <c r="C178" s="1756"/>
      <c r="D178" s="1757" t="str">
        <f>D78</f>
        <v>9 Month ADA from District Average Daily Attendance/Prior General State Aid Inquiry 2018-2019</v>
      </c>
      <c r="E178" s="1758"/>
      <c r="F178" s="1762">
        <f>'PCTC-OEPP 27-28'!F78</f>
        <v>0</v>
      </c>
      <c r="G178" s="903"/>
    </row>
    <row r="179" spans="1:7" ht="12" customHeight="1" thickBot="1" x14ac:dyDescent="0.25">
      <c r="A179" s="1741"/>
      <c r="B179" s="1761"/>
      <c r="C179" s="1756"/>
      <c r="D179" s="1757" t="s">
        <v>2056</v>
      </c>
      <c r="E179" s="1758" t="s">
        <v>1545</v>
      </c>
      <c r="F179" s="1763" t="e">
        <f>F177/F178</f>
        <v>#DIV/0!</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3" customFormat="1" ht="12.2" customHeight="1" x14ac:dyDescent="0.2">
      <c r="A182" s="1893" t="s">
        <v>1991</v>
      </c>
      <c r="B182" s="1894"/>
      <c r="C182" s="1895"/>
      <c r="D182" s="1894"/>
      <c r="E182" s="1895"/>
      <c r="F182" s="1894"/>
      <c r="G182" s="1894"/>
    </row>
    <row r="183" spans="1:7" s="1893" customFormat="1" ht="12.2" customHeight="1" x14ac:dyDescent="0.2">
      <c r="A183" s="1896" t="s">
        <v>1993</v>
      </c>
      <c r="C183" s="1895"/>
      <c r="D183" s="1894"/>
      <c r="E183" s="1895"/>
      <c r="F183" s="1894"/>
      <c r="G183" s="1894"/>
    </row>
    <row r="184" spans="1:7" ht="12" customHeight="1" x14ac:dyDescent="0.2">
      <c r="C184" s="922"/>
      <c r="D184" s="903"/>
      <c r="E184" s="922"/>
      <c r="F184" s="903"/>
      <c r="G184" s="903"/>
    </row>
    <row r="185" spans="1:7" x14ac:dyDescent="0.2">
      <c r="A185" s="1897" t="s">
        <v>1922</v>
      </c>
      <c r="B185" s="1898"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39997558519241921"/>
    <pageSetUpPr fitToPage="1"/>
  </sheetPr>
  <dimension ref="A1:H141"/>
  <sheetViews>
    <sheetView showGridLines="0" view="pageBreakPreview" topLeftCell="A3" zoomScaleNormal="100" zoomScaleSheetLayoutView="100" workbookViewId="0">
      <selection activeCell="A23" sqref="A23"/>
    </sheetView>
  </sheetViews>
  <sheetFormatPr defaultRowHeight="15" x14ac:dyDescent="0.25"/>
  <cols>
    <col min="1" max="1" width="52" style="1513" customWidth="1"/>
    <col min="2" max="2" width="16.42578125" style="1514" bestFit="1" customWidth="1"/>
    <col min="3" max="3" width="33.7109375" style="1514" customWidth="1"/>
    <col min="4" max="4" width="16.28515625" style="1515" customWidth="1"/>
    <col min="5" max="5" width="30" style="1515" hidden="1" customWidth="1"/>
    <col min="6" max="6" width="23.5703125" style="1515" customWidth="1"/>
    <col min="7" max="7" width="23.28515625" style="1514" customWidth="1"/>
    <col min="8" max="16384" width="9.140625" style="1504"/>
  </cols>
  <sheetData>
    <row r="1" spans="1:7" ht="15" customHeight="1" x14ac:dyDescent="0.25">
      <c r="A1" s="1630" t="s">
        <v>1829</v>
      </c>
      <c r="B1" s="1631"/>
      <c r="C1" s="1631"/>
      <c r="D1" s="1631"/>
      <c r="E1" s="1631"/>
      <c r="F1" s="1631"/>
      <c r="G1" s="1631"/>
    </row>
    <row r="2" spans="1:7" x14ac:dyDescent="0.25">
      <c r="A2" s="1628"/>
      <c r="B2" s="1628"/>
      <c r="C2" s="1629" t="s">
        <v>979</v>
      </c>
      <c r="D2" s="1628"/>
      <c r="E2" s="1628"/>
      <c r="F2" s="1628"/>
      <c r="G2" s="1628"/>
    </row>
    <row r="3" spans="1:7" ht="5.25" customHeight="1" x14ac:dyDescent="0.25">
      <c r="A3" s="1516"/>
      <c r="B3" s="1516"/>
      <c r="C3" s="1516"/>
      <c r="D3" s="1516"/>
      <c r="E3" s="1516"/>
      <c r="F3" s="1516"/>
      <c r="G3" s="1516"/>
    </row>
    <row r="4" spans="1:7" ht="18.75" customHeight="1" x14ac:dyDescent="0.25">
      <c r="A4" s="2357" t="s">
        <v>1815</v>
      </c>
      <c r="B4" s="2358"/>
      <c r="C4" s="2358"/>
      <c r="D4" s="2358"/>
      <c r="E4" s="2358"/>
      <c r="F4" s="2358"/>
      <c r="G4" s="2359"/>
    </row>
    <row r="5" spans="1:7" x14ac:dyDescent="0.25">
      <c r="A5" s="2360"/>
      <c r="B5" s="2361"/>
      <c r="C5" s="2361"/>
      <c r="D5" s="2361"/>
      <c r="E5" s="2361"/>
      <c r="F5" s="2361"/>
      <c r="G5" s="2362"/>
    </row>
    <row r="6" spans="1:7" ht="18.75" x14ac:dyDescent="0.25">
      <c r="A6" s="1505" t="s">
        <v>1816</v>
      </c>
      <c r="B6" s="1506"/>
      <c r="C6" s="1506"/>
      <c r="D6" s="1506"/>
      <c r="E6" s="1506"/>
      <c r="F6" s="1506"/>
      <c r="G6" s="1507"/>
    </row>
    <row r="7" spans="1:7" ht="30.75" customHeight="1" x14ac:dyDescent="0.25">
      <c r="A7" s="2363" t="s">
        <v>1929</v>
      </c>
      <c r="B7" s="2364"/>
      <c r="C7" s="2364"/>
      <c r="D7" s="2364"/>
      <c r="E7" s="2364"/>
      <c r="F7" s="2364"/>
      <c r="G7" s="2365"/>
    </row>
    <row r="8" spans="1:7" ht="15.75" customHeight="1" x14ac:dyDescent="0.25">
      <c r="A8" s="2366" t="s">
        <v>1904</v>
      </c>
      <c r="B8" s="2367"/>
      <c r="C8" s="2367"/>
      <c r="D8" s="2367"/>
      <c r="E8" s="2367"/>
      <c r="F8" s="2367"/>
      <c r="G8" s="2368"/>
    </row>
    <row r="9" spans="1:7" ht="35.25" customHeight="1" x14ac:dyDescent="0.25">
      <c r="A9" s="2363" t="s">
        <v>1932</v>
      </c>
      <c r="B9" s="2364"/>
      <c r="C9" s="2364"/>
      <c r="D9" s="2364"/>
      <c r="E9" s="2364"/>
      <c r="F9" s="2364"/>
      <c r="G9" s="2365"/>
    </row>
    <row r="10" spans="1:7" ht="15" customHeight="1" x14ac:dyDescent="0.25">
      <c r="A10" s="1508" t="s">
        <v>1817</v>
      </c>
      <c r="B10" s="1509"/>
      <c r="C10" s="1509"/>
      <c r="D10" s="1509"/>
      <c r="E10" s="1509"/>
      <c r="F10" s="1509"/>
      <c r="G10" s="1510"/>
    </row>
    <row r="11" spans="1:7" ht="17.25" customHeight="1" x14ac:dyDescent="0.25">
      <c r="A11" s="2363" t="s">
        <v>1931</v>
      </c>
      <c r="B11" s="2364"/>
      <c r="C11" s="2364"/>
      <c r="D11" s="2364"/>
      <c r="E11" s="2364"/>
      <c r="F11" s="2364"/>
      <c r="G11" s="2365"/>
    </row>
    <row r="12" spans="1:7" ht="15" customHeight="1" x14ac:dyDescent="0.25">
      <c r="A12" s="1508" t="s">
        <v>1822</v>
      </c>
      <c r="B12" s="1509"/>
      <c r="C12" s="1509"/>
      <c r="D12" s="1509"/>
      <c r="E12" s="1509"/>
      <c r="F12" s="1509"/>
      <c r="G12" s="1510"/>
    </row>
    <row r="13" spans="1:7" ht="32.25" customHeight="1" x14ac:dyDescent="0.25">
      <c r="A13" s="2354" t="s">
        <v>1973</v>
      </c>
      <c r="B13" s="2355"/>
      <c r="C13" s="2355"/>
      <c r="D13" s="2355"/>
      <c r="E13" s="2355"/>
      <c r="F13" s="2355"/>
      <c r="G13" s="2356"/>
    </row>
    <row r="14" spans="1:7" x14ac:dyDescent="0.25">
      <c r="A14" s="1632" t="s">
        <v>1830</v>
      </c>
      <c r="B14" s="1633"/>
      <c r="C14" s="1633"/>
      <c r="D14" s="1633"/>
      <c r="E14" s="1633"/>
      <c r="F14" s="1633"/>
      <c r="G14" s="1634"/>
    </row>
    <row r="15" spans="1:7" ht="61.5" customHeight="1" x14ac:dyDescent="0.25">
      <c r="A15" s="1517" t="s">
        <v>1823</v>
      </c>
      <c r="B15" s="1517" t="s">
        <v>1824</v>
      </c>
      <c r="C15" s="1517" t="s">
        <v>1825</v>
      </c>
      <c r="D15" s="1518" t="s">
        <v>1826</v>
      </c>
      <c r="E15" s="1518" t="s">
        <v>1818</v>
      </c>
      <c r="F15" s="1518" t="s">
        <v>1827</v>
      </c>
      <c r="G15" s="1518" t="s">
        <v>1828</v>
      </c>
    </row>
    <row r="16" spans="1:7" x14ac:dyDescent="0.25">
      <c r="A16" s="1619" t="s">
        <v>1831</v>
      </c>
      <c r="B16" s="1620" t="s">
        <v>1821</v>
      </c>
      <c r="C16" s="1621" t="s">
        <v>1819</v>
      </c>
      <c r="D16" s="1622">
        <v>500000</v>
      </c>
      <c r="E16" s="1622">
        <f>IF(D16&lt;=25000,D16,IF(D16&gt;25000,25000,0))</f>
        <v>25000</v>
      </c>
      <c r="F16" s="162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3">
        <f>IF(F16=0,"0",D16-F16)</f>
        <v>475000</v>
      </c>
    </row>
    <row r="17" spans="1:8" x14ac:dyDescent="0.25">
      <c r="A17" s="2016" t="s">
        <v>2103</v>
      </c>
      <c r="B17" s="2017" t="s">
        <v>2104</v>
      </c>
      <c r="C17" s="2018" t="s">
        <v>2105</v>
      </c>
      <c r="D17" s="1815">
        <v>108645</v>
      </c>
      <c r="E17" s="1511">
        <f t="shared" ref="E17:E141" si="0">IF(D17&lt;=25000,D17,IF(D17&gt;25000,25000,0))</f>
        <v>25000</v>
      </c>
      <c r="F17" s="190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4">
        <f>IF(F17=0,0,D17-F17)</f>
        <v>83645</v>
      </c>
      <c r="H17" s="1618"/>
    </row>
    <row r="18" spans="1:8" x14ac:dyDescent="0.25">
      <c r="A18" s="2016" t="s">
        <v>2106</v>
      </c>
      <c r="B18" s="2017" t="s">
        <v>1821</v>
      </c>
      <c r="C18" s="2018" t="s">
        <v>2107</v>
      </c>
      <c r="D18" s="1815">
        <v>132376</v>
      </c>
      <c r="E18" s="1511">
        <f t="shared" ref="E18:E140" si="2">IF(D18&lt;=25000,D18,IF(D18&gt;25000,25000,0))</f>
        <v>25000</v>
      </c>
      <c r="F18" s="1903">
        <f t="shared" si="1"/>
        <v>25000</v>
      </c>
      <c r="G18" s="1764">
        <f t="shared" ref="G18:G140" si="3">IF(F18=0,0,D18-F18)</f>
        <v>107376</v>
      </c>
    </row>
    <row r="19" spans="1:8" x14ac:dyDescent="0.25">
      <c r="A19" s="2016" t="s">
        <v>2108</v>
      </c>
      <c r="B19" s="2017" t="s">
        <v>2109</v>
      </c>
      <c r="C19" s="2018" t="s">
        <v>2110</v>
      </c>
      <c r="D19" s="1815">
        <v>39312</v>
      </c>
      <c r="E19" s="1511">
        <f t="shared" si="2"/>
        <v>25000</v>
      </c>
      <c r="F19" s="1903">
        <f t="shared" si="1"/>
        <v>25000</v>
      </c>
      <c r="G19" s="1764">
        <f t="shared" si="3"/>
        <v>14312</v>
      </c>
    </row>
    <row r="20" spans="1:8" x14ac:dyDescent="0.25">
      <c r="A20" s="2016" t="s">
        <v>2111</v>
      </c>
      <c r="B20" s="2017" t="s">
        <v>2112</v>
      </c>
      <c r="C20" s="2018" t="s">
        <v>2113</v>
      </c>
      <c r="D20" s="1815">
        <v>60241</v>
      </c>
      <c r="E20" s="1511">
        <f t="shared" si="2"/>
        <v>25000</v>
      </c>
      <c r="F20" s="1903">
        <f t="shared" si="1"/>
        <v>25000</v>
      </c>
      <c r="G20" s="1764">
        <f t="shared" si="3"/>
        <v>35241</v>
      </c>
    </row>
    <row r="21" spans="1:8" x14ac:dyDescent="0.25">
      <c r="A21" s="2016" t="s">
        <v>2114</v>
      </c>
      <c r="B21" s="2017" t="s">
        <v>2115</v>
      </c>
      <c r="C21" s="2018" t="s">
        <v>2113</v>
      </c>
      <c r="D21" s="1815">
        <v>22000</v>
      </c>
      <c r="E21" s="1511">
        <f t="shared" si="2"/>
        <v>22000</v>
      </c>
      <c r="F21" s="1903">
        <f t="shared" si="1"/>
        <v>22000</v>
      </c>
      <c r="G21" s="1764">
        <f t="shared" si="3"/>
        <v>0</v>
      </c>
    </row>
    <row r="22" spans="1:8" ht="30" x14ac:dyDescent="0.25">
      <c r="A22" s="2016" t="s">
        <v>2116</v>
      </c>
      <c r="B22" s="2017" t="s">
        <v>2117</v>
      </c>
      <c r="C22" s="2018" t="s">
        <v>2118</v>
      </c>
      <c r="D22" s="1815">
        <v>58723</v>
      </c>
      <c r="E22" s="1511">
        <f t="shared" si="2"/>
        <v>25000</v>
      </c>
      <c r="F22" s="1903">
        <f t="shared" si="1"/>
        <v>25000</v>
      </c>
      <c r="G22" s="1764">
        <f t="shared" si="3"/>
        <v>33723</v>
      </c>
    </row>
    <row r="23" spans="1:8" ht="30" x14ac:dyDescent="0.25">
      <c r="A23" s="2016" t="s">
        <v>2119</v>
      </c>
      <c r="B23" s="2017" t="s">
        <v>2120</v>
      </c>
      <c r="C23" s="2018" t="s">
        <v>2118</v>
      </c>
      <c r="D23" s="1815">
        <v>1616</v>
      </c>
      <c r="E23" s="1511">
        <f t="shared" si="2"/>
        <v>1616</v>
      </c>
      <c r="F23" s="1903">
        <f t="shared" si="1"/>
        <v>1616</v>
      </c>
      <c r="G23" s="1764">
        <f t="shared" si="3"/>
        <v>0</v>
      </c>
    </row>
    <row r="24" spans="1:8" x14ac:dyDescent="0.25">
      <c r="A24" s="2016" t="s">
        <v>2121</v>
      </c>
      <c r="B24" s="2017" t="s">
        <v>2122</v>
      </c>
      <c r="C24" s="2018" t="s">
        <v>2123</v>
      </c>
      <c r="D24" s="1815">
        <v>28421</v>
      </c>
      <c r="E24" s="1511">
        <f t="shared" si="2"/>
        <v>25000</v>
      </c>
      <c r="F24" s="1903">
        <f t="shared" si="1"/>
        <v>25000</v>
      </c>
      <c r="G24" s="1764">
        <f t="shared" si="3"/>
        <v>3421</v>
      </c>
    </row>
    <row r="25" spans="1:8" x14ac:dyDescent="0.25">
      <c r="A25" s="2016" t="s">
        <v>2121</v>
      </c>
      <c r="B25" s="2019" t="s">
        <v>2122</v>
      </c>
      <c r="C25" s="2018" t="s">
        <v>2124</v>
      </c>
      <c r="D25" s="1815">
        <v>64979</v>
      </c>
      <c r="E25" s="1511">
        <f t="shared" si="2"/>
        <v>25000</v>
      </c>
      <c r="F25" s="1903">
        <f t="shared" si="1"/>
        <v>25000</v>
      </c>
      <c r="G25" s="1764">
        <f t="shared" si="3"/>
        <v>39979</v>
      </c>
    </row>
    <row r="26" spans="1:8" x14ac:dyDescent="0.25">
      <c r="A26" s="2016" t="s">
        <v>2125</v>
      </c>
      <c r="B26" s="2019" t="s">
        <v>2112</v>
      </c>
      <c r="C26" s="2018" t="s">
        <v>2124</v>
      </c>
      <c r="D26" s="1815">
        <v>14881</v>
      </c>
      <c r="E26" s="1511">
        <f t="shared" si="2"/>
        <v>14881</v>
      </c>
      <c r="F26" s="1903">
        <f t="shared" si="1"/>
        <v>14881</v>
      </c>
      <c r="G26" s="1764">
        <f t="shared" si="3"/>
        <v>0</v>
      </c>
    </row>
    <row r="27" spans="1:8" x14ac:dyDescent="0.25">
      <c r="A27" s="2016" t="s">
        <v>2126</v>
      </c>
      <c r="B27" s="2019" t="s">
        <v>2127</v>
      </c>
      <c r="C27" s="2018" t="s">
        <v>2124</v>
      </c>
      <c r="D27" s="1815">
        <v>23460</v>
      </c>
      <c r="E27" s="1511">
        <f t="shared" si="2"/>
        <v>23460</v>
      </c>
      <c r="F27" s="1903">
        <f t="shared" si="1"/>
        <v>23460</v>
      </c>
      <c r="G27" s="1764">
        <f t="shared" si="3"/>
        <v>0</v>
      </c>
    </row>
    <row r="28" spans="1:8" x14ac:dyDescent="0.25">
      <c r="A28" s="2016" t="s">
        <v>2125</v>
      </c>
      <c r="B28" s="2019" t="s">
        <v>2128</v>
      </c>
      <c r="C28" s="2018" t="s">
        <v>2124</v>
      </c>
      <c r="D28" s="1815">
        <v>11730</v>
      </c>
      <c r="E28" s="1511">
        <f t="shared" si="2"/>
        <v>11730</v>
      </c>
      <c r="F28" s="1903">
        <f t="shared" si="1"/>
        <v>11730</v>
      </c>
      <c r="G28" s="1764">
        <f t="shared" si="3"/>
        <v>0</v>
      </c>
    </row>
    <row r="29" spans="1:8" x14ac:dyDescent="0.25">
      <c r="A29" s="2016" t="s">
        <v>2129</v>
      </c>
      <c r="B29" s="2019" t="s">
        <v>2130</v>
      </c>
      <c r="C29" s="2018" t="s">
        <v>2131</v>
      </c>
      <c r="D29" s="1815">
        <v>101204</v>
      </c>
      <c r="E29" s="1511">
        <f t="shared" si="2"/>
        <v>25000</v>
      </c>
      <c r="F29" s="1903">
        <f t="shared" si="1"/>
        <v>25000</v>
      </c>
      <c r="G29" s="1764">
        <f t="shared" si="3"/>
        <v>76204</v>
      </c>
    </row>
    <row r="30" spans="1:8" x14ac:dyDescent="0.25">
      <c r="A30" s="2016" t="s">
        <v>2129</v>
      </c>
      <c r="B30" s="2019" t="s">
        <v>2132</v>
      </c>
      <c r="C30" s="2018" t="s">
        <v>2131</v>
      </c>
      <c r="D30" s="1815">
        <v>5870</v>
      </c>
      <c r="E30" s="1511">
        <f t="shared" si="2"/>
        <v>5870</v>
      </c>
      <c r="F30" s="1903">
        <f t="shared" si="1"/>
        <v>5870</v>
      </c>
      <c r="G30" s="1764">
        <f t="shared" si="3"/>
        <v>0</v>
      </c>
    </row>
    <row r="31" spans="1:8" x14ac:dyDescent="0.25">
      <c r="A31" s="2016" t="s">
        <v>2133</v>
      </c>
      <c r="B31" s="2019" t="s">
        <v>2134</v>
      </c>
      <c r="C31" s="2018" t="s">
        <v>2131</v>
      </c>
      <c r="D31" s="1815">
        <v>27411</v>
      </c>
      <c r="E31" s="1511">
        <f t="shared" si="2"/>
        <v>25000</v>
      </c>
      <c r="F31" s="1903">
        <f t="shared" si="1"/>
        <v>25000</v>
      </c>
      <c r="G31" s="1764">
        <f t="shared" si="3"/>
        <v>2411</v>
      </c>
    </row>
    <row r="32" spans="1:8" x14ac:dyDescent="0.25">
      <c r="A32" s="2016" t="s">
        <v>2135</v>
      </c>
      <c r="B32" s="2019" t="s">
        <v>2109</v>
      </c>
      <c r="C32" s="2018" t="s">
        <v>2136</v>
      </c>
      <c r="D32" s="1815">
        <v>57573</v>
      </c>
      <c r="E32" s="1511">
        <f t="shared" si="2"/>
        <v>25000</v>
      </c>
      <c r="F32" s="1903">
        <f t="shared" si="1"/>
        <v>25000</v>
      </c>
      <c r="G32" s="1764">
        <f t="shared" si="3"/>
        <v>32573</v>
      </c>
    </row>
    <row r="33" spans="1:7" ht="30" x14ac:dyDescent="0.25">
      <c r="A33" s="2016" t="s">
        <v>2149</v>
      </c>
      <c r="B33" s="2019" t="s">
        <v>2117</v>
      </c>
      <c r="C33" s="2018" t="s">
        <v>2137</v>
      </c>
      <c r="D33" s="1815">
        <v>2598256</v>
      </c>
      <c r="E33" s="1511">
        <f t="shared" si="2"/>
        <v>25000</v>
      </c>
      <c r="F33" s="1903">
        <f t="shared" si="1"/>
        <v>25000</v>
      </c>
      <c r="G33" s="1764">
        <f t="shared" si="3"/>
        <v>2573256</v>
      </c>
    </row>
    <row r="34" spans="1:7" ht="30" x14ac:dyDescent="0.25">
      <c r="A34" s="2016" t="s">
        <v>2148</v>
      </c>
      <c r="B34" s="2019" t="s">
        <v>2120</v>
      </c>
      <c r="C34" s="2018" t="s">
        <v>2137</v>
      </c>
      <c r="D34" s="1815">
        <v>113336</v>
      </c>
      <c r="E34" s="1511">
        <f t="shared" si="2"/>
        <v>25000</v>
      </c>
      <c r="F34" s="1903">
        <f t="shared" si="1"/>
        <v>25000</v>
      </c>
      <c r="G34" s="1764">
        <f t="shared" si="3"/>
        <v>88336</v>
      </c>
    </row>
    <row r="35" spans="1:7" x14ac:dyDescent="0.25">
      <c r="A35" s="2016" t="s">
        <v>2138</v>
      </c>
      <c r="B35" s="2019" t="s">
        <v>2122</v>
      </c>
      <c r="C35" s="2018" t="s">
        <v>2139</v>
      </c>
      <c r="D35" s="1815">
        <v>860</v>
      </c>
      <c r="E35" s="1511">
        <f t="shared" si="2"/>
        <v>860</v>
      </c>
      <c r="F35" s="1903">
        <f t="shared" si="1"/>
        <v>860</v>
      </c>
      <c r="G35" s="1764">
        <f t="shared" si="3"/>
        <v>0</v>
      </c>
    </row>
    <row r="36" spans="1:7" x14ac:dyDescent="0.25">
      <c r="A36" s="2016" t="s">
        <v>2125</v>
      </c>
      <c r="B36" s="2019" t="s">
        <v>2140</v>
      </c>
      <c r="C36" s="2018" t="s">
        <v>2139</v>
      </c>
      <c r="D36" s="1815">
        <v>5109</v>
      </c>
      <c r="E36" s="1511">
        <f t="shared" si="2"/>
        <v>5109</v>
      </c>
      <c r="F36" s="1903">
        <f t="shared" si="1"/>
        <v>5109</v>
      </c>
      <c r="G36" s="1764">
        <f t="shared" si="3"/>
        <v>0</v>
      </c>
    </row>
    <row r="37" spans="1:7" x14ac:dyDescent="0.25">
      <c r="A37" s="2016" t="s">
        <v>2126</v>
      </c>
      <c r="B37" s="2019" t="s">
        <v>2127</v>
      </c>
      <c r="C37" s="2018" t="s">
        <v>2139</v>
      </c>
      <c r="D37" s="1815">
        <v>44453</v>
      </c>
      <c r="E37" s="1511">
        <f t="shared" si="2"/>
        <v>25000</v>
      </c>
      <c r="F37" s="1903">
        <f t="shared" si="1"/>
        <v>25000</v>
      </c>
      <c r="G37" s="1764">
        <f t="shared" si="3"/>
        <v>19453</v>
      </c>
    </row>
    <row r="38" spans="1:7" x14ac:dyDescent="0.25">
      <c r="A38" s="2016" t="s">
        <v>2126</v>
      </c>
      <c r="B38" s="2019" t="s">
        <v>2127</v>
      </c>
      <c r="C38" s="2018" t="s">
        <v>2141</v>
      </c>
      <c r="D38" s="1815">
        <v>91394</v>
      </c>
      <c r="E38" s="1511">
        <f t="shared" si="2"/>
        <v>25000</v>
      </c>
      <c r="F38" s="1903">
        <f t="shared" si="1"/>
        <v>25000</v>
      </c>
      <c r="G38" s="1764">
        <f t="shared" si="3"/>
        <v>66394</v>
      </c>
    </row>
    <row r="39" spans="1:7" x14ac:dyDescent="0.25">
      <c r="A39" s="2016" t="s">
        <v>2126</v>
      </c>
      <c r="B39" s="2019" t="s">
        <v>2130</v>
      </c>
      <c r="C39" s="2018" t="s">
        <v>2142</v>
      </c>
      <c r="D39" s="1815">
        <v>35645</v>
      </c>
      <c r="E39" s="1511">
        <f t="shared" si="2"/>
        <v>25000</v>
      </c>
      <c r="F39" s="1903">
        <f t="shared" si="1"/>
        <v>25000</v>
      </c>
      <c r="G39" s="1764">
        <f t="shared" si="3"/>
        <v>10645</v>
      </c>
    </row>
    <row r="40" spans="1:7" x14ac:dyDescent="0.25">
      <c r="A40" s="2016" t="s">
        <v>2129</v>
      </c>
      <c r="B40" s="2019" t="s">
        <v>2132</v>
      </c>
      <c r="C40" s="2018" t="s">
        <v>2142</v>
      </c>
      <c r="D40" s="1815">
        <v>4522</v>
      </c>
      <c r="E40" s="1511">
        <f t="shared" si="2"/>
        <v>4522</v>
      </c>
      <c r="F40" s="1903">
        <f t="shared" si="1"/>
        <v>4522</v>
      </c>
      <c r="G40" s="1764">
        <f t="shared" si="3"/>
        <v>0</v>
      </c>
    </row>
    <row r="41" spans="1:7" x14ac:dyDescent="0.25">
      <c r="A41" s="2016" t="s">
        <v>2129</v>
      </c>
      <c r="B41" s="2019" t="s">
        <v>2134</v>
      </c>
      <c r="C41" s="2018" t="s">
        <v>2142</v>
      </c>
      <c r="D41" s="1815">
        <v>8078</v>
      </c>
      <c r="E41" s="1511">
        <f t="shared" si="2"/>
        <v>8078</v>
      </c>
      <c r="F41" s="1903">
        <f t="shared" si="1"/>
        <v>8078</v>
      </c>
      <c r="G41" s="1764">
        <f t="shared" si="3"/>
        <v>0</v>
      </c>
    </row>
    <row r="42" spans="1:7" x14ac:dyDescent="0.25">
      <c r="A42" s="2016" t="s">
        <v>2111</v>
      </c>
      <c r="B42" s="2019" t="s">
        <v>2112</v>
      </c>
      <c r="C42" s="2018" t="s">
        <v>2143</v>
      </c>
      <c r="D42" s="1815">
        <v>29050</v>
      </c>
      <c r="E42" s="1511">
        <f t="shared" si="2"/>
        <v>25000</v>
      </c>
      <c r="F42" s="1903">
        <f t="shared" si="1"/>
        <v>25000</v>
      </c>
      <c r="G42" s="1764">
        <f t="shared" si="3"/>
        <v>4050</v>
      </c>
    </row>
    <row r="43" spans="1:7" x14ac:dyDescent="0.25">
      <c r="A43" s="2016" t="s">
        <v>2138</v>
      </c>
      <c r="B43" s="2019" t="s">
        <v>2122</v>
      </c>
      <c r="C43" s="2018" t="s">
        <v>2143</v>
      </c>
      <c r="D43" s="1815">
        <v>3450</v>
      </c>
      <c r="E43" s="1511">
        <f t="shared" si="2"/>
        <v>3450</v>
      </c>
      <c r="F43" s="1903">
        <f t="shared" si="1"/>
        <v>3450</v>
      </c>
      <c r="G43" s="1764">
        <f t="shared" si="3"/>
        <v>0</v>
      </c>
    </row>
    <row r="44" spans="1:7" x14ac:dyDescent="0.25">
      <c r="A44" s="2016" t="s">
        <v>2138</v>
      </c>
      <c r="B44" s="2019" t="s">
        <v>2122</v>
      </c>
      <c r="C44" s="2018" t="s">
        <v>2143</v>
      </c>
      <c r="D44" s="1815">
        <v>500</v>
      </c>
      <c r="E44" s="1511">
        <f t="shared" si="2"/>
        <v>500</v>
      </c>
      <c r="F44" s="1903">
        <f t="shared" si="1"/>
        <v>500</v>
      </c>
      <c r="G44" s="1764">
        <f t="shared" si="3"/>
        <v>0</v>
      </c>
    </row>
    <row r="45" spans="1:7" x14ac:dyDescent="0.25">
      <c r="A45" s="2016" t="s">
        <v>2111</v>
      </c>
      <c r="B45" s="2019" t="s">
        <v>2112</v>
      </c>
      <c r="C45" s="2018" t="s">
        <v>2144</v>
      </c>
      <c r="D45" s="1815">
        <v>55493</v>
      </c>
      <c r="E45" s="1511">
        <f t="shared" si="2"/>
        <v>25000</v>
      </c>
      <c r="F45" s="1903">
        <f t="shared" si="1"/>
        <v>25000</v>
      </c>
      <c r="G45" s="1764">
        <f t="shared" si="3"/>
        <v>30493</v>
      </c>
    </row>
    <row r="46" spans="1:7" x14ac:dyDescent="0.25">
      <c r="A46" s="2016" t="s">
        <v>2145</v>
      </c>
      <c r="B46" s="2019" t="s">
        <v>2115</v>
      </c>
      <c r="C46" s="2018" t="s">
        <v>2146</v>
      </c>
      <c r="D46" s="1815">
        <v>29030</v>
      </c>
      <c r="E46" s="1511">
        <f t="shared" si="2"/>
        <v>25000</v>
      </c>
      <c r="F46" s="1903">
        <f t="shared" si="1"/>
        <v>25000</v>
      </c>
      <c r="G46" s="1764">
        <f t="shared" si="3"/>
        <v>4030</v>
      </c>
    </row>
    <row r="47" spans="1:7" x14ac:dyDescent="0.25">
      <c r="A47" s="2016" t="s">
        <v>2121</v>
      </c>
      <c r="B47" s="2019" t="s">
        <v>2122</v>
      </c>
      <c r="C47" s="2018" t="s">
        <v>2147</v>
      </c>
      <c r="D47" s="1815">
        <v>63542</v>
      </c>
      <c r="E47" s="1511">
        <f t="shared" si="2"/>
        <v>25000</v>
      </c>
      <c r="F47" s="1903">
        <f t="shared" si="1"/>
        <v>25000</v>
      </c>
      <c r="G47" s="1764">
        <f t="shared" si="3"/>
        <v>38542</v>
      </c>
    </row>
    <row r="48" spans="1:7" x14ac:dyDescent="0.25">
      <c r="A48" s="2016" t="s">
        <v>2125</v>
      </c>
      <c r="B48" s="2019" t="s">
        <v>2112</v>
      </c>
      <c r="C48" s="2018" t="s">
        <v>2147</v>
      </c>
      <c r="D48" s="1815">
        <v>21181</v>
      </c>
      <c r="E48" s="1511">
        <f t="shared" si="2"/>
        <v>21181</v>
      </c>
      <c r="F48" s="1903">
        <f t="shared" si="1"/>
        <v>21181</v>
      </c>
      <c r="G48" s="1764">
        <f t="shared" si="3"/>
        <v>0</v>
      </c>
    </row>
    <row r="49" spans="1:7" x14ac:dyDescent="0.25">
      <c r="A49" s="1624"/>
      <c r="B49" s="1638"/>
      <c r="C49" s="1625"/>
      <c r="D49" s="1815"/>
      <c r="E49" s="1511">
        <f t="shared" si="2"/>
        <v>0</v>
      </c>
      <c r="F49" s="1903">
        <f t="shared" si="1"/>
        <v>0</v>
      </c>
      <c r="G49" s="1764">
        <f t="shared" si="3"/>
        <v>0</v>
      </c>
    </row>
    <row r="50" spans="1:7" x14ac:dyDescent="0.25">
      <c r="A50" s="1624"/>
      <c r="B50" s="1638"/>
      <c r="C50" s="1625"/>
      <c r="D50" s="1815"/>
      <c r="E50" s="1511">
        <f t="shared" si="2"/>
        <v>0</v>
      </c>
      <c r="F50" s="1903">
        <f t="shared" si="1"/>
        <v>0</v>
      </c>
      <c r="G50" s="1764">
        <f t="shared" si="3"/>
        <v>0</v>
      </c>
    </row>
    <row r="51" spans="1:7" x14ac:dyDescent="0.25">
      <c r="A51" s="1624"/>
      <c r="B51" s="1638"/>
      <c r="C51" s="1625"/>
      <c r="D51" s="1815"/>
      <c r="E51" s="1511">
        <f t="shared" si="2"/>
        <v>0</v>
      </c>
      <c r="F51" s="1903">
        <f t="shared" si="1"/>
        <v>0</v>
      </c>
      <c r="G51" s="1764">
        <f t="shared" si="3"/>
        <v>0</v>
      </c>
    </row>
    <row r="52" spans="1:7" x14ac:dyDescent="0.25">
      <c r="A52" s="1624"/>
      <c r="B52" s="1638"/>
      <c r="C52" s="1625"/>
      <c r="D52" s="1815"/>
      <c r="E52" s="1511">
        <f t="shared" si="2"/>
        <v>0</v>
      </c>
      <c r="F52" s="1903">
        <f t="shared" si="1"/>
        <v>0</v>
      </c>
      <c r="G52" s="1764">
        <f t="shared" si="3"/>
        <v>0</v>
      </c>
    </row>
    <row r="53" spans="1:7" x14ac:dyDescent="0.25">
      <c r="A53" s="1624"/>
      <c r="B53" s="1638"/>
      <c r="C53" s="1625"/>
      <c r="D53" s="1815"/>
      <c r="E53" s="1511">
        <f t="shared" si="2"/>
        <v>0</v>
      </c>
      <c r="F53" s="1903">
        <f t="shared" si="1"/>
        <v>0</v>
      </c>
      <c r="G53" s="1764">
        <f t="shared" si="3"/>
        <v>0</v>
      </c>
    </row>
    <row r="54" spans="1:7" x14ac:dyDescent="0.25">
      <c r="A54" s="1624"/>
      <c r="B54" s="1638"/>
      <c r="C54" s="1625"/>
      <c r="D54" s="1815"/>
      <c r="E54" s="1511">
        <f t="shared" si="2"/>
        <v>0</v>
      </c>
      <c r="F54" s="1903">
        <f t="shared" si="1"/>
        <v>0</v>
      </c>
      <c r="G54" s="1764">
        <f t="shared" si="3"/>
        <v>0</v>
      </c>
    </row>
    <row r="55" spans="1:7" x14ac:dyDescent="0.25">
      <c r="A55" s="1624"/>
      <c r="B55" s="1638"/>
      <c r="C55" s="1625"/>
      <c r="D55" s="1815"/>
      <c r="E55" s="1511">
        <f t="shared" si="2"/>
        <v>0</v>
      </c>
      <c r="F55" s="1903">
        <f t="shared" si="1"/>
        <v>0</v>
      </c>
      <c r="G55" s="1764">
        <f t="shared" si="3"/>
        <v>0</v>
      </c>
    </row>
    <row r="56" spans="1:7" x14ac:dyDescent="0.25">
      <c r="A56" s="1624"/>
      <c r="B56" s="1638"/>
      <c r="C56" s="1625"/>
      <c r="D56" s="1815"/>
      <c r="E56" s="1511">
        <f t="shared" si="2"/>
        <v>0</v>
      </c>
      <c r="F56" s="1903">
        <f t="shared" si="1"/>
        <v>0</v>
      </c>
      <c r="G56" s="1764">
        <f t="shared" si="3"/>
        <v>0</v>
      </c>
    </row>
    <row r="57" spans="1:7" x14ac:dyDescent="0.25">
      <c r="A57" s="1624"/>
      <c r="B57" s="1638"/>
      <c r="C57" s="1625"/>
      <c r="D57" s="1815"/>
      <c r="E57" s="1511">
        <f t="shared" si="2"/>
        <v>0</v>
      </c>
      <c r="F57" s="1903">
        <f t="shared" si="1"/>
        <v>0</v>
      </c>
      <c r="G57" s="1764">
        <f t="shared" si="3"/>
        <v>0</v>
      </c>
    </row>
    <row r="58" spans="1:7" x14ac:dyDescent="0.25">
      <c r="A58" s="1624"/>
      <c r="B58" s="1638"/>
      <c r="C58" s="1625"/>
      <c r="D58" s="1815"/>
      <c r="E58" s="1511">
        <f t="shared" si="2"/>
        <v>0</v>
      </c>
      <c r="F58" s="1903">
        <f t="shared" si="1"/>
        <v>0</v>
      </c>
      <c r="G58" s="1764">
        <f t="shared" si="3"/>
        <v>0</v>
      </c>
    </row>
    <row r="59" spans="1:7" x14ac:dyDescent="0.25">
      <c r="A59" s="1624"/>
      <c r="B59" s="1638"/>
      <c r="C59" s="1625"/>
      <c r="D59" s="1815"/>
      <c r="E59" s="1511">
        <f t="shared" si="2"/>
        <v>0</v>
      </c>
      <c r="F59" s="1903">
        <f t="shared" si="1"/>
        <v>0</v>
      </c>
      <c r="G59" s="1764">
        <f t="shared" si="3"/>
        <v>0</v>
      </c>
    </row>
    <row r="60" spans="1:7" x14ac:dyDescent="0.25">
      <c r="A60" s="1624"/>
      <c r="B60" s="1638"/>
      <c r="C60" s="1625"/>
      <c r="D60" s="1815"/>
      <c r="E60" s="1511">
        <f t="shared" si="2"/>
        <v>0</v>
      </c>
      <c r="F60" s="1903">
        <f t="shared" si="1"/>
        <v>0</v>
      </c>
      <c r="G60" s="1764">
        <f t="shared" si="3"/>
        <v>0</v>
      </c>
    </row>
    <row r="61" spans="1:7" x14ac:dyDescent="0.25">
      <c r="A61" s="1624"/>
      <c r="B61" s="1638"/>
      <c r="C61" s="1625"/>
      <c r="D61" s="1815"/>
      <c r="E61" s="1511">
        <f t="shared" si="2"/>
        <v>0</v>
      </c>
      <c r="F61" s="1903">
        <f t="shared" si="1"/>
        <v>0</v>
      </c>
      <c r="G61" s="1764">
        <f t="shared" si="3"/>
        <v>0</v>
      </c>
    </row>
    <row r="62" spans="1:7" x14ac:dyDescent="0.25">
      <c r="A62" s="1624"/>
      <c r="B62" s="1638"/>
      <c r="C62" s="1625"/>
      <c r="D62" s="1815"/>
      <c r="E62" s="1511">
        <f t="shared" si="2"/>
        <v>0</v>
      </c>
      <c r="F62" s="1903">
        <f t="shared" si="1"/>
        <v>0</v>
      </c>
      <c r="G62" s="1764">
        <f t="shared" si="3"/>
        <v>0</v>
      </c>
    </row>
    <row r="63" spans="1:7" x14ac:dyDescent="0.25">
      <c r="A63" s="1624"/>
      <c r="B63" s="1638"/>
      <c r="C63" s="1625"/>
      <c r="D63" s="1815"/>
      <c r="E63" s="1511">
        <f t="shared" si="2"/>
        <v>0</v>
      </c>
      <c r="F63" s="1903">
        <f t="shared" si="1"/>
        <v>0</v>
      </c>
      <c r="G63" s="1764">
        <f t="shared" si="3"/>
        <v>0</v>
      </c>
    </row>
    <row r="64" spans="1:7" x14ac:dyDescent="0.25">
      <c r="A64" s="1626"/>
      <c r="B64" s="1638"/>
      <c r="C64" s="1627"/>
      <c r="D64" s="1815"/>
      <c r="E64" s="1511">
        <f t="shared" si="2"/>
        <v>0</v>
      </c>
      <c r="F64" s="1903">
        <f t="shared" si="1"/>
        <v>0</v>
      </c>
      <c r="G64" s="1764">
        <f t="shared" si="3"/>
        <v>0</v>
      </c>
    </row>
    <row r="65" spans="1:7" x14ac:dyDescent="0.25">
      <c r="A65" s="1624"/>
      <c r="B65" s="1638"/>
      <c r="C65" s="1625"/>
      <c r="D65" s="1815"/>
      <c r="E65" s="1511">
        <f t="shared" si="2"/>
        <v>0</v>
      </c>
      <c r="F65" s="1903">
        <f t="shared" si="1"/>
        <v>0</v>
      </c>
      <c r="G65" s="1764">
        <f t="shared" si="3"/>
        <v>0</v>
      </c>
    </row>
    <row r="66" spans="1:7" x14ac:dyDescent="0.25">
      <c r="A66" s="1624"/>
      <c r="B66" s="1638"/>
      <c r="C66" s="1625"/>
      <c r="D66" s="1815"/>
      <c r="E66" s="1511">
        <f t="shared" si="2"/>
        <v>0</v>
      </c>
      <c r="F66" s="1903">
        <f t="shared" si="1"/>
        <v>0</v>
      </c>
      <c r="G66" s="1764">
        <f t="shared" si="3"/>
        <v>0</v>
      </c>
    </row>
    <row r="67" spans="1:7" x14ac:dyDescent="0.25">
      <c r="A67" s="1624"/>
      <c r="B67" s="1638"/>
      <c r="C67" s="1625"/>
      <c r="D67" s="1815"/>
      <c r="E67" s="1511">
        <f t="shared" si="2"/>
        <v>0</v>
      </c>
      <c r="F67" s="1903">
        <f t="shared" si="1"/>
        <v>0</v>
      </c>
      <c r="G67" s="1764">
        <f t="shared" si="3"/>
        <v>0</v>
      </c>
    </row>
    <row r="68" spans="1:7" x14ac:dyDescent="0.25">
      <c r="A68" s="1624"/>
      <c r="B68" s="1638"/>
      <c r="C68" s="1625"/>
      <c r="D68" s="1815"/>
      <c r="E68" s="1511">
        <f t="shared" si="2"/>
        <v>0</v>
      </c>
      <c r="F68" s="1903">
        <f t="shared" si="1"/>
        <v>0</v>
      </c>
      <c r="G68" s="1764">
        <f t="shared" si="3"/>
        <v>0</v>
      </c>
    </row>
    <row r="69" spans="1:7" x14ac:dyDescent="0.25">
      <c r="A69" s="1624"/>
      <c r="B69" s="1638"/>
      <c r="C69" s="1625"/>
      <c r="D69" s="1815"/>
      <c r="E69" s="1511">
        <f t="shared" si="2"/>
        <v>0</v>
      </c>
      <c r="F69" s="1903">
        <f t="shared" si="1"/>
        <v>0</v>
      </c>
      <c r="G69" s="1764">
        <f t="shared" si="3"/>
        <v>0</v>
      </c>
    </row>
    <row r="70" spans="1:7" x14ac:dyDescent="0.25">
      <c r="A70" s="1624"/>
      <c r="B70" s="1638"/>
      <c r="C70" s="1625"/>
      <c r="D70" s="1815"/>
      <c r="E70" s="1511">
        <f t="shared" si="2"/>
        <v>0</v>
      </c>
      <c r="F70" s="1903">
        <f t="shared" si="1"/>
        <v>0</v>
      </c>
      <c r="G70" s="1764">
        <f t="shared" si="3"/>
        <v>0</v>
      </c>
    </row>
    <row r="71" spans="1:7" x14ac:dyDescent="0.25">
      <c r="A71" s="1624"/>
      <c r="B71" s="1638"/>
      <c r="C71" s="1625"/>
      <c r="D71" s="1815"/>
      <c r="E71" s="1511">
        <f t="shared" si="2"/>
        <v>0</v>
      </c>
      <c r="F71" s="1903">
        <f t="shared" si="1"/>
        <v>0</v>
      </c>
      <c r="G71" s="1764">
        <f t="shared" si="3"/>
        <v>0</v>
      </c>
    </row>
    <row r="72" spans="1:7" x14ac:dyDescent="0.25">
      <c r="A72" s="1624"/>
      <c r="B72" s="1638"/>
      <c r="C72" s="1625"/>
      <c r="D72" s="1815"/>
      <c r="E72" s="1511">
        <f t="shared" si="2"/>
        <v>0</v>
      </c>
      <c r="F72" s="1903">
        <f t="shared" si="1"/>
        <v>0</v>
      </c>
      <c r="G72" s="1764">
        <f t="shared" si="3"/>
        <v>0</v>
      </c>
    </row>
    <row r="73" spans="1:7" x14ac:dyDescent="0.25">
      <c r="A73" s="1624"/>
      <c r="B73" s="1638"/>
      <c r="C73" s="1625"/>
      <c r="D73" s="1815"/>
      <c r="E73" s="1511">
        <f t="shared" ref="E73:E84" si="4">IF(D73&lt;=25000,D73,IF(D73&gt;25000,25000,0))</f>
        <v>0</v>
      </c>
      <c r="F73" s="1903">
        <f t="shared" si="1"/>
        <v>0</v>
      </c>
      <c r="G73" s="1764">
        <f t="shared" ref="G73:G84" si="5">IF(F73=0,0,D73-F73)</f>
        <v>0</v>
      </c>
    </row>
    <row r="74" spans="1:7" x14ac:dyDescent="0.25">
      <c r="A74" s="1624"/>
      <c r="B74" s="1638"/>
      <c r="C74" s="1625"/>
      <c r="D74" s="1815"/>
      <c r="E74" s="1511">
        <f t="shared" si="4"/>
        <v>0</v>
      </c>
      <c r="F74" s="1903">
        <f t="shared" si="1"/>
        <v>0</v>
      </c>
      <c r="G74" s="1764">
        <f t="shared" si="5"/>
        <v>0</v>
      </c>
    </row>
    <row r="75" spans="1:7" x14ac:dyDescent="0.25">
      <c r="A75" s="1624"/>
      <c r="B75" s="1638"/>
      <c r="C75" s="1625"/>
      <c r="D75" s="1815"/>
      <c r="E75" s="1511">
        <f t="shared" si="4"/>
        <v>0</v>
      </c>
      <c r="F75" s="1903">
        <f t="shared" si="1"/>
        <v>0</v>
      </c>
      <c r="G75" s="1764">
        <f t="shared" si="5"/>
        <v>0</v>
      </c>
    </row>
    <row r="76" spans="1:7" x14ac:dyDescent="0.25">
      <c r="A76" s="1624"/>
      <c r="B76" s="1638"/>
      <c r="C76" s="1625"/>
      <c r="D76" s="1815"/>
      <c r="E76" s="1511">
        <f t="shared" si="4"/>
        <v>0</v>
      </c>
      <c r="F76" s="1903">
        <f t="shared" si="1"/>
        <v>0</v>
      </c>
      <c r="G76" s="1764">
        <f t="shared" si="5"/>
        <v>0</v>
      </c>
    </row>
    <row r="77" spans="1:7" x14ac:dyDescent="0.25">
      <c r="A77" s="1624"/>
      <c r="B77" s="1638"/>
      <c r="C77" s="1625"/>
      <c r="D77" s="1815"/>
      <c r="E77" s="1511">
        <f t="shared" si="4"/>
        <v>0</v>
      </c>
      <c r="F77" s="1903">
        <f t="shared" si="1"/>
        <v>0</v>
      </c>
      <c r="G77" s="1764">
        <f t="shared" si="5"/>
        <v>0</v>
      </c>
    </row>
    <row r="78" spans="1:7" x14ac:dyDescent="0.25">
      <c r="A78" s="1624"/>
      <c r="B78" s="1638"/>
      <c r="C78" s="1625"/>
      <c r="D78" s="1815"/>
      <c r="E78" s="1511">
        <f t="shared" si="4"/>
        <v>0</v>
      </c>
      <c r="F78" s="1903">
        <f t="shared" si="1"/>
        <v>0</v>
      </c>
      <c r="G78" s="1764">
        <f t="shared" si="5"/>
        <v>0</v>
      </c>
    </row>
    <row r="79" spans="1:7" x14ac:dyDescent="0.25">
      <c r="A79" s="1624"/>
      <c r="B79" s="1638"/>
      <c r="C79" s="1625"/>
      <c r="D79" s="1815"/>
      <c r="E79" s="1511">
        <f t="shared" si="4"/>
        <v>0</v>
      </c>
      <c r="F79" s="1903">
        <f t="shared" si="1"/>
        <v>0</v>
      </c>
      <c r="G79" s="1764">
        <f t="shared" si="5"/>
        <v>0</v>
      </c>
    </row>
    <row r="80" spans="1:7" x14ac:dyDescent="0.25">
      <c r="A80" s="1624"/>
      <c r="B80" s="1638"/>
      <c r="C80" s="1625"/>
      <c r="D80" s="1815"/>
      <c r="E80" s="1511">
        <f t="shared" si="4"/>
        <v>0</v>
      </c>
      <c r="F80" s="1903">
        <f t="shared" si="1"/>
        <v>0</v>
      </c>
      <c r="G80" s="1764">
        <f t="shared" si="5"/>
        <v>0</v>
      </c>
    </row>
    <row r="81" spans="1:7" x14ac:dyDescent="0.25">
      <c r="A81" s="1624"/>
      <c r="B81" s="1638"/>
      <c r="C81" s="1625"/>
      <c r="D81" s="1815"/>
      <c r="E81" s="1511">
        <f t="shared" si="4"/>
        <v>0</v>
      </c>
      <c r="F81" s="190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4">
        <f t="shared" si="5"/>
        <v>0</v>
      </c>
    </row>
    <row r="82" spans="1:7" x14ac:dyDescent="0.25">
      <c r="A82" s="1624"/>
      <c r="B82" s="1638"/>
      <c r="C82" s="1625"/>
      <c r="D82" s="1815"/>
      <c r="E82" s="1511">
        <f t="shared" si="4"/>
        <v>0</v>
      </c>
      <c r="F82" s="1903">
        <f t="shared" si="6"/>
        <v>0</v>
      </c>
      <c r="G82" s="1764">
        <f t="shared" si="5"/>
        <v>0</v>
      </c>
    </row>
    <row r="83" spans="1:7" x14ac:dyDescent="0.25">
      <c r="A83" s="1624"/>
      <c r="B83" s="1638"/>
      <c r="C83" s="1625"/>
      <c r="D83" s="1815"/>
      <c r="E83" s="1511">
        <f t="shared" si="4"/>
        <v>0</v>
      </c>
      <c r="F83" s="1903">
        <f t="shared" si="6"/>
        <v>0</v>
      </c>
      <c r="G83" s="1764">
        <f t="shared" si="5"/>
        <v>0</v>
      </c>
    </row>
    <row r="84" spans="1:7" x14ac:dyDescent="0.25">
      <c r="A84" s="1624"/>
      <c r="B84" s="1638"/>
      <c r="C84" s="1625"/>
      <c r="D84" s="1815"/>
      <c r="E84" s="1511">
        <f t="shared" si="4"/>
        <v>0</v>
      </c>
      <c r="F84" s="1903">
        <f t="shared" si="6"/>
        <v>0</v>
      </c>
      <c r="G84" s="1764">
        <f t="shared" si="5"/>
        <v>0</v>
      </c>
    </row>
    <row r="85" spans="1:7" x14ac:dyDescent="0.25">
      <c r="A85" s="1624"/>
      <c r="B85" s="1638"/>
      <c r="C85" s="1625"/>
      <c r="D85" s="1815"/>
      <c r="E85" s="1511">
        <f t="shared" si="2"/>
        <v>0</v>
      </c>
      <c r="F85" s="1903">
        <f t="shared" si="6"/>
        <v>0</v>
      </c>
      <c r="G85" s="1764">
        <f t="shared" si="3"/>
        <v>0</v>
      </c>
    </row>
    <row r="86" spans="1:7" x14ac:dyDescent="0.25">
      <c r="A86" s="1624"/>
      <c r="B86" s="1638"/>
      <c r="C86" s="1625"/>
      <c r="D86" s="1815"/>
      <c r="E86" s="1511">
        <f t="shared" si="2"/>
        <v>0</v>
      </c>
      <c r="F86" s="1903">
        <f t="shared" si="6"/>
        <v>0</v>
      </c>
      <c r="G86" s="1764">
        <f t="shared" si="3"/>
        <v>0</v>
      </c>
    </row>
    <row r="87" spans="1:7" x14ac:dyDescent="0.25">
      <c r="A87" s="1624"/>
      <c r="B87" s="1638"/>
      <c r="C87" s="1625"/>
      <c r="D87" s="1815"/>
      <c r="E87" s="1511">
        <f t="shared" si="2"/>
        <v>0</v>
      </c>
      <c r="F87" s="1903">
        <f t="shared" si="6"/>
        <v>0</v>
      </c>
      <c r="G87" s="1764">
        <f t="shared" si="3"/>
        <v>0</v>
      </c>
    </row>
    <row r="88" spans="1:7" x14ac:dyDescent="0.25">
      <c r="A88" s="1624"/>
      <c r="B88" s="1638"/>
      <c r="C88" s="1625"/>
      <c r="D88" s="1815"/>
      <c r="E88" s="1511">
        <f t="shared" si="2"/>
        <v>0</v>
      </c>
      <c r="F88" s="1903">
        <f t="shared" si="6"/>
        <v>0</v>
      </c>
      <c r="G88" s="1764">
        <f t="shared" si="3"/>
        <v>0</v>
      </c>
    </row>
    <row r="89" spans="1:7" x14ac:dyDescent="0.25">
      <c r="A89" s="1624"/>
      <c r="B89" s="1638"/>
      <c r="C89" s="1625"/>
      <c r="D89" s="1815"/>
      <c r="E89" s="1511">
        <f t="shared" si="2"/>
        <v>0</v>
      </c>
      <c r="F89" s="1903">
        <f t="shared" si="6"/>
        <v>0</v>
      </c>
      <c r="G89" s="1764">
        <f t="shared" si="3"/>
        <v>0</v>
      </c>
    </row>
    <row r="90" spans="1:7" x14ac:dyDescent="0.25">
      <c r="A90" s="1624"/>
      <c r="B90" s="1638"/>
      <c r="C90" s="1625"/>
      <c r="D90" s="1815"/>
      <c r="E90" s="1511">
        <f t="shared" si="2"/>
        <v>0</v>
      </c>
      <c r="F90" s="1903">
        <f t="shared" si="6"/>
        <v>0</v>
      </c>
      <c r="G90" s="1764">
        <f t="shared" si="3"/>
        <v>0</v>
      </c>
    </row>
    <row r="91" spans="1:7" x14ac:dyDescent="0.25">
      <c r="A91" s="1624"/>
      <c r="B91" s="1638"/>
      <c r="C91" s="1625"/>
      <c r="D91" s="1815"/>
      <c r="E91" s="1511">
        <f t="shared" si="2"/>
        <v>0</v>
      </c>
      <c r="F91" s="1903">
        <f t="shared" si="6"/>
        <v>0</v>
      </c>
      <c r="G91" s="1764">
        <f t="shared" si="3"/>
        <v>0</v>
      </c>
    </row>
    <row r="92" spans="1:7" x14ac:dyDescent="0.25">
      <c r="A92" s="1624"/>
      <c r="B92" s="1638"/>
      <c r="C92" s="1625"/>
      <c r="D92" s="1815"/>
      <c r="E92" s="1511">
        <f t="shared" si="2"/>
        <v>0</v>
      </c>
      <c r="F92" s="1903">
        <f t="shared" si="6"/>
        <v>0</v>
      </c>
      <c r="G92" s="1764">
        <f t="shared" si="3"/>
        <v>0</v>
      </c>
    </row>
    <row r="93" spans="1:7" x14ac:dyDescent="0.25">
      <c r="A93" s="1624"/>
      <c r="B93" s="1638"/>
      <c r="C93" s="1625"/>
      <c r="D93" s="1815"/>
      <c r="E93" s="1511">
        <f t="shared" ref="E93" si="7">IF(D93&lt;=25000,D93,IF(D93&gt;25000,25000,0))</f>
        <v>0</v>
      </c>
      <c r="F93" s="1903">
        <f t="shared" si="6"/>
        <v>0</v>
      </c>
      <c r="G93" s="1764">
        <f t="shared" ref="G93" si="8">IF(F93=0,0,D93-F93)</f>
        <v>0</v>
      </c>
    </row>
    <row r="94" spans="1:7" x14ac:dyDescent="0.25">
      <c r="A94" s="1624"/>
      <c r="B94" s="1638"/>
      <c r="C94" s="1625"/>
      <c r="D94" s="1815"/>
      <c r="E94" s="1511">
        <f t="shared" si="2"/>
        <v>0</v>
      </c>
      <c r="F94" s="1903">
        <f t="shared" si="6"/>
        <v>0</v>
      </c>
      <c r="G94" s="1764">
        <f t="shared" si="3"/>
        <v>0</v>
      </c>
    </row>
    <row r="95" spans="1:7" x14ac:dyDescent="0.25">
      <c r="A95" s="1624"/>
      <c r="B95" s="1638"/>
      <c r="C95" s="1625"/>
      <c r="D95" s="1815"/>
      <c r="E95" s="1511">
        <f t="shared" ref="E95:E98" si="9">IF(D95&lt;=25000,D95,IF(D95&gt;25000,25000,0))</f>
        <v>0</v>
      </c>
      <c r="F95" s="1903">
        <f t="shared" si="6"/>
        <v>0</v>
      </c>
      <c r="G95" s="1764">
        <f t="shared" ref="G95:G98" si="10">IF(F95=0,0,D95-F95)</f>
        <v>0</v>
      </c>
    </row>
    <row r="96" spans="1:7" x14ac:dyDescent="0.25">
      <c r="A96" s="1624"/>
      <c r="B96" s="1638"/>
      <c r="C96" s="1625"/>
      <c r="D96" s="1815"/>
      <c r="E96" s="1511">
        <f t="shared" si="9"/>
        <v>0</v>
      </c>
      <c r="F96" s="1903">
        <f t="shared" si="6"/>
        <v>0</v>
      </c>
      <c r="G96" s="1764">
        <f t="shared" si="10"/>
        <v>0</v>
      </c>
    </row>
    <row r="97" spans="1:7" x14ac:dyDescent="0.25">
      <c r="A97" s="1624"/>
      <c r="B97" s="1638"/>
      <c r="C97" s="1625"/>
      <c r="D97" s="1815"/>
      <c r="E97" s="1511">
        <f t="shared" si="9"/>
        <v>0</v>
      </c>
      <c r="F97" s="1903">
        <f t="shared" si="6"/>
        <v>0</v>
      </c>
      <c r="G97" s="1764">
        <f t="shared" si="10"/>
        <v>0</v>
      </c>
    </row>
    <row r="98" spans="1:7" x14ac:dyDescent="0.25">
      <c r="A98" s="1624"/>
      <c r="B98" s="1638"/>
      <c r="C98" s="1625"/>
      <c r="D98" s="1815"/>
      <c r="E98" s="1511">
        <f t="shared" si="9"/>
        <v>0</v>
      </c>
      <c r="F98" s="1903">
        <f t="shared" si="6"/>
        <v>0</v>
      </c>
      <c r="G98" s="1764">
        <f t="shared" si="10"/>
        <v>0</v>
      </c>
    </row>
    <row r="99" spans="1:7" x14ac:dyDescent="0.25">
      <c r="A99" s="1624"/>
      <c r="B99" s="1638"/>
      <c r="C99" s="1625"/>
      <c r="D99" s="1815"/>
      <c r="E99" s="1511">
        <f t="shared" ref="E99" si="11">IF(D99&lt;=25000,D99,IF(D99&gt;25000,25000,0))</f>
        <v>0</v>
      </c>
      <c r="F99" s="1903">
        <f t="shared" si="6"/>
        <v>0</v>
      </c>
      <c r="G99" s="1764">
        <f t="shared" ref="G99" si="12">IF(F99=0,0,D99-F99)</f>
        <v>0</v>
      </c>
    </row>
    <row r="100" spans="1:7" x14ac:dyDescent="0.25">
      <c r="A100" s="1624"/>
      <c r="B100" s="1638"/>
      <c r="C100" s="1625"/>
      <c r="D100" s="1815"/>
      <c r="E100" s="1511">
        <f t="shared" ref="E100:E112" si="13">IF(D100&lt;=25000,D100,IF(D100&gt;25000,25000,0))</f>
        <v>0</v>
      </c>
      <c r="F100" s="1903">
        <f t="shared" si="6"/>
        <v>0</v>
      </c>
      <c r="G100" s="1764">
        <f t="shared" ref="G100:G112" si="14">IF(F100=0,0,D100-F100)</f>
        <v>0</v>
      </c>
    </row>
    <row r="101" spans="1:7" x14ac:dyDescent="0.25">
      <c r="A101" s="1624"/>
      <c r="B101" s="1638"/>
      <c r="C101" s="1625"/>
      <c r="D101" s="1815"/>
      <c r="E101" s="1511">
        <f t="shared" si="13"/>
        <v>0</v>
      </c>
      <c r="F101" s="1903">
        <f t="shared" si="6"/>
        <v>0</v>
      </c>
      <c r="G101" s="1764">
        <f t="shared" si="14"/>
        <v>0</v>
      </c>
    </row>
    <row r="102" spans="1:7" x14ac:dyDescent="0.25">
      <c r="A102" s="1624"/>
      <c r="B102" s="1638"/>
      <c r="C102" s="1625"/>
      <c r="D102" s="1815"/>
      <c r="E102" s="1511">
        <f t="shared" si="13"/>
        <v>0</v>
      </c>
      <c r="F102" s="1903">
        <f t="shared" si="6"/>
        <v>0</v>
      </c>
      <c r="G102" s="1764">
        <f t="shared" si="14"/>
        <v>0</v>
      </c>
    </row>
    <row r="103" spans="1:7" x14ac:dyDescent="0.25">
      <c r="A103" s="1624"/>
      <c r="B103" s="1638"/>
      <c r="C103" s="1625"/>
      <c r="D103" s="1815"/>
      <c r="E103" s="1511">
        <f t="shared" si="13"/>
        <v>0</v>
      </c>
      <c r="F103" s="1903">
        <f t="shared" si="6"/>
        <v>0</v>
      </c>
      <c r="G103" s="1764">
        <f t="shared" si="14"/>
        <v>0</v>
      </c>
    </row>
    <row r="104" spans="1:7" x14ac:dyDescent="0.25">
      <c r="A104" s="1624"/>
      <c r="B104" s="1638"/>
      <c r="C104" s="1625"/>
      <c r="D104" s="1815"/>
      <c r="E104" s="1511">
        <f t="shared" si="13"/>
        <v>0</v>
      </c>
      <c r="F104" s="1903">
        <f t="shared" si="6"/>
        <v>0</v>
      </c>
      <c r="G104" s="1764">
        <f t="shared" si="14"/>
        <v>0</v>
      </c>
    </row>
    <row r="105" spans="1:7" x14ac:dyDescent="0.25">
      <c r="A105" s="1624"/>
      <c r="B105" s="1638"/>
      <c r="C105" s="1625"/>
      <c r="D105" s="1815"/>
      <c r="E105" s="1511">
        <f t="shared" si="13"/>
        <v>0</v>
      </c>
      <c r="F105" s="1903">
        <f t="shared" si="6"/>
        <v>0</v>
      </c>
      <c r="G105" s="1764">
        <f t="shared" si="14"/>
        <v>0</v>
      </c>
    </row>
    <row r="106" spans="1:7" x14ac:dyDescent="0.25">
      <c r="A106" s="1624"/>
      <c r="B106" s="1638"/>
      <c r="C106" s="1625"/>
      <c r="D106" s="1815"/>
      <c r="E106" s="1511">
        <f t="shared" si="13"/>
        <v>0</v>
      </c>
      <c r="F106" s="1903">
        <f t="shared" si="6"/>
        <v>0</v>
      </c>
      <c r="G106" s="1764">
        <f t="shared" si="14"/>
        <v>0</v>
      </c>
    </row>
    <row r="107" spans="1:7" x14ac:dyDescent="0.25">
      <c r="A107" s="1624"/>
      <c r="B107" s="1638"/>
      <c r="C107" s="1625"/>
      <c r="D107" s="1815"/>
      <c r="E107" s="1511">
        <f t="shared" si="13"/>
        <v>0</v>
      </c>
      <c r="F107" s="1903">
        <f t="shared" si="6"/>
        <v>0</v>
      </c>
      <c r="G107" s="1764">
        <f t="shared" si="14"/>
        <v>0</v>
      </c>
    </row>
    <row r="108" spans="1:7" x14ac:dyDescent="0.25">
      <c r="A108" s="1624"/>
      <c r="B108" s="1638"/>
      <c r="C108" s="1625"/>
      <c r="D108" s="1815"/>
      <c r="E108" s="1511">
        <f t="shared" si="13"/>
        <v>0</v>
      </c>
      <c r="F108" s="1903">
        <f t="shared" si="6"/>
        <v>0</v>
      </c>
      <c r="G108" s="1764">
        <f t="shared" si="14"/>
        <v>0</v>
      </c>
    </row>
    <row r="109" spans="1:7" x14ac:dyDescent="0.25">
      <c r="A109" s="1624"/>
      <c r="B109" s="1638"/>
      <c r="C109" s="1625"/>
      <c r="D109" s="1815"/>
      <c r="E109" s="1511">
        <f t="shared" si="13"/>
        <v>0</v>
      </c>
      <c r="F109" s="1903">
        <f t="shared" si="6"/>
        <v>0</v>
      </c>
      <c r="G109" s="1764">
        <f t="shared" si="14"/>
        <v>0</v>
      </c>
    </row>
    <row r="110" spans="1:7" x14ac:dyDescent="0.25">
      <c r="A110" s="1624"/>
      <c r="B110" s="1638"/>
      <c r="C110" s="1625"/>
      <c r="D110" s="1815"/>
      <c r="E110" s="1511">
        <f t="shared" si="13"/>
        <v>0</v>
      </c>
      <c r="F110" s="1903">
        <f t="shared" si="6"/>
        <v>0</v>
      </c>
      <c r="G110" s="1764">
        <f t="shared" si="14"/>
        <v>0</v>
      </c>
    </row>
    <row r="111" spans="1:7" x14ac:dyDescent="0.25">
      <c r="A111" s="1624"/>
      <c r="B111" s="1638"/>
      <c r="C111" s="1625"/>
      <c r="D111" s="1815"/>
      <c r="E111" s="1511">
        <f t="shared" si="13"/>
        <v>0</v>
      </c>
      <c r="F111" s="1903">
        <f t="shared" si="6"/>
        <v>0</v>
      </c>
      <c r="G111" s="1764">
        <f t="shared" si="14"/>
        <v>0</v>
      </c>
    </row>
    <row r="112" spans="1:7" x14ac:dyDescent="0.25">
      <c r="A112" s="1624"/>
      <c r="B112" s="1638"/>
      <c r="C112" s="1625"/>
      <c r="D112" s="1815"/>
      <c r="E112" s="1511">
        <f t="shared" si="13"/>
        <v>0</v>
      </c>
      <c r="F112" s="1903">
        <f t="shared" si="6"/>
        <v>0</v>
      </c>
      <c r="G112" s="1764">
        <f t="shared" si="14"/>
        <v>0</v>
      </c>
    </row>
    <row r="113" spans="1:7" x14ac:dyDescent="0.25">
      <c r="A113" s="1624"/>
      <c r="B113" s="1638"/>
      <c r="C113" s="1625"/>
      <c r="D113" s="1815"/>
      <c r="E113" s="1511">
        <f t="shared" ref="E113:E125" si="15">IF(D113&lt;=25000,D113,IF(D113&gt;25000,25000,0))</f>
        <v>0</v>
      </c>
      <c r="F113" s="1903">
        <f t="shared" si="6"/>
        <v>0</v>
      </c>
      <c r="G113" s="1764">
        <f t="shared" ref="G113:G125" si="16">IF(F113=0,0,D113-F113)</f>
        <v>0</v>
      </c>
    </row>
    <row r="114" spans="1:7" x14ac:dyDescent="0.25">
      <c r="A114" s="1624"/>
      <c r="B114" s="1638"/>
      <c r="C114" s="1625"/>
      <c r="D114" s="1815"/>
      <c r="E114" s="1511">
        <f t="shared" si="15"/>
        <v>0</v>
      </c>
      <c r="F114" s="1903">
        <f t="shared" si="6"/>
        <v>0</v>
      </c>
      <c r="G114" s="1764">
        <f t="shared" si="16"/>
        <v>0</v>
      </c>
    </row>
    <row r="115" spans="1:7" x14ac:dyDescent="0.25">
      <c r="A115" s="1624"/>
      <c r="B115" s="1638"/>
      <c r="C115" s="1625"/>
      <c r="D115" s="1815"/>
      <c r="E115" s="1511">
        <f t="shared" si="15"/>
        <v>0</v>
      </c>
      <c r="F115" s="1903">
        <f t="shared" si="6"/>
        <v>0</v>
      </c>
      <c r="G115" s="1764">
        <f t="shared" si="16"/>
        <v>0</v>
      </c>
    </row>
    <row r="116" spans="1:7" x14ac:dyDescent="0.25">
      <c r="A116" s="1624"/>
      <c r="B116" s="1638"/>
      <c r="C116" s="1625"/>
      <c r="D116" s="1815"/>
      <c r="E116" s="1511">
        <f t="shared" si="15"/>
        <v>0</v>
      </c>
      <c r="F116" s="1903">
        <f t="shared" si="6"/>
        <v>0</v>
      </c>
      <c r="G116" s="1764">
        <f t="shared" si="16"/>
        <v>0</v>
      </c>
    </row>
    <row r="117" spans="1:7" x14ac:dyDescent="0.25">
      <c r="A117" s="1624"/>
      <c r="B117" s="1638"/>
      <c r="C117" s="1625"/>
      <c r="D117" s="1815"/>
      <c r="E117" s="1511">
        <f t="shared" si="15"/>
        <v>0</v>
      </c>
      <c r="F117" s="1903">
        <f t="shared" si="6"/>
        <v>0</v>
      </c>
      <c r="G117" s="1764">
        <f t="shared" si="16"/>
        <v>0</v>
      </c>
    </row>
    <row r="118" spans="1:7" x14ac:dyDescent="0.25">
      <c r="A118" s="1624"/>
      <c r="B118" s="1638"/>
      <c r="C118" s="1625"/>
      <c r="D118" s="1815"/>
      <c r="E118" s="1511">
        <f t="shared" si="15"/>
        <v>0</v>
      </c>
      <c r="F118" s="1903">
        <f t="shared" si="6"/>
        <v>0</v>
      </c>
      <c r="G118" s="1764">
        <f t="shared" si="16"/>
        <v>0</v>
      </c>
    </row>
    <row r="119" spans="1:7" x14ac:dyDescent="0.25">
      <c r="A119" s="1624"/>
      <c r="B119" s="1638"/>
      <c r="C119" s="1625"/>
      <c r="D119" s="1815"/>
      <c r="E119" s="1511">
        <f t="shared" si="15"/>
        <v>0</v>
      </c>
      <c r="F119" s="1903">
        <f t="shared" si="6"/>
        <v>0</v>
      </c>
      <c r="G119" s="1764">
        <f t="shared" si="16"/>
        <v>0</v>
      </c>
    </row>
    <row r="120" spans="1:7" x14ac:dyDescent="0.25">
      <c r="A120" s="1624"/>
      <c r="B120" s="1638"/>
      <c r="C120" s="1625"/>
      <c r="D120" s="1815"/>
      <c r="E120" s="1511">
        <f t="shared" si="15"/>
        <v>0</v>
      </c>
      <c r="F120" s="1903">
        <f t="shared" si="6"/>
        <v>0</v>
      </c>
      <c r="G120" s="1764">
        <f t="shared" si="16"/>
        <v>0</v>
      </c>
    </row>
    <row r="121" spans="1:7" x14ac:dyDescent="0.25">
      <c r="A121" s="1624"/>
      <c r="B121" s="1638"/>
      <c r="C121" s="1625"/>
      <c r="D121" s="1815"/>
      <c r="E121" s="1511">
        <f t="shared" si="15"/>
        <v>0</v>
      </c>
      <c r="F121" s="1903">
        <f t="shared" si="6"/>
        <v>0</v>
      </c>
      <c r="G121" s="1764">
        <f t="shared" si="16"/>
        <v>0</v>
      </c>
    </row>
    <row r="122" spans="1:7" x14ac:dyDescent="0.25">
      <c r="A122" s="1624"/>
      <c r="B122" s="1638"/>
      <c r="C122" s="1625"/>
      <c r="D122" s="1815"/>
      <c r="E122" s="1511">
        <f t="shared" si="15"/>
        <v>0</v>
      </c>
      <c r="F122" s="1903">
        <f t="shared" si="6"/>
        <v>0</v>
      </c>
      <c r="G122" s="1764">
        <f t="shared" si="16"/>
        <v>0</v>
      </c>
    </row>
    <row r="123" spans="1:7" x14ac:dyDescent="0.25">
      <c r="A123" s="1624"/>
      <c r="B123" s="1638"/>
      <c r="C123" s="1625"/>
      <c r="D123" s="1815"/>
      <c r="E123" s="1511">
        <f t="shared" si="15"/>
        <v>0</v>
      </c>
      <c r="F123" s="1903">
        <f t="shared" si="6"/>
        <v>0</v>
      </c>
      <c r="G123" s="1764">
        <f t="shared" si="16"/>
        <v>0</v>
      </c>
    </row>
    <row r="124" spans="1:7" x14ac:dyDescent="0.25">
      <c r="A124" s="1624"/>
      <c r="B124" s="1638"/>
      <c r="C124" s="1625"/>
      <c r="D124" s="1815"/>
      <c r="E124" s="1511">
        <f t="shared" si="15"/>
        <v>0</v>
      </c>
      <c r="F124" s="1903">
        <f t="shared" si="6"/>
        <v>0</v>
      </c>
      <c r="G124" s="1764">
        <f t="shared" si="16"/>
        <v>0</v>
      </c>
    </row>
    <row r="125" spans="1:7" x14ac:dyDescent="0.25">
      <c r="A125" s="1624"/>
      <c r="B125" s="1638"/>
      <c r="C125" s="1625"/>
      <c r="D125" s="1815"/>
      <c r="E125" s="1511">
        <f t="shared" si="15"/>
        <v>0</v>
      </c>
      <c r="F125" s="1903">
        <f t="shared" si="6"/>
        <v>0</v>
      </c>
      <c r="G125" s="1764">
        <f t="shared" si="16"/>
        <v>0</v>
      </c>
    </row>
    <row r="126" spans="1:7" x14ac:dyDescent="0.25">
      <c r="A126" s="1624"/>
      <c r="B126" s="1638"/>
      <c r="C126" s="1625"/>
      <c r="D126" s="1815"/>
      <c r="E126" s="1511">
        <f t="shared" ref="E126:E134" si="17">IF(D126&lt;=25000,D126,IF(D126&gt;25000,25000,0))</f>
        <v>0</v>
      </c>
      <c r="F126" s="1903">
        <f t="shared" si="6"/>
        <v>0</v>
      </c>
      <c r="G126" s="1764">
        <f t="shared" ref="G126:G134" si="18">IF(F126=0,0,D126-F126)</f>
        <v>0</v>
      </c>
    </row>
    <row r="127" spans="1:7" x14ac:dyDescent="0.25">
      <c r="A127" s="1624"/>
      <c r="B127" s="1638"/>
      <c r="C127" s="1625"/>
      <c r="D127" s="1815"/>
      <c r="E127" s="1511">
        <f t="shared" si="17"/>
        <v>0</v>
      </c>
      <c r="F127" s="1903">
        <f t="shared" si="6"/>
        <v>0</v>
      </c>
      <c r="G127" s="1764">
        <f t="shared" si="18"/>
        <v>0</v>
      </c>
    </row>
    <row r="128" spans="1:7" x14ac:dyDescent="0.25">
      <c r="A128" s="1624"/>
      <c r="B128" s="1638"/>
      <c r="C128" s="1625"/>
      <c r="D128" s="1815"/>
      <c r="E128" s="1511">
        <f t="shared" si="17"/>
        <v>0</v>
      </c>
      <c r="F128" s="1903">
        <f t="shared" si="6"/>
        <v>0</v>
      </c>
      <c r="G128" s="1764">
        <f t="shared" si="18"/>
        <v>0</v>
      </c>
    </row>
    <row r="129" spans="1:7" x14ac:dyDescent="0.25">
      <c r="A129" s="1624"/>
      <c r="B129" s="1638"/>
      <c r="C129" s="1625"/>
      <c r="D129" s="1815"/>
      <c r="E129" s="1511">
        <f t="shared" si="17"/>
        <v>0</v>
      </c>
      <c r="F129" s="1903">
        <f t="shared" si="6"/>
        <v>0</v>
      </c>
      <c r="G129" s="1764">
        <f t="shared" si="18"/>
        <v>0</v>
      </c>
    </row>
    <row r="130" spans="1:7" x14ac:dyDescent="0.25">
      <c r="A130" s="1624"/>
      <c r="B130" s="1638"/>
      <c r="C130" s="1625"/>
      <c r="D130" s="1815"/>
      <c r="E130" s="1511">
        <f t="shared" si="17"/>
        <v>0</v>
      </c>
      <c r="F130" s="1903">
        <f t="shared" si="6"/>
        <v>0</v>
      </c>
      <c r="G130" s="1764">
        <f t="shared" si="18"/>
        <v>0</v>
      </c>
    </row>
    <row r="131" spans="1:7" x14ac:dyDescent="0.25">
      <c r="A131" s="1624"/>
      <c r="B131" s="1808"/>
      <c r="C131" s="1625"/>
      <c r="D131" s="1815"/>
      <c r="E131" s="1511">
        <f t="shared" si="17"/>
        <v>0</v>
      </c>
      <c r="F131" s="1903">
        <f t="shared" si="6"/>
        <v>0</v>
      </c>
      <c r="G131" s="1764">
        <f t="shared" si="18"/>
        <v>0</v>
      </c>
    </row>
    <row r="132" spans="1:7" x14ac:dyDescent="0.25">
      <c r="A132" s="1624"/>
      <c r="B132" s="1808"/>
      <c r="C132" s="1625"/>
      <c r="D132" s="1815"/>
      <c r="E132" s="1511">
        <f t="shared" si="17"/>
        <v>0</v>
      </c>
      <c r="F132" s="1903">
        <f t="shared" si="6"/>
        <v>0</v>
      </c>
      <c r="G132" s="1764">
        <f t="shared" si="18"/>
        <v>0</v>
      </c>
    </row>
    <row r="133" spans="1:7" x14ac:dyDescent="0.25">
      <c r="A133" s="1624"/>
      <c r="B133" s="1638"/>
      <c r="C133" s="1625"/>
      <c r="D133" s="1815"/>
      <c r="E133" s="1511">
        <f t="shared" si="17"/>
        <v>0</v>
      </c>
      <c r="F133" s="1903">
        <f t="shared" si="6"/>
        <v>0</v>
      </c>
      <c r="G133" s="1764">
        <f t="shared" si="18"/>
        <v>0</v>
      </c>
    </row>
    <row r="134" spans="1:7" x14ac:dyDescent="0.25">
      <c r="A134" s="1624"/>
      <c r="B134" s="1638"/>
      <c r="C134" s="1625"/>
      <c r="D134" s="1815"/>
      <c r="E134" s="1511">
        <f t="shared" si="17"/>
        <v>0</v>
      </c>
      <c r="F134" s="1903">
        <f t="shared" si="6"/>
        <v>0</v>
      </c>
      <c r="G134" s="1764">
        <f t="shared" si="18"/>
        <v>0</v>
      </c>
    </row>
    <row r="135" spans="1:7" x14ac:dyDescent="0.25">
      <c r="A135" s="1624"/>
      <c r="B135" s="1638"/>
      <c r="C135" s="1625"/>
      <c r="D135" s="1815"/>
      <c r="E135" s="1511">
        <f t="shared" ref="E135:E139" si="19">IF(D135&lt;=25000,D135,IF(D135&gt;25000,25000,0))</f>
        <v>0</v>
      </c>
      <c r="F135" s="1903">
        <f t="shared" si="6"/>
        <v>0</v>
      </c>
      <c r="G135" s="1764">
        <f t="shared" ref="G135:G139" si="20">IF(F135=0,0,D135-F135)</f>
        <v>0</v>
      </c>
    </row>
    <row r="136" spans="1:7" x14ac:dyDescent="0.25">
      <c r="A136" s="1624"/>
      <c r="B136" s="1638"/>
      <c r="C136" s="1625"/>
      <c r="D136" s="1815"/>
      <c r="E136" s="1511">
        <f t="shared" si="19"/>
        <v>0</v>
      </c>
      <c r="F136" s="1903">
        <f t="shared" si="6"/>
        <v>0</v>
      </c>
      <c r="G136" s="1764">
        <f t="shared" si="20"/>
        <v>0</v>
      </c>
    </row>
    <row r="137" spans="1:7" x14ac:dyDescent="0.25">
      <c r="A137" s="1624"/>
      <c r="B137" s="1638"/>
      <c r="C137" s="1625"/>
      <c r="D137" s="1815"/>
      <c r="E137" s="1511">
        <f t="shared" si="19"/>
        <v>0</v>
      </c>
      <c r="F137" s="1903">
        <f t="shared" si="6"/>
        <v>0</v>
      </c>
      <c r="G137" s="1764">
        <f t="shared" si="20"/>
        <v>0</v>
      </c>
    </row>
    <row r="138" spans="1:7" x14ac:dyDescent="0.25">
      <c r="A138" s="1624"/>
      <c r="B138" s="1638"/>
      <c r="C138" s="1625"/>
      <c r="D138" s="1815"/>
      <c r="E138" s="1511">
        <f t="shared" si="19"/>
        <v>0</v>
      </c>
      <c r="F138" s="1903">
        <f t="shared" si="6"/>
        <v>0</v>
      </c>
      <c r="G138" s="1764">
        <f t="shared" si="20"/>
        <v>0</v>
      </c>
    </row>
    <row r="139" spans="1:7" x14ac:dyDescent="0.25">
      <c r="A139" s="1624"/>
      <c r="B139" s="1638"/>
      <c r="C139" s="1625"/>
      <c r="D139" s="1815"/>
      <c r="E139" s="1511">
        <f t="shared" si="19"/>
        <v>0</v>
      </c>
      <c r="F139" s="1903">
        <f t="shared" si="6"/>
        <v>0</v>
      </c>
      <c r="G139" s="1764">
        <f t="shared" si="20"/>
        <v>0</v>
      </c>
    </row>
    <row r="140" spans="1:7" x14ac:dyDescent="0.25">
      <c r="A140" s="1624"/>
      <c r="B140" s="1637"/>
      <c r="C140" s="1625"/>
      <c r="D140" s="1815"/>
      <c r="E140" s="1511">
        <f t="shared" si="2"/>
        <v>0</v>
      </c>
      <c r="F140" s="1903">
        <f t="shared" si="6"/>
        <v>0</v>
      </c>
      <c r="G140" s="1764">
        <f t="shared" si="3"/>
        <v>0</v>
      </c>
    </row>
    <row r="141" spans="1:7" x14ac:dyDescent="0.25">
      <c r="A141" s="1767" t="s">
        <v>156</v>
      </c>
      <c r="B141" s="1768"/>
      <c r="C141" s="1769"/>
      <c r="D141" s="1765">
        <f>SUM(D17:D140)</f>
        <v>3862341</v>
      </c>
      <c r="E141" s="1512">
        <f t="shared" si="0"/>
        <v>25000</v>
      </c>
      <c r="F141" s="1904">
        <f>SUM(F17:F140)</f>
        <v>598257</v>
      </c>
      <c r="G141" s="1766">
        <f>SUM(G17:G140)</f>
        <v>3264084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39997558519241921"/>
    <pageSetUpPr fitToPage="1"/>
  </sheetPr>
  <dimension ref="A1:I46"/>
  <sheetViews>
    <sheetView showGridLines="0" defaultGridColor="0" view="pageBreakPreview" colorId="8" zoomScaleNormal="110" zoomScaleSheetLayoutView="10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5" t="s">
        <v>1115</v>
      </c>
      <c r="B1" s="1606"/>
      <c r="C1" s="1607"/>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69" t="s">
        <v>1679</v>
      </c>
      <c r="B5" s="2370"/>
      <c r="C5" s="2370"/>
      <c r="D5" s="2370"/>
      <c r="E5" s="2370"/>
      <c r="F5" s="2370"/>
      <c r="G5" s="2371"/>
      <c r="H5" s="252"/>
      <c r="I5" s="586"/>
    </row>
    <row r="6" spans="1:9" s="643" customFormat="1" x14ac:dyDescent="0.2">
      <c r="A6" s="1608"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106873</v>
      </c>
      <c r="F10" s="947"/>
      <c r="G10" s="948"/>
      <c r="H10" s="162"/>
      <c r="I10" s="162"/>
    </row>
    <row r="11" spans="1:9" s="643" customFormat="1" ht="22.5" customHeight="1" x14ac:dyDescent="0.2">
      <c r="A11" s="2374" t="s">
        <v>1974</v>
      </c>
      <c r="B11" s="2375"/>
      <c r="C11" s="2375"/>
      <c r="D11" s="2376"/>
      <c r="E11" s="950">
        <v>8624</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09" t="s">
        <v>532</v>
      </c>
      <c r="E17" s="1610"/>
      <c r="F17" s="1609" t="s">
        <v>433</v>
      </c>
      <c r="G17" s="1611"/>
      <c r="H17" s="162"/>
      <c r="I17" s="162"/>
    </row>
    <row r="18" spans="1:9" s="259" customFormat="1" ht="11.25" x14ac:dyDescent="0.2">
      <c r="A18" s="961"/>
      <c r="C18" s="962" t="s">
        <v>434</v>
      </c>
      <c r="D18" s="1612" t="s">
        <v>435</v>
      </c>
      <c r="E18" s="1612" t="s">
        <v>53</v>
      </c>
      <c r="F18" s="1612" t="s">
        <v>435</v>
      </c>
      <c r="G18" s="1612" t="s">
        <v>53</v>
      </c>
      <c r="H18" s="178"/>
      <c r="I18" s="178"/>
    </row>
    <row r="19" spans="1:9" s="643" customFormat="1" ht="12" customHeight="1" x14ac:dyDescent="0.2">
      <c r="A19" s="963" t="s">
        <v>456</v>
      </c>
      <c r="B19" s="964"/>
      <c r="C19" s="965" t="s">
        <v>570</v>
      </c>
      <c r="D19" s="1770"/>
      <c r="E19" s="1771">
        <f>'Expenditures 15-22'!K33-SUM('Expenditures 15-22'!G33,'Expenditures 15-22'!I33)+'Expenditures 15-22'!D229</f>
        <v>24686155</v>
      </c>
      <c r="F19" s="1770"/>
      <c r="G19" s="1772">
        <f>'Expenditures 15-22'!K33-SUM('Expenditures 15-22'!G33,'Expenditures 15-22'!I33)+'Expenditures 15-22'!D229</f>
        <v>24686155</v>
      </c>
      <c r="H19" s="960"/>
      <c r="I19" s="162"/>
    </row>
    <row r="20" spans="1:9" s="643" customFormat="1" ht="12" customHeight="1" x14ac:dyDescent="0.2">
      <c r="A20" s="963" t="s">
        <v>54</v>
      </c>
      <c r="B20" s="964"/>
      <c r="C20" s="966"/>
      <c r="D20" s="1773"/>
      <c r="E20" s="1773"/>
      <c r="F20" s="1773"/>
      <c r="G20" s="1774"/>
      <c r="H20" s="960"/>
      <c r="I20" s="162"/>
    </row>
    <row r="21" spans="1:9" s="643" customFormat="1" ht="12" customHeight="1" x14ac:dyDescent="0.2">
      <c r="A21" s="967" t="s">
        <v>401</v>
      </c>
      <c r="B21" s="968"/>
      <c r="C21" s="966">
        <v>2100</v>
      </c>
      <c r="D21" s="1773"/>
      <c r="E21" s="1775">
        <f>'Expenditures 15-22'!K42-SUM('Expenditures 15-22'!G42,'Expenditures 15-22'!I42)+'Expenditures 15-22'!K120-SUM('Expenditures 15-22'!G120,'Expenditures 15-22'!I120)+'Expenditures 15-22'!K180-SUM('Expenditures 15-22'!G180,'Expenditures 15-22'!I180)+'Expenditures 15-22'!D238</f>
        <v>604877</v>
      </c>
      <c r="F21" s="1773"/>
      <c r="G21" s="1776">
        <f>'Expenditures 15-22'!K42-SUM('Expenditures 15-22'!G42,'Expenditures 15-22'!I42)+'Expenditures 15-22'!K120-SUM('Expenditures 15-22'!G120,'Expenditures 15-22'!I120)+'Expenditures 15-22'!K180-SUM('Expenditures 15-22'!G180,'Expenditures 15-22'!I180)+'Expenditures 15-22'!D238</f>
        <v>604877</v>
      </c>
      <c r="H21" s="960"/>
      <c r="I21" s="162"/>
    </row>
    <row r="22" spans="1:9" s="643" customFormat="1" ht="12" customHeight="1" x14ac:dyDescent="0.2">
      <c r="A22" s="967" t="s">
        <v>564</v>
      </c>
      <c r="B22" s="968"/>
      <c r="C22" s="966">
        <v>2200</v>
      </c>
      <c r="D22" s="1773"/>
      <c r="E22" s="1775">
        <f>'Expenditures 15-22'!K47-SUM('Expenditures 15-22'!G47,'Expenditures 15-22'!I47)+'Expenditures 15-22'!D243</f>
        <v>2865485</v>
      </c>
      <c r="F22" s="1773"/>
      <c r="G22" s="1776">
        <f>'Expenditures 15-22'!K47-SUM('Expenditures 15-22'!G47,'Expenditures 15-22'!I47)+'Expenditures 15-22'!D243</f>
        <v>2865485</v>
      </c>
      <c r="H22" s="960"/>
      <c r="I22" s="162"/>
    </row>
    <row r="23" spans="1:9" s="643" customFormat="1" ht="12" customHeight="1" x14ac:dyDescent="0.2">
      <c r="A23" s="967" t="s">
        <v>565</v>
      </c>
      <c r="B23" s="968"/>
      <c r="C23" s="966">
        <v>2300</v>
      </c>
      <c r="D23" s="1773"/>
      <c r="E23" s="1775">
        <f>'Expenditures 15-22'!K53-SUM('Expenditures 15-22'!G53,'Expenditures 15-22'!I53)+'Expenditures 15-22'!D257+'Expenditures 15-22'!K330-SUM('Expenditures 15-22'!G330,'Expenditures 15-22'!I330)</f>
        <v>2641852</v>
      </c>
      <c r="F23" s="1773"/>
      <c r="G23" s="1775">
        <f>'Expenditures 15-22'!K53-SUM('Expenditures 15-22'!G53,'Expenditures 15-22'!I53)+'Expenditures 15-22'!D257+'Expenditures 15-22'!K330-SUM('Expenditures 15-22'!G330,'Expenditures 15-22'!I330)</f>
        <v>2641852</v>
      </c>
      <c r="H23" s="960"/>
      <c r="I23" s="162"/>
    </row>
    <row r="24" spans="1:9" s="643" customFormat="1" ht="12" customHeight="1" x14ac:dyDescent="0.2">
      <c r="A24" s="967" t="s">
        <v>566</v>
      </c>
      <c r="B24" s="968"/>
      <c r="C24" s="966">
        <v>2400</v>
      </c>
      <c r="D24" s="1773"/>
      <c r="E24" s="1775">
        <f>'Expenditures 15-22'!K57-SUM('Expenditures 15-22'!G57,'Expenditures 15-22'!I57)+'Expenditures 15-22'!D261</f>
        <v>0</v>
      </c>
      <c r="F24" s="1773"/>
      <c r="G24" s="1776">
        <f>'Expenditures 15-22'!K57-SUM('Expenditures 15-22'!G57,'Expenditures 15-22'!I57)+'Expenditures 15-22'!D261</f>
        <v>0</v>
      </c>
      <c r="H24" s="960"/>
      <c r="I24" s="162"/>
    </row>
    <row r="25" spans="1:9" s="643" customFormat="1" ht="12" customHeight="1" x14ac:dyDescent="0.2">
      <c r="A25" s="963" t="s">
        <v>567</v>
      </c>
      <c r="B25" s="969"/>
      <c r="C25" s="966"/>
      <c r="D25" s="1773"/>
      <c r="E25" s="1775"/>
      <c r="F25" s="1773"/>
      <c r="G25" s="1776"/>
      <c r="H25" s="960"/>
      <c r="I25" s="162"/>
    </row>
    <row r="26" spans="1:9" s="643" customFormat="1" ht="12" customHeight="1" x14ac:dyDescent="0.2">
      <c r="A26" s="967" t="s">
        <v>515</v>
      </c>
      <c r="B26" s="970"/>
      <c r="C26" s="966">
        <v>2510</v>
      </c>
      <c r="D26" s="1775">
        <f>'Expenditures 15-22'!K59-SUM('Expenditures 15-22'!G59,'Expenditures 15-22'!I59)+'Expenditures 15-22'!D263-E7</f>
        <v>0</v>
      </c>
      <c r="E26" s="1775">
        <f>'Expenditures 15-22'!K122-SUM('Expenditures 15-22'!G122,'Expenditures 15-22'!I122)+E7</f>
        <v>0</v>
      </c>
      <c r="F26" s="1775">
        <f>'Expenditures 15-22'!K59-SUM('Expenditures 15-22'!G59,'Expenditures 15-22'!I59)+'Expenditures 15-22'!D263-E7</f>
        <v>0</v>
      </c>
      <c r="G26" s="1776">
        <f>'Expenditures 15-22'!K122-SUM('Expenditures 15-22'!G122,'Expenditures 15-22'!I122)+E7</f>
        <v>0</v>
      </c>
      <c r="H26" s="960"/>
      <c r="I26" s="162"/>
    </row>
    <row r="27" spans="1:9" s="643" customFormat="1" ht="12" customHeight="1" x14ac:dyDescent="0.2">
      <c r="A27" s="967" t="s">
        <v>463</v>
      </c>
      <c r="B27" s="970"/>
      <c r="C27" s="966">
        <v>2520</v>
      </c>
      <c r="D27" s="1775">
        <f>'Expenditures 15-22'!K60-SUM('Expenditures 15-22'!G60,'Expenditures 15-22'!I60)+'Expenditures 15-22'!D264-E8</f>
        <v>0</v>
      </c>
      <c r="E27" s="1775">
        <f>E8</f>
        <v>0</v>
      </c>
      <c r="F27" s="1775">
        <f>'Expenditures 15-22'!K60-SUM('Expenditures 15-22'!G60,'Expenditures 15-22'!I60)+'Expenditures 15-22'!D264-E8</f>
        <v>0</v>
      </c>
      <c r="G27" s="1776">
        <f>E8</f>
        <v>0</v>
      </c>
      <c r="H27" s="960"/>
      <c r="I27" s="162"/>
    </row>
    <row r="28" spans="1:9" s="643" customFormat="1" ht="12" customHeight="1" x14ac:dyDescent="0.2">
      <c r="A28" s="967" t="s">
        <v>516</v>
      </c>
      <c r="B28" s="970"/>
      <c r="C28" s="966">
        <v>2540</v>
      </c>
      <c r="D28" s="1777"/>
      <c r="E28" s="1775">
        <f>'Expenditures 15-22'!K61-SUM('Expenditures 15-22'!G61,'Expenditures 15-22'!I61)+'Expenditures 15-22'!K124-SUM('Expenditures 15-22'!G124,'Expenditures 15-22'!I124)+'Expenditures 15-22'!D266</f>
        <v>1577991</v>
      </c>
      <c r="F28" s="1777">
        <f>'Expenditures 15-22'!K61-SUM('Expenditures 15-22'!G61,'Expenditures 15-22'!I61)+'Expenditures 15-22'!K124-SUM('Expenditures 15-22'!G124,'Expenditures 15-22'!I124)+'Expenditures 15-22'!D266-E9</f>
        <v>1577991</v>
      </c>
      <c r="G28" s="1776">
        <f>E9</f>
        <v>0</v>
      </c>
      <c r="H28" s="960"/>
      <c r="I28" s="162"/>
    </row>
    <row r="29" spans="1:9" ht="12" customHeight="1" x14ac:dyDescent="0.2">
      <c r="A29" s="967" t="s">
        <v>517</v>
      </c>
      <c r="B29" s="970"/>
      <c r="C29" s="966">
        <v>2550</v>
      </c>
      <c r="D29" s="1773"/>
      <c r="E29" s="1775">
        <f>'Expenditures 15-22'!K62-SUM('Expenditures 15-22'!G62,'Expenditures 15-22'!I62)+'Expenditures 15-22'!K125-SUM('Expenditures 15-22'!G125,'Expenditures 15-22'!I125)+'Expenditures 15-22'!K182-SUM('Expenditures 15-22'!G182,'Expenditures 15-22'!I182)+'Expenditures 15-22'!D267</f>
        <v>2811794</v>
      </c>
      <c r="F29" s="1773"/>
      <c r="G29" s="1776">
        <f>'Expenditures 15-22'!K62-SUM('Expenditures 15-22'!G62,'Expenditures 15-22'!I62)+'Expenditures 15-22'!K125-SUM('Expenditures 15-22'!G125,'Expenditures 15-22'!I125)+'Expenditures 15-22'!K182-SUM('Expenditures 15-22'!G182,'Expenditures 15-22'!I182)+'Expenditures 15-22'!D267</f>
        <v>2811794</v>
      </c>
      <c r="H29" s="958"/>
    </row>
    <row r="30" spans="1:9" ht="12" customHeight="1" x14ac:dyDescent="0.2">
      <c r="A30" s="967" t="s">
        <v>100</v>
      </c>
      <c r="B30" s="970"/>
      <c r="C30" s="966">
        <v>2560</v>
      </c>
      <c r="D30" s="1773"/>
      <c r="E30" s="1775">
        <f>'Expenditures 15-22'!K63-SUM('Expenditures 15-22'!G63,'Expenditures 15-22'!I63)+'Expenditures 15-22'!D268-E10</f>
        <v>191482</v>
      </c>
      <c r="F30" s="1773"/>
      <c r="G30" s="1775">
        <f>'Expenditures 15-22'!K63-SUM('Expenditures 15-22'!G63,'Expenditures 15-22'!I63)+'Expenditures 15-22'!D268-E10</f>
        <v>191482</v>
      </c>
    </row>
    <row r="31" spans="1:9" ht="12" customHeight="1" x14ac:dyDescent="0.2">
      <c r="A31" s="967" t="s">
        <v>101</v>
      </c>
      <c r="B31" s="970"/>
      <c r="C31" s="966">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963" t="s">
        <v>518</v>
      </c>
      <c r="B32" s="969"/>
      <c r="C32" s="966"/>
      <c r="D32" s="1773"/>
      <c r="E32" s="1773"/>
      <c r="F32" s="1773"/>
      <c r="G32" s="1773"/>
    </row>
    <row r="33" spans="1:7" ht="12" customHeight="1" x14ac:dyDescent="0.2">
      <c r="A33" s="967" t="s">
        <v>519</v>
      </c>
      <c r="B33" s="970"/>
      <c r="C33" s="966">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967" t="s">
        <v>520</v>
      </c>
      <c r="B34" s="970"/>
      <c r="C34" s="966">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967" t="s">
        <v>1061</v>
      </c>
      <c r="B35" s="970"/>
      <c r="C35" s="966">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967" t="s">
        <v>403</v>
      </c>
      <c r="B36" s="970"/>
      <c r="C36" s="966">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967" t="s">
        <v>404</v>
      </c>
      <c r="B37" s="970"/>
      <c r="C37" s="966">
        <v>2660</v>
      </c>
      <c r="D37" s="1775">
        <f>'Expenditures 15-22'!K71-SUM('Expenditures 15-22'!G71,'Expenditures 15-22'!I71)+'Expenditures 15-22'!D276-E14</f>
        <v>0</v>
      </c>
      <c r="E37" s="1775">
        <f>E14</f>
        <v>0</v>
      </c>
      <c r="F37" s="1775">
        <f>'Expenditures 15-22'!K71-SUM('Expenditures 15-22'!G71,'Expenditures 15-22'!I71)+'Expenditures 15-22'!D276-E14</f>
        <v>0</v>
      </c>
      <c r="G37" s="1775">
        <f>E14</f>
        <v>0</v>
      </c>
    </row>
    <row r="38" spans="1:7" ht="12" customHeight="1" x14ac:dyDescent="0.2">
      <c r="A38" s="963" t="s">
        <v>521</v>
      </c>
      <c r="B38" s="964"/>
      <c r="C38" s="966">
        <v>2900</v>
      </c>
      <c r="D38" s="1773"/>
      <c r="E38" s="1775">
        <f>'Expenditures 15-22'!K73-SUM('Expenditures 15-22'!G73,'Expenditures 15-22'!I73)+'Expenditures 15-22'!K128-SUM('Expenditures 15-22'!G128,'Expenditures 15-22'!I128)+'Expenditures 15-22'!K183-SUM('Expenditures 15-22'!G183,'Expenditures 15-22'!I183)+'Expenditures 15-22'!D278</f>
        <v>1429129</v>
      </c>
      <c r="F38" s="1773"/>
      <c r="G38" s="1775">
        <f>'Expenditures 15-22'!K73-SUM('Expenditures 15-22'!G73,'Expenditures 15-22'!I73)+'Expenditures 15-22'!K128-SUM('Expenditures 15-22'!G128,'Expenditures 15-22'!I128)+'Expenditures 15-22'!K183-SUM('Expenditures 15-22'!G183,'Expenditures 15-22'!I183)+'Expenditures 15-22'!D278</f>
        <v>1429129</v>
      </c>
    </row>
    <row r="39" spans="1:7" ht="12" customHeight="1" x14ac:dyDescent="0.2">
      <c r="A39" s="963" t="s">
        <v>449</v>
      </c>
      <c r="B39" s="964"/>
      <c r="C39" s="966">
        <v>3000</v>
      </c>
      <c r="D39" s="1773"/>
      <c r="E39" s="1775">
        <f>'Expenditures 15-22'!K75-SUM('Expenditures 15-22'!G75,'Expenditures 15-22'!I75)+'Expenditures 15-22'!K130-SUM('Expenditures 15-22'!G130,'Expenditures 15-22'!I130)+'Expenditures 15-22'!K185-SUM('Expenditures 15-22'!G185,'Expenditures 15-22'!I185)+'Expenditures 15-22'!D280</f>
        <v>0</v>
      </c>
      <c r="F39" s="1773"/>
      <c r="G39" s="177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3" t="s">
        <v>1820</v>
      </c>
      <c r="B40" s="964"/>
      <c r="C40" s="966"/>
      <c r="D40" s="1773"/>
      <c r="E40" s="1777">
        <f>-'Contracts Paid in CY 29'!G141</f>
        <v>-3264084</v>
      </c>
      <c r="F40" s="1773"/>
      <c r="G40" s="1777">
        <f>-'Contracts Paid in CY 29'!G141</f>
        <v>-3264084</v>
      </c>
    </row>
    <row r="41" spans="1:7" ht="12" customHeight="1" x14ac:dyDescent="0.2">
      <c r="A41" s="971" t="s">
        <v>156</v>
      </c>
      <c r="B41" s="972"/>
      <c r="C41" s="973"/>
      <c r="D41" s="1777">
        <f>SUM(D19:D39)</f>
        <v>0</v>
      </c>
      <c r="E41" s="1777">
        <f>SUM(E19:E40)</f>
        <v>33544681</v>
      </c>
      <c r="F41" s="1777">
        <f>SUM(F19:F39)</f>
        <v>1577991</v>
      </c>
      <c r="G41" s="1777">
        <f>SUM(G19:G40)</f>
        <v>31966690</v>
      </c>
    </row>
    <row r="42" spans="1:7" x14ac:dyDescent="0.2">
      <c r="A42" s="960"/>
      <c r="B42" s="162"/>
      <c r="C42" s="974"/>
      <c r="D42" s="2372" t="s">
        <v>522</v>
      </c>
      <c r="E42" s="2373"/>
      <c r="F42" s="975" t="s">
        <v>523</v>
      </c>
      <c r="G42" s="976"/>
    </row>
    <row r="43" spans="1:7" ht="12" customHeight="1" x14ac:dyDescent="0.2">
      <c r="A43" s="960"/>
      <c r="B43" s="162"/>
      <c r="C43" s="974"/>
      <c r="D43" s="1778" t="s">
        <v>473</v>
      </c>
      <c r="E43" s="1779">
        <f>D41</f>
        <v>0</v>
      </c>
      <c r="F43" s="1778" t="s">
        <v>473</v>
      </c>
      <c r="G43" s="1779">
        <f>F41</f>
        <v>1577991</v>
      </c>
    </row>
    <row r="44" spans="1:7" ht="12" customHeight="1" x14ac:dyDescent="0.2">
      <c r="A44" s="960"/>
      <c r="B44" s="162"/>
      <c r="C44" s="974"/>
      <c r="D44" s="1778" t="s">
        <v>474</v>
      </c>
      <c r="E44" s="1779">
        <f>E41</f>
        <v>33544681</v>
      </c>
      <c r="F44" s="1778" t="s">
        <v>474</v>
      </c>
      <c r="G44" s="1779">
        <f>G41</f>
        <v>31966690</v>
      </c>
    </row>
    <row r="45" spans="1:7" ht="12" customHeight="1" x14ac:dyDescent="0.2">
      <c r="A45" s="960"/>
      <c r="B45" s="162"/>
      <c r="C45" s="162"/>
      <c r="D45" s="1780" t="s">
        <v>1006</v>
      </c>
      <c r="E45" s="1781">
        <f>(E43/E44)</f>
        <v>0</v>
      </c>
      <c r="F45" s="1780" t="s">
        <v>1006</v>
      </c>
      <c r="G45" s="1781">
        <f>(G43/G44)</f>
        <v>4.9363603175680684E-2</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39997558519241921"/>
    <pageSetUpPr fitToPage="1"/>
  </sheetPr>
  <dimension ref="A1:L97"/>
  <sheetViews>
    <sheetView showGridLines="0" view="pageBreakPreview" zoomScaleNormal="110" zoomScaleSheetLayoutView="100" workbookViewId="0">
      <pane ySplit="4" topLeftCell="A5" activePane="bottomLeft" state="frozen"/>
      <selection activeCell="AF22" sqref="AF22"/>
      <selection pane="bottomLeft" activeCell="F24" sqref="F24"/>
    </sheetView>
  </sheetViews>
  <sheetFormatPr defaultColWidth="9.140625" defaultRowHeight="12.75" x14ac:dyDescent="0.2"/>
  <cols>
    <col min="1" max="1" width="54.5703125" style="1847" customWidth="1"/>
    <col min="2" max="2" width="4.140625" style="1847" customWidth="1"/>
    <col min="3" max="4" width="9.85546875" style="1818" customWidth="1"/>
    <col min="5" max="5" width="12.5703125" style="1848" customWidth="1"/>
    <col min="6" max="6" width="67.5703125" style="1818" customWidth="1"/>
    <col min="7" max="7" width="9.140625" style="1818" customWidth="1"/>
    <col min="8" max="8" width="7.5703125" style="1849" bestFit="1" customWidth="1"/>
    <col min="9" max="9" width="4" style="1849" bestFit="1" customWidth="1"/>
    <col min="10" max="10" width="2.7109375" style="1849" bestFit="1" customWidth="1"/>
    <col min="11" max="11" width="9" style="1849" customWidth="1"/>
    <col min="12" max="16384" width="9.140625" style="1818"/>
  </cols>
  <sheetData>
    <row r="1" spans="1:10" x14ac:dyDescent="0.2">
      <c r="A1" s="2391" t="s">
        <v>1379</v>
      </c>
      <c r="B1" s="2391"/>
      <c r="C1" s="2391"/>
      <c r="D1" s="2391"/>
      <c r="E1" s="2391"/>
      <c r="F1" s="2391"/>
    </row>
    <row r="2" spans="1:10" x14ac:dyDescent="0.2">
      <c r="A2" s="1858" t="s">
        <v>1909</v>
      </c>
      <c r="B2" s="1819"/>
      <c r="C2" s="1858"/>
      <c r="D2" s="1819"/>
      <c r="E2" s="1819"/>
      <c r="F2" s="1820"/>
    </row>
    <row r="3" spans="1:10" x14ac:dyDescent="0.2">
      <c r="A3" s="1858" t="s">
        <v>1975</v>
      </c>
      <c r="B3" s="1819"/>
      <c r="C3" s="1858"/>
      <c r="D3" s="1819"/>
      <c r="E3" s="1819"/>
      <c r="F3" s="1820"/>
    </row>
    <row r="4" spans="1:10" ht="3.75" customHeight="1" x14ac:dyDescent="0.2">
      <c r="A4" s="1819"/>
      <c r="B4" s="1819"/>
      <c r="C4" s="1819"/>
      <c r="D4" s="1819"/>
      <c r="E4" s="1819"/>
      <c r="F4" s="1820"/>
    </row>
    <row r="5" spans="1:10" ht="15" x14ac:dyDescent="0.25">
      <c r="A5" s="2392" t="s">
        <v>1546</v>
      </c>
      <c r="B5" s="2393"/>
      <c r="C5" s="2394"/>
      <c r="D5" s="2394"/>
      <c r="E5" s="2394"/>
      <c r="F5" s="2394"/>
    </row>
    <row r="6" spans="1:10" ht="12" customHeight="1" x14ac:dyDescent="0.25">
      <c r="A6" s="1821"/>
      <c r="B6" s="1822"/>
      <c r="C6" s="2395" t="str">
        <f>COVER!A17</f>
        <v>NW Suburban Spec Educ Org</v>
      </c>
      <c r="D6" s="2395"/>
      <c r="E6" s="2395"/>
      <c r="F6" s="1823"/>
    </row>
    <row r="7" spans="1:10" ht="11.25" customHeight="1" thickBot="1" x14ac:dyDescent="0.3">
      <c r="A7" s="1821"/>
      <c r="B7" s="1822"/>
      <c r="C7" s="2396">
        <f>COVER!A13</f>
        <v>5016805060</v>
      </c>
      <c r="D7" s="2396"/>
      <c r="E7" s="2396"/>
      <c r="F7" s="1823"/>
    </row>
    <row r="8" spans="1:10" ht="25.5" customHeight="1" thickBot="1" x14ac:dyDescent="0.25">
      <c r="A8" s="1864" t="s">
        <v>1905</v>
      </c>
      <c r="B8" s="1824"/>
      <c r="C8" s="1860" t="s">
        <v>1681</v>
      </c>
      <c r="D8" s="1859" t="s">
        <v>1682</v>
      </c>
      <c r="E8" s="1861" t="s">
        <v>1380</v>
      </c>
      <c r="F8" s="1859" t="s">
        <v>1683</v>
      </c>
      <c r="H8" s="1825" t="b">
        <v>0</v>
      </c>
    </row>
    <row r="9" spans="1:10" ht="15.75" customHeight="1" x14ac:dyDescent="0.2">
      <c r="A9" s="1826" t="s">
        <v>1542</v>
      </c>
      <c r="B9" s="1827"/>
      <c r="C9" s="1828"/>
      <c r="D9" s="1828"/>
      <c r="E9" s="1829"/>
      <c r="F9" s="1830"/>
    </row>
    <row r="10" spans="1:10" ht="27.75" customHeight="1" x14ac:dyDescent="0.2">
      <c r="A10" s="1831" t="s">
        <v>1680</v>
      </c>
      <c r="B10" s="1832"/>
      <c r="C10" s="1833"/>
      <c r="D10" s="1833"/>
      <c r="E10" s="1862" t="s">
        <v>1381</v>
      </c>
      <c r="F10" s="1863" t="s">
        <v>1382</v>
      </c>
    </row>
    <row r="11" spans="1:10" ht="12" customHeight="1" x14ac:dyDescent="0.2">
      <c r="A11" s="1834" t="s">
        <v>1383</v>
      </c>
      <c r="B11" s="1835"/>
      <c r="C11" s="1836"/>
      <c r="D11" s="1836"/>
      <c r="E11" s="1837"/>
      <c r="F11" s="1838"/>
      <c r="H11" s="1849">
        <f>IF(C11="X",5,0)</f>
        <v>0</v>
      </c>
      <c r="I11" s="1849">
        <f>IF(D11="X",5,0)</f>
        <v>0</v>
      </c>
      <c r="J11" s="1849">
        <f>IF(E11="X",5,0)</f>
        <v>0</v>
      </c>
    </row>
    <row r="12" spans="1:10" ht="12" customHeight="1" x14ac:dyDescent="0.2">
      <c r="A12" s="1834" t="s">
        <v>1384</v>
      </c>
      <c r="B12" s="1835"/>
      <c r="C12" s="1836"/>
      <c r="D12" s="1836"/>
      <c r="E12" s="1839"/>
      <c r="F12" s="1838"/>
      <c r="H12" s="1849">
        <f t="shared" ref="H12:H33" si="0">IF(C12="X",5,0)</f>
        <v>0</v>
      </c>
      <c r="I12" s="1849">
        <f t="shared" ref="I12:I33" si="1">IF(D12="X",5,0)</f>
        <v>0</v>
      </c>
      <c r="J12" s="1849">
        <f t="shared" ref="J12:J33" si="2">IF(E12="X",5,0)</f>
        <v>0</v>
      </c>
    </row>
    <row r="13" spans="1:10" ht="12" customHeight="1" x14ac:dyDescent="0.2">
      <c r="A13" s="1834" t="s">
        <v>1385</v>
      </c>
      <c r="B13" s="1835"/>
      <c r="C13" s="1836"/>
      <c r="D13" s="1836"/>
      <c r="E13" s="1839"/>
      <c r="F13" s="1838"/>
      <c r="H13" s="1849">
        <f t="shared" si="0"/>
        <v>0</v>
      </c>
      <c r="I13" s="1849">
        <f t="shared" si="1"/>
        <v>0</v>
      </c>
      <c r="J13" s="1849">
        <f t="shared" si="2"/>
        <v>0</v>
      </c>
    </row>
    <row r="14" spans="1:10" ht="12" customHeight="1" x14ac:dyDescent="0.2">
      <c r="A14" s="1834" t="s">
        <v>1386</v>
      </c>
      <c r="B14" s="1835"/>
      <c r="C14" s="2020" t="s">
        <v>2095</v>
      </c>
      <c r="D14" s="2020" t="s">
        <v>2095</v>
      </c>
      <c r="E14" s="1839"/>
      <c r="F14" s="2021" t="s">
        <v>2150</v>
      </c>
      <c r="H14" s="1849">
        <f t="shared" si="0"/>
        <v>5</v>
      </c>
      <c r="I14" s="1849">
        <f t="shared" si="1"/>
        <v>5</v>
      </c>
      <c r="J14" s="1849">
        <f t="shared" si="2"/>
        <v>0</v>
      </c>
    </row>
    <row r="15" spans="1:10" ht="12" customHeight="1" x14ac:dyDescent="0.2">
      <c r="A15" s="1834" t="s">
        <v>1387</v>
      </c>
      <c r="B15" s="1835"/>
      <c r="C15" s="2020" t="s">
        <v>2095</v>
      </c>
      <c r="D15" s="2020" t="s">
        <v>2095</v>
      </c>
      <c r="E15" s="1839"/>
      <c r="F15" s="2021" t="s">
        <v>2151</v>
      </c>
      <c r="H15" s="1849">
        <f t="shared" si="0"/>
        <v>5</v>
      </c>
      <c r="I15" s="1849">
        <f t="shared" si="1"/>
        <v>5</v>
      </c>
      <c r="J15" s="1849">
        <f t="shared" si="2"/>
        <v>0</v>
      </c>
    </row>
    <row r="16" spans="1:10" ht="12" customHeight="1" x14ac:dyDescent="0.2">
      <c r="A16" s="1834" t="s">
        <v>1388</v>
      </c>
      <c r="B16" s="1835"/>
      <c r="C16" s="2020" t="s">
        <v>2095</v>
      </c>
      <c r="D16" s="2020" t="s">
        <v>2095</v>
      </c>
      <c r="E16" s="1839"/>
      <c r="F16" s="2021" t="s">
        <v>2152</v>
      </c>
      <c r="H16" s="1849">
        <f t="shared" si="0"/>
        <v>5</v>
      </c>
      <c r="I16" s="1849">
        <f t="shared" si="1"/>
        <v>5</v>
      </c>
      <c r="J16" s="1849">
        <f t="shared" si="2"/>
        <v>0</v>
      </c>
    </row>
    <row r="17" spans="1:12" ht="12" customHeight="1" x14ac:dyDescent="0.2">
      <c r="A17" s="1834" t="s">
        <v>1389</v>
      </c>
      <c r="B17" s="1835"/>
      <c r="C17" s="2020"/>
      <c r="D17" s="2020"/>
      <c r="E17" s="1839"/>
      <c r="F17" s="2021"/>
      <c r="H17" s="1849">
        <f t="shared" si="0"/>
        <v>0</v>
      </c>
      <c r="I17" s="1849">
        <f t="shared" si="1"/>
        <v>0</v>
      </c>
      <c r="J17" s="1849">
        <f t="shared" si="2"/>
        <v>0</v>
      </c>
    </row>
    <row r="18" spans="1:12" ht="12" customHeight="1" x14ac:dyDescent="0.2">
      <c r="A18" s="1834" t="s">
        <v>1390</v>
      </c>
      <c r="B18" s="1835"/>
      <c r="C18" s="2020"/>
      <c r="D18" s="2020"/>
      <c r="E18" s="1839"/>
      <c r="F18" s="2021"/>
      <c r="H18" s="1849">
        <f t="shared" si="0"/>
        <v>0</v>
      </c>
      <c r="I18" s="1849">
        <f t="shared" si="1"/>
        <v>0</v>
      </c>
      <c r="J18" s="1849">
        <f t="shared" si="2"/>
        <v>0</v>
      </c>
    </row>
    <row r="19" spans="1:12" ht="12" customHeight="1" x14ac:dyDescent="0.2">
      <c r="A19" s="1834" t="s">
        <v>1527</v>
      </c>
      <c r="B19" s="1835"/>
      <c r="C19" s="2020" t="s">
        <v>2095</v>
      </c>
      <c r="D19" s="2020" t="s">
        <v>2095</v>
      </c>
      <c r="E19" s="1839"/>
      <c r="F19" s="2021" t="s">
        <v>2153</v>
      </c>
      <c r="H19" s="1849">
        <f t="shared" si="0"/>
        <v>5</v>
      </c>
      <c r="I19" s="1849">
        <f t="shared" si="1"/>
        <v>5</v>
      </c>
      <c r="J19" s="1849">
        <f t="shared" si="2"/>
        <v>0</v>
      </c>
    </row>
    <row r="20" spans="1:12" ht="12" customHeight="1" x14ac:dyDescent="0.2">
      <c r="A20" s="1834" t="s">
        <v>1528</v>
      </c>
      <c r="B20" s="1835"/>
      <c r="C20" s="2020" t="s">
        <v>2095</v>
      </c>
      <c r="D20" s="2020" t="s">
        <v>2095</v>
      </c>
      <c r="E20" s="1839"/>
      <c r="F20" s="2021" t="s">
        <v>2154</v>
      </c>
      <c r="H20" s="1849">
        <f t="shared" si="0"/>
        <v>5</v>
      </c>
      <c r="I20" s="1849">
        <f t="shared" si="1"/>
        <v>5</v>
      </c>
      <c r="J20" s="1849">
        <f t="shared" si="2"/>
        <v>0</v>
      </c>
    </row>
    <row r="21" spans="1:12" ht="12" customHeight="1" x14ac:dyDescent="0.2">
      <c r="A21" s="1834" t="s">
        <v>1529</v>
      </c>
      <c r="B21" s="1835"/>
      <c r="C21" s="2020"/>
      <c r="D21" s="2020"/>
      <c r="E21" s="1839"/>
      <c r="F21" s="2021"/>
      <c r="H21" s="1849">
        <f t="shared" si="0"/>
        <v>0</v>
      </c>
      <c r="I21" s="1849">
        <f t="shared" si="1"/>
        <v>0</v>
      </c>
      <c r="J21" s="1849">
        <f t="shared" si="2"/>
        <v>0</v>
      </c>
    </row>
    <row r="22" spans="1:12" ht="12" customHeight="1" x14ac:dyDescent="0.2">
      <c r="A22" s="1834" t="s">
        <v>1530</v>
      </c>
      <c r="B22" s="1835"/>
      <c r="C22" s="2020"/>
      <c r="D22" s="2020"/>
      <c r="E22" s="1839"/>
      <c r="F22" s="2021"/>
      <c r="H22" s="1849">
        <f t="shared" si="0"/>
        <v>0</v>
      </c>
      <c r="I22" s="1849">
        <f t="shared" si="1"/>
        <v>0</v>
      </c>
      <c r="J22" s="1849">
        <f t="shared" si="2"/>
        <v>0</v>
      </c>
    </row>
    <row r="23" spans="1:12" ht="12" customHeight="1" x14ac:dyDescent="0.2">
      <c r="A23" s="1834" t="s">
        <v>1531</v>
      </c>
      <c r="B23" s="1835"/>
      <c r="C23" s="2020"/>
      <c r="D23" s="2020"/>
      <c r="E23" s="1839"/>
      <c r="F23" s="2021"/>
      <c r="H23" s="1849">
        <f t="shared" si="0"/>
        <v>0</v>
      </c>
      <c r="I23" s="1849">
        <f t="shared" si="1"/>
        <v>0</v>
      </c>
      <c r="J23" s="1849">
        <f t="shared" si="2"/>
        <v>0</v>
      </c>
    </row>
    <row r="24" spans="1:12" ht="12" customHeight="1" x14ac:dyDescent="0.2">
      <c r="A24" s="1834" t="s">
        <v>1532</v>
      </c>
      <c r="B24" s="1835"/>
      <c r="C24" s="2020"/>
      <c r="D24" s="2020"/>
      <c r="E24" s="1839"/>
      <c r="F24" s="2021"/>
      <c r="H24" s="1849">
        <f t="shared" si="0"/>
        <v>0</v>
      </c>
      <c r="I24" s="1849">
        <f t="shared" si="1"/>
        <v>0</v>
      </c>
      <c r="J24" s="1849">
        <f t="shared" si="2"/>
        <v>0</v>
      </c>
    </row>
    <row r="25" spans="1:12" ht="12" customHeight="1" x14ac:dyDescent="0.2">
      <c r="A25" s="1834" t="s">
        <v>1533</v>
      </c>
      <c r="B25" s="1835"/>
      <c r="C25" s="2020"/>
      <c r="D25" s="2020"/>
      <c r="E25" s="1839"/>
      <c r="F25" s="2021"/>
      <c r="H25" s="1849">
        <f t="shared" si="0"/>
        <v>0</v>
      </c>
      <c r="I25" s="1849">
        <f t="shared" si="1"/>
        <v>0</v>
      </c>
      <c r="J25" s="1849">
        <f t="shared" si="2"/>
        <v>0</v>
      </c>
    </row>
    <row r="26" spans="1:12" ht="12" customHeight="1" x14ac:dyDescent="0.2">
      <c r="A26" s="1834" t="s">
        <v>1534</v>
      </c>
      <c r="B26" s="1835"/>
      <c r="C26" s="2020"/>
      <c r="D26" s="2020"/>
      <c r="E26" s="1839"/>
      <c r="F26" s="2021"/>
      <c r="H26" s="1849">
        <f t="shared" si="0"/>
        <v>0</v>
      </c>
      <c r="I26" s="1849">
        <f t="shared" si="1"/>
        <v>0</v>
      </c>
      <c r="J26" s="1849">
        <f t="shared" si="2"/>
        <v>0</v>
      </c>
    </row>
    <row r="27" spans="1:12" ht="18.75" x14ac:dyDescent="0.2">
      <c r="A27" s="1834" t="s">
        <v>1535</v>
      </c>
      <c r="B27" s="1835"/>
      <c r="C27" s="2020"/>
      <c r="D27" s="2020"/>
      <c r="E27" s="1839"/>
      <c r="F27" s="2021"/>
      <c r="H27" s="1849">
        <f t="shared" si="0"/>
        <v>0</v>
      </c>
      <c r="I27" s="1849">
        <f t="shared" si="1"/>
        <v>0</v>
      </c>
      <c r="J27" s="1849">
        <f t="shared" si="2"/>
        <v>0</v>
      </c>
    </row>
    <row r="28" spans="1:12" ht="12" customHeight="1" x14ac:dyDescent="0.2">
      <c r="A28" s="1834" t="s">
        <v>1536</v>
      </c>
      <c r="B28" s="1835"/>
      <c r="C28" s="2020" t="s">
        <v>2095</v>
      </c>
      <c r="D28" s="2020" t="s">
        <v>2095</v>
      </c>
      <c r="E28" s="1839"/>
      <c r="F28" s="2022" t="s">
        <v>2155</v>
      </c>
      <c r="H28" s="1849">
        <f t="shared" si="0"/>
        <v>5</v>
      </c>
      <c r="I28" s="1849">
        <f t="shared" si="1"/>
        <v>5</v>
      </c>
      <c r="J28" s="1849">
        <f t="shared" si="2"/>
        <v>0</v>
      </c>
    </row>
    <row r="29" spans="1:12" ht="12" customHeight="1" x14ac:dyDescent="0.2">
      <c r="A29" s="1834" t="s">
        <v>1537</v>
      </c>
      <c r="B29" s="1835"/>
      <c r="C29" s="2020" t="s">
        <v>2095</v>
      </c>
      <c r="D29" s="2020" t="s">
        <v>2095</v>
      </c>
      <c r="E29" s="1839"/>
      <c r="F29" s="2021" t="s">
        <v>2156</v>
      </c>
      <c r="H29" s="1849">
        <f t="shared" si="0"/>
        <v>5</v>
      </c>
      <c r="I29" s="1849">
        <f t="shared" si="1"/>
        <v>5</v>
      </c>
      <c r="J29" s="1849">
        <f t="shared" si="2"/>
        <v>0</v>
      </c>
    </row>
    <row r="30" spans="1:12" ht="12" customHeight="1" x14ac:dyDescent="0.2">
      <c r="A30" s="1834" t="s">
        <v>1538</v>
      </c>
      <c r="B30" s="1835"/>
      <c r="C30" s="1836"/>
      <c r="D30" s="1836"/>
      <c r="E30" s="1839"/>
      <c r="F30" s="1838"/>
      <c r="H30" s="1849">
        <f t="shared" si="0"/>
        <v>0</v>
      </c>
      <c r="I30" s="1849">
        <f t="shared" si="1"/>
        <v>0</v>
      </c>
      <c r="J30" s="1849">
        <f t="shared" si="2"/>
        <v>0</v>
      </c>
    </row>
    <row r="31" spans="1:12" ht="12" customHeight="1" x14ac:dyDescent="0.2">
      <c r="A31" s="1834" t="s">
        <v>1539</v>
      </c>
      <c r="B31" s="1835"/>
      <c r="C31" s="1836"/>
      <c r="D31" s="1836"/>
      <c r="E31" s="1839"/>
      <c r="F31" s="1838"/>
      <c r="H31" s="1849">
        <f t="shared" si="0"/>
        <v>0</v>
      </c>
      <c r="I31" s="1849">
        <f t="shared" si="1"/>
        <v>0</v>
      </c>
      <c r="J31" s="1849">
        <f t="shared" si="2"/>
        <v>0</v>
      </c>
      <c r="L31" s="1840"/>
    </row>
    <row r="32" spans="1:12" ht="12" customHeight="1" x14ac:dyDescent="0.2">
      <c r="A32" s="1834" t="s">
        <v>1540</v>
      </c>
      <c r="B32" s="1835"/>
      <c r="C32" s="1836"/>
      <c r="D32" s="1836"/>
      <c r="E32" s="1839"/>
      <c r="F32" s="1838"/>
      <c r="H32" s="1849">
        <f t="shared" si="0"/>
        <v>0</v>
      </c>
      <c r="I32" s="1849">
        <f t="shared" si="1"/>
        <v>0</v>
      </c>
      <c r="J32" s="1849">
        <f t="shared" si="2"/>
        <v>0</v>
      </c>
    </row>
    <row r="33" spans="1:11" ht="12" customHeight="1" x14ac:dyDescent="0.2">
      <c r="A33" s="1834" t="s">
        <v>1541</v>
      </c>
      <c r="B33" s="1835"/>
      <c r="C33" s="1836"/>
      <c r="D33" s="1836"/>
      <c r="E33" s="1839"/>
      <c r="F33" s="1838"/>
      <c r="H33" s="1849">
        <f t="shared" si="0"/>
        <v>0</v>
      </c>
      <c r="I33" s="1849">
        <f t="shared" si="1"/>
        <v>0</v>
      </c>
      <c r="J33" s="1849">
        <f t="shared" si="2"/>
        <v>0</v>
      </c>
    </row>
    <row r="34" spans="1:11" ht="12" customHeight="1" x14ac:dyDescent="0.25">
      <c r="A34" s="1841"/>
      <c r="B34" s="1841"/>
      <c r="C34" s="1841"/>
      <c r="D34" s="1841"/>
      <c r="E34" s="1841"/>
      <c r="F34" s="1841"/>
      <c r="H34" s="1849">
        <f>SUM(H11:H32)</f>
        <v>35</v>
      </c>
      <c r="I34" s="1849">
        <f>SUM(I11:I32)</f>
        <v>35</v>
      </c>
      <c r="J34" s="1849">
        <f>SUM(J11:J32)</f>
        <v>0</v>
      </c>
      <c r="K34" s="1849">
        <f>SUM(H34:J34)</f>
        <v>70</v>
      </c>
    </row>
    <row r="35" spans="1:11" ht="12" customHeight="1" x14ac:dyDescent="0.2">
      <c r="A35" s="1842" t="s">
        <v>1392</v>
      </c>
      <c r="B35" s="1843"/>
      <c r="C35" s="2397"/>
      <c r="D35" s="2397"/>
      <c r="E35" s="2397"/>
      <c r="F35" s="2398"/>
    </row>
    <row r="36" spans="1:11" ht="12" customHeight="1" x14ac:dyDescent="0.2">
      <c r="A36" s="2380"/>
      <c r="B36" s="2381"/>
      <c r="C36" s="2381"/>
      <c r="D36" s="2381"/>
      <c r="E36" s="2381"/>
      <c r="F36" s="2382"/>
    </row>
    <row r="37" spans="1:11" ht="12" customHeight="1" x14ac:dyDescent="0.2">
      <c r="A37" s="2380"/>
      <c r="B37" s="2381"/>
      <c r="C37" s="2381"/>
      <c r="D37" s="2381"/>
      <c r="E37" s="2381"/>
      <c r="F37" s="2382"/>
    </row>
    <row r="38" spans="1:11" ht="12" customHeight="1" x14ac:dyDescent="0.2">
      <c r="A38" s="2383"/>
      <c r="B38" s="2384"/>
      <c r="C38" s="2384"/>
      <c r="D38" s="2384"/>
      <c r="E38" s="2384"/>
      <c r="F38" s="2385"/>
    </row>
    <row r="39" spans="1:11" ht="4.5" hidden="1" customHeight="1" x14ac:dyDescent="0.2">
      <c r="A39" s="1844"/>
      <c r="B39" s="1844"/>
      <c r="C39" s="1844"/>
      <c r="D39" s="1844"/>
      <c r="E39" s="1844"/>
      <c r="F39" s="1844"/>
    </row>
    <row r="40" spans="1:11" s="1841" customFormat="1" ht="12" customHeight="1" x14ac:dyDescent="0.25">
      <c r="A40" s="1845" t="s">
        <v>1391</v>
      </c>
      <c r="B40" s="1846"/>
      <c r="C40" s="2386"/>
      <c r="D40" s="2386"/>
      <c r="E40" s="2386"/>
      <c r="F40" s="2387"/>
      <c r="H40" s="1850"/>
      <c r="I40" s="1850"/>
      <c r="J40" s="1850"/>
      <c r="K40" s="1850"/>
    </row>
    <row r="41" spans="1:11" s="1841" customFormat="1" ht="12" customHeight="1" x14ac:dyDescent="0.25">
      <c r="A41" s="2388"/>
      <c r="B41" s="2389"/>
      <c r="C41" s="2389"/>
      <c r="D41" s="2389"/>
      <c r="E41" s="2389"/>
      <c r="F41" s="2390"/>
      <c r="H41" s="1850"/>
      <c r="I41" s="1850"/>
      <c r="J41" s="1850"/>
      <c r="K41" s="1850"/>
    </row>
    <row r="42" spans="1:11" s="1841" customFormat="1" ht="12" customHeight="1" x14ac:dyDescent="0.25">
      <c r="A42" s="2388"/>
      <c r="B42" s="2389"/>
      <c r="C42" s="2389"/>
      <c r="D42" s="2389"/>
      <c r="E42" s="2389"/>
      <c r="F42" s="2390"/>
      <c r="H42" s="1850"/>
      <c r="I42" s="1850"/>
      <c r="J42" s="1850"/>
      <c r="K42" s="1850"/>
    </row>
    <row r="43" spans="1:11" s="1841" customFormat="1" ht="15" x14ac:dyDescent="0.25">
      <c r="A43" s="2377"/>
      <c r="B43" s="2378"/>
      <c r="C43" s="2378"/>
      <c r="D43" s="2378"/>
      <c r="E43" s="2378"/>
      <c r="F43" s="2379"/>
      <c r="H43" s="1850"/>
      <c r="I43" s="1850"/>
      <c r="J43" s="1850"/>
      <c r="K43" s="1850"/>
    </row>
    <row r="44" spans="1:11" s="1841" customFormat="1" ht="12" hidden="1" customHeight="1" x14ac:dyDescent="0.25">
      <c r="A44" s="2377"/>
      <c r="B44" s="2378"/>
      <c r="C44" s="2378"/>
      <c r="D44" s="2378"/>
      <c r="E44" s="2378"/>
      <c r="F44" s="2379"/>
      <c r="H44" s="1850"/>
      <c r="I44" s="1850"/>
      <c r="J44" s="1850"/>
      <c r="K44" s="1850"/>
    </row>
    <row r="45" spans="1:11" s="1841" customFormat="1" ht="12" customHeight="1" x14ac:dyDescent="0.25">
      <c r="H45" s="1850"/>
      <c r="I45" s="1850"/>
      <c r="J45" s="1850"/>
      <c r="K45" s="1850"/>
    </row>
    <row r="46" spans="1:11" s="1841" customFormat="1" ht="9.75" customHeight="1" x14ac:dyDescent="0.25">
      <c r="H46" s="1850"/>
      <c r="I46" s="1850"/>
      <c r="J46" s="1850"/>
      <c r="K46" s="1850"/>
    </row>
    <row r="47" spans="1:11" s="1841" customFormat="1" ht="13.5" customHeight="1" x14ac:dyDescent="0.25">
      <c r="H47" s="1850"/>
      <c r="I47" s="1850"/>
      <c r="J47" s="1850"/>
      <c r="K47" s="1850"/>
    </row>
    <row r="48" spans="1:11" s="1841" customFormat="1" ht="15" x14ac:dyDescent="0.25">
      <c r="H48" s="1850"/>
      <c r="I48" s="1850"/>
      <c r="J48" s="1850"/>
      <c r="K48" s="1850"/>
    </row>
    <row r="49" spans="1:11" s="1841" customFormat="1" ht="15" hidden="1" x14ac:dyDescent="0.25">
      <c r="A49" s="1841" t="b">
        <v>0</v>
      </c>
      <c r="H49" s="1850"/>
      <c r="I49" s="1850"/>
      <c r="J49" s="1850"/>
      <c r="K49" s="1850"/>
    </row>
    <row r="50" spans="1:11" s="1841" customFormat="1" ht="15" x14ac:dyDescent="0.25">
      <c r="H50" s="1850"/>
      <c r="I50" s="1850"/>
      <c r="J50" s="1850"/>
      <c r="K50" s="1850"/>
    </row>
    <row r="51" spans="1:11" s="1841" customFormat="1" ht="15" x14ac:dyDescent="0.25">
      <c r="H51" s="1850"/>
      <c r="I51" s="1850"/>
      <c r="J51" s="1850"/>
      <c r="K51" s="1850"/>
    </row>
    <row r="52" spans="1:11" s="1841" customFormat="1" ht="15" x14ac:dyDescent="0.25">
      <c r="H52" s="1850"/>
      <c r="I52" s="1850"/>
      <c r="J52" s="1850"/>
      <c r="K52" s="1850"/>
    </row>
    <row r="53" spans="1:11" s="1841" customFormat="1" ht="15" x14ac:dyDescent="0.25">
      <c r="H53" s="1850"/>
      <c r="I53" s="1850"/>
      <c r="J53" s="1850"/>
      <c r="K53" s="1850"/>
    </row>
    <row r="54" spans="1:11" s="1841" customFormat="1" ht="15" x14ac:dyDescent="0.25">
      <c r="H54" s="1850"/>
      <c r="I54" s="1850"/>
      <c r="J54" s="1850"/>
      <c r="K54" s="1850"/>
    </row>
    <row r="55" spans="1:11" s="1841" customFormat="1" ht="15" x14ac:dyDescent="0.25">
      <c r="H55" s="1850"/>
      <c r="I55" s="1850"/>
      <c r="J55" s="1850"/>
      <c r="K55" s="1850"/>
    </row>
    <row r="56" spans="1:11" s="1841" customFormat="1" ht="15" x14ac:dyDescent="0.25">
      <c r="H56" s="1850"/>
      <c r="I56" s="1850"/>
      <c r="J56" s="1850"/>
      <c r="K56" s="1850"/>
    </row>
    <row r="57" spans="1:11" s="1841" customFormat="1" ht="15" x14ac:dyDescent="0.25">
      <c r="H57" s="1850"/>
      <c r="I57" s="1850"/>
      <c r="J57" s="1850"/>
      <c r="K57" s="1850"/>
    </row>
    <row r="58" spans="1:11" s="1841" customFormat="1" ht="15" x14ac:dyDescent="0.25">
      <c r="H58" s="1850"/>
      <c r="I58" s="1850"/>
      <c r="J58" s="1850"/>
      <c r="K58" s="1850"/>
    </row>
    <row r="59" spans="1:11" s="1841" customFormat="1" ht="15" x14ac:dyDescent="0.25">
      <c r="H59" s="1850"/>
      <c r="I59" s="1850"/>
      <c r="J59" s="1850"/>
      <c r="K59" s="1850"/>
    </row>
    <row r="60" spans="1:11" s="1841" customFormat="1" ht="15" x14ac:dyDescent="0.25">
      <c r="H60" s="1850"/>
      <c r="I60" s="1850"/>
      <c r="J60" s="1850"/>
      <c r="K60" s="1850"/>
    </row>
    <row r="61" spans="1:11" s="1841" customFormat="1" ht="15" x14ac:dyDescent="0.25">
      <c r="H61" s="1850"/>
      <c r="I61" s="1850"/>
      <c r="J61" s="1850"/>
      <c r="K61" s="1850"/>
    </row>
    <row r="62" spans="1:11" s="1841" customFormat="1" ht="15" x14ac:dyDescent="0.25">
      <c r="H62" s="1850"/>
      <c r="I62" s="1850"/>
      <c r="J62" s="1850"/>
      <c r="K62" s="1850"/>
    </row>
    <row r="63" spans="1:11" s="1841" customFormat="1" ht="15" x14ac:dyDescent="0.25">
      <c r="H63" s="1850"/>
      <c r="I63" s="1850"/>
      <c r="J63" s="1850"/>
      <c r="K63" s="1850"/>
    </row>
    <row r="64" spans="1:11" s="1841" customFormat="1" ht="15" x14ac:dyDescent="0.25">
      <c r="H64" s="1850"/>
      <c r="I64" s="1850"/>
      <c r="J64" s="1850"/>
      <c r="K64" s="1850"/>
    </row>
    <row r="65" spans="8:11" s="1841" customFormat="1" ht="15" x14ac:dyDescent="0.25">
      <c r="H65" s="1850"/>
      <c r="I65" s="1850"/>
      <c r="J65" s="1850"/>
      <c r="K65" s="1850"/>
    </row>
    <row r="66" spans="8:11" s="1841" customFormat="1" ht="15" x14ac:dyDescent="0.25">
      <c r="H66" s="1850"/>
      <c r="I66" s="1850"/>
      <c r="J66" s="1850"/>
      <c r="K66" s="1850"/>
    </row>
    <row r="67" spans="8:11" s="1841" customFormat="1" ht="15" x14ac:dyDescent="0.25">
      <c r="H67" s="1850"/>
      <c r="I67" s="1850"/>
      <c r="J67" s="1850"/>
      <c r="K67" s="1850"/>
    </row>
    <row r="68" spans="8:11" s="1841" customFormat="1" ht="15" x14ac:dyDescent="0.25">
      <c r="H68" s="1850"/>
      <c r="I68" s="1850"/>
      <c r="J68" s="1850"/>
      <c r="K68" s="1850"/>
    </row>
    <row r="69" spans="8:11" s="1841" customFormat="1" ht="15" x14ac:dyDescent="0.25">
      <c r="H69" s="1850"/>
      <c r="I69" s="1850"/>
      <c r="J69" s="1850"/>
      <c r="K69" s="1850"/>
    </row>
    <row r="70" spans="8:11" s="1841" customFormat="1" ht="15" x14ac:dyDescent="0.25">
      <c r="H70" s="1850"/>
      <c r="I70" s="1850"/>
      <c r="J70" s="1850"/>
      <c r="K70" s="1850"/>
    </row>
    <row r="71" spans="8:11" s="1841" customFormat="1" ht="15" x14ac:dyDescent="0.25">
      <c r="H71" s="1850"/>
      <c r="I71" s="1850"/>
      <c r="J71" s="1850"/>
      <c r="K71" s="1850"/>
    </row>
    <row r="72" spans="8:11" s="1841" customFormat="1" ht="15" x14ac:dyDescent="0.25">
      <c r="H72" s="1850"/>
      <c r="I72" s="1850"/>
      <c r="J72" s="1850"/>
      <c r="K72" s="1850"/>
    </row>
    <row r="73" spans="8:11" s="1841" customFormat="1" ht="15" x14ac:dyDescent="0.25">
      <c r="H73" s="1850"/>
      <c r="I73" s="1850"/>
      <c r="J73" s="1850"/>
      <c r="K73" s="1850"/>
    </row>
    <row r="74" spans="8:11" s="1841" customFormat="1" ht="15" x14ac:dyDescent="0.25">
      <c r="H74" s="1850"/>
      <c r="I74" s="1850"/>
      <c r="J74" s="1850"/>
      <c r="K74" s="1850"/>
    </row>
    <row r="75" spans="8:11" s="1841" customFormat="1" ht="15" x14ac:dyDescent="0.25">
      <c r="H75" s="1850"/>
      <c r="I75" s="1850"/>
      <c r="J75" s="1850"/>
      <c r="K75" s="1850"/>
    </row>
    <row r="76" spans="8:11" s="1841" customFormat="1" ht="15" x14ac:dyDescent="0.25">
      <c r="H76" s="1850"/>
      <c r="I76" s="1850"/>
      <c r="J76" s="1850"/>
      <c r="K76" s="1850"/>
    </row>
    <row r="77" spans="8:11" s="1841" customFormat="1" ht="15" x14ac:dyDescent="0.25">
      <c r="H77" s="1850"/>
      <c r="I77" s="1850"/>
      <c r="J77" s="1850"/>
      <c r="K77" s="1850"/>
    </row>
    <row r="78" spans="8:11" s="1841" customFormat="1" ht="15" x14ac:dyDescent="0.25">
      <c r="H78" s="1850"/>
      <c r="I78" s="1850"/>
      <c r="J78" s="1850"/>
      <c r="K78" s="1850"/>
    </row>
    <row r="79" spans="8:11" s="1841" customFormat="1" ht="15" x14ac:dyDescent="0.25">
      <c r="H79" s="1850"/>
      <c r="I79" s="1850"/>
      <c r="J79" s="1850"/>
      <c r="K79" s="1850"/>
    </row>
    <row r="80" spans="8:11" s="1841" customFormat="1" ht="15" x14ac:dyDescent="0.25">
      <c r="H80" s="1850"/>
      <c r="I80" s="1850"/>
      <c r="J80" s="1850"/>
      <c r="K80" s="1850"/>
    </row>
    <row r="81" spans="8:11" s="1841" customFormat="1" ht="15" x14ac:dyDescent="0.25">
      <c r="H81" s="1850"/>
      <c r="I81" s="1850"/>
      <c r="J81" s="1850"/>
      <c r="K81" s="1850"/>
    </row>
    <row r="82" spans="8:11" s="1841" customFormat="1" ht="15" x14ac:dyDescent="0.25">
      <c r="H82" s="1850"/>
      <c r="I82" s="1850"/>
      <c r="J82" s="1850"/>
      <c r="K82" s="1850"/>
    </row>
    <row r="83" spans="8:11" s="1841" customFormat="1" ht="15" x14ac:dyDescent="0.25">
      <c r="H83" s="1850"/>
      <c r="I83" s="1850"/>
      <c r="J83" s="1850"/>
      <c r="K83" s="1850"/>
    </row>
    <row r="84" spans="8:11" s="1841" customFormat="1" ht="15" x14ac:dyDescent="0.25">
      <c r="H84" s="1850"/>
      <c r="I84" s="1850"/>
      <c r="J84" s="1850"/>
      <c r="K84" s="1850"/>
    </row>
    <row r="85" spans="8:11" s="1841" customFormat="1" ht="15" x14ac:dyDescent="0.25">
      <c r="H85" s="1850"/>
      <c r="I85" s="1850"/>
      <c r="J85" s="1850"/>
      <c r="K85" s="1850"/>
    </row>
    <row r="86" spans="8:11" s="1841" customFormat="1" ht="15" x14ac:dyDescent="0.25">
      <c r="H86" s="1850"/>
      <c r="I86" s="1850"/>
      <c r="J86" s="1850"/>
      <c r="K86" s="1850"/>
    </row>
    <row r="87" spans="8:11" s="1841" customFormat="1" ht="15" x14ac:dyDescent="0.25">
      <c r="H87" s="1850"/>
      <c r="I87" s="1850"/>
      <c r="J87" s="1850"/>
      <c r="K87" s="1850"/>
    </row>
    <row r="88" spans="8:11" s="1841" customFormat="1" ht="15" x14ac:dyDescent="0.25">
      <c r="H88" s="1850"/>
      <c r="I88" s="1850"/>
      <c r="J88" s="1850"/>
      <c r="K88" s="1850"/>
    </row>
    <row r="89" spans="8:11" s="1841" customFormat="1" ht="15" x14ac:dyDescent="0.25">
      <c r="H89" s="1850"/>
      <c r="I89" s="1850"/>
      <c r="J89" s="1850"/>
      <c r="K89" s="1850"/>
    </row>
    <row r="90" spans="8:11" s="1841" customFormat="1" ht="15" x14ac:dyDescent="0.25">
      <c r="H90" s="1850"/>
      <c r="I90" s="1850"/>
      <c r="J90" s="1850"/>
      <c r="K90" s="1850"/>
    </row>
    <row r="91" spans="8:11" s="1841" customFormat="1" ht="15" x14ac:dyDescent="0.25">
      <c r="H91" s="1850"/>
      <c r="I91" s="1850"/>
      <c r="J91" s="1850"/>
      <c r="K91" s="1850"/>
    </row>
    <row r="92" spans="8:11" s="1841" customFormat="1" ht="15" x14ac:dyDescent="0.25">
      <c r="H92" s="1850"/>
      <c r="I92" s="1850"/>
      <c r="J92" s="1850"/>
      <c r="K92" s="1850"/>
    </row>
    <row r="93" spans="8:11" s="1841" customFormat="1" ht="15" x14ac:dyDescent="0.25">
      <c r="H93" s="1850"/>
      <c r="I93" s="1850"/>
      <c r="J93" s="1850"/>
      <c r="K93" s="1850"/>
    </row>
    <row r="94" spans="8:11" s="1841" customFormat="1" ht="15" x14ac:dyDescent="0.25">
      <c r="H94" s="1850"/>
      <c r="I94" s="1850"/>
      <c r="J94" s="1850"/>
      <c r="K94" s="1850"/>
    </row>
    <row r="95" spans="8:11" s="1841" customFormat="1" ht="15" x14ac:dyDescent="0.25">
      <c r="H95" s="1850"/>
      <c r="I95" s="1850"/>
      <c r="J95" s="1850"/>
      <c r="K95" s="1850"/>
    </row>
    <row r="96" spans="8:11" s="1841" customFormat="1" ht="15" x14ac:dyDescent="0.25">
      <c r="H96" s="1850"/>
      <c r="I96" s="1850"/>
      <c r="J96" s="1850"/>
      <c r="K96" s="1850"/>
    </row>
    <row r="97" spans="8:11" s="1841" customFormat="1" ht="15" x14ac:dyDescent="0.25">
      <c r="H97" s="1850"/>
      <c r="I97" s="1850"/>
      <c r="J97" s="1850"/>
      <c r="K97" s="185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39997558519241921"/>
  </sheetPr>
  <dimension ref="A1:Q40"/>
  <sheetViews>
    <sheetView showGridLines="0" defaultGridColor="0" view="pageBreakPreview" colorId="8" zoomScale="60" zoomScaleNormal="110" workbookViewId="0">
      <selection activeCell="AF22" sqref="AF22"/>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5" t="s">
        <v>672</v>
      </c>
      <c r="B6" s="1613"/>
      <c r="C6" s="1613"/>
      <c r="D6" s="1613"/>
      <c r="E6" s="1614"/>
      <c r="F6" s="988"/>
      <c r="G6" s="982"/>
      <c r="H6" s="989" t="s">
        <v>1028</v>
      </c>
      <c r="I6" s="2404" t="str">
        <f>COVER!A17</f>
        <v>NW Suburban Spec Educ Org</v>
      </c>
      <c r="J6" s="2405"/>
      <c r="Q6" s="1635"/>
    </row>
    <row r="7" spans="1:17" x14ac:dyDescent="0.2">
      <c r="A7" s="2406" t="s">
        <v>869</v>
      </c>
      <c r="B7" s="2407"/>
      <c r="C7" s="2407"/>
      <c r="D7" s="2407"/>
      <c r="E7" s="2408"/>
      <c r="F7" s="990"/>
      <c r="G7" s="982"/>
      <c r="H7" s="989" t="s">
        <v>372</v>
      </c>
      <c r="I7" s="2409">
        <f>COVER!A13</f>
        <v>5016805060</v>
      </c>
      <c r="J7" s="2409"/>
    </row>
    <row r="8" spans="1:17" ht="8.25" customHeight="1" x14ac:dyDescent="0.2">
      <c r="A8" s="1615"/>
      <c r="B8" s="1616"/>
      <c r="C8" s="1616"/>
      <c r="D8" s="1616"/>
      <c r="E8" s="1617"/>
      <c r="F8" s="991"/>
      <c r="G8" s="992"/>
      <c r="H8" s="992"/>
      <c r="I8" s="992"/>
      <c r="J8" s="992"/>
    </row>
    <row r="9" spans="1:17" ht="13.5" customHeight="1" x14ac:dyDescent="0.2">
      <c r="A9" s="993"/>
      <c r="B9" s="994"/>
      <c r="C9" s="994"/>
      <c r="D9" s="995"/>
      <c r="E9" s="1866" t="s">
        <v>1976</v>
      </c>
      <c r="F9" s="996"/>
      <c r="G9" s="996"/>
      <c r="H9" s="1867"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410" t="s">
        <v>481</v>
      </c>
      <c r="B11" s="2411"/>
      <c r="C11" s="2412"/>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2">
        <f>'Expenditures 15-22'!K50</f>
        <v>2678656</v>
      </c>
      <c r="F12" s="1012"/>
      <c r="G12" s="1782">
        <f t="shared" ref="G12:G18" si="0">SUM(E12:F12)</f>
        <v>2678656</v>
      </c>
      <c r="H12" s="1013"/>
      <c r="I12" s="1012"/>
      <c r="J12" s="1782">
        <f t="shared" ref="J12:J18" si="1">SUM(H12:I12)</f>
        <v>0</v>
      </c>
    </row>
    <row r="13" spans="1:17" ht="15" customHeight="1" x14ac:dyDescent="0.2">
      <c r="A13" s="1008">
        <v>2</v>
      </c>
      <c r="B13" s="1009" t="s">
        <v>42</v>
      </c>
      <c r="C13" s="1010"/>
      <c r="D13" s="1011">
        <v>2330</v>
      </c>
      <c r="E13" s="1782">
        <f>'Expenditures 15-22'!K51</f>
        <v>0</v>
      </c>
      <c r="F13" s="1012"/>
      <c r="G13" s="1782">
        <f t="shared" si="0"/>
        <v>0</v>
      </c>
      <c r="H13" s="1013"/>
      <c r="I13" s="1012"/>
      <c r="J13" s="1782">
        <f t="shared" si="1"/>
        <v>0</v>
      </c>
    </row>
    <row r="14" spans="1:17" ht="15" customHeight="1" x14ac:dyDescent="0.2">
      <c r="A14" s="1008">
        <v>3</v>
      </c>
      <c r="B14" s="1009" t="s">
        <v>43</v>
      </c>
      <c r="C14" s="1010"/>
      <c r="D14" s="1014">
        <v>2490</v>
      </c>
      <c r="E14" s="1782">
        <f>'Expenditures 15-22'!K56</f>
        <v>0</v>
      </c>
      <c r="F14" s="1012"/>
      <c r="G14" s="1782">
        <f t="shared" si="0"/>
        <v>0</v>
      </c>
      <c r="H14" s="1013"/>
      <c r="I14" s="1012"/>
      <c r="J14" s="1782">
        <f t="shared" si="1"/>
        <v>0</v>
      </c>
    </row>
    <row r="15" spans="1:17" ht="15" customHeight="1" x14ac:dyDescent="0.2">
      <c r="A15" s="1008">
        <v>4</v>
      </c>
      <c r="B15" s="1009" t="s">
        <v>1068</v>
      </c>
      <c r="C15" s="1010"/>
      <c r="D15" s="1011">
        <v>2510</v>
      </c>
      <c r="E15" s="1782">
        <f>'Expenditures 15-22'!K59</f>
        <v>0</v>
      </c>
      <c r="F15" s="1782">
        <f>'Expenditures 15-22'!K122</f>
        <v>0</v>
      </c>
      <c r="G15" s="1782">
        <f t="shared" si="0"/>
        <v>0</v>
      </c>
      <c r="H15" s="1013"/>
      <c r="I15" s="1013"/>
      <c r="J15" s="1782">
        <f t="shared" si="1"/>
        <v>0</v>
      </c>
    </row>
    <row r="16" spans="1:17" ht="15" customHeight="1" x14ac:dyDescent="0.2">
      <c r="A16" s="1008">
        <v>5</v>
      </c>
      <c r="B16" s="1009" t="s">
        <v>101</v>
      </c>
      <c r="C16" s="1010"/>
      <c r="D16" s="1011">
        <v>2570</v>
      </c>
      <c r="E16" s="1782">
        <f>'Expenditures 15-22'!K64</f>
        <v>0</v>
      </c>
      <c r="F16" s="1012"/>
      <c r="G16" s="1782">
        <f t="shared" si="0"/>
        <v>0</v>
      </c>
      <c r="H16" s="1013"/>
      <c r="I16" s="1012"/>
      <c r="J16" s="1782">
        <f t="shared" si="1"/>
        <v>0</v>
      </c>
    </row>
    <row r="17" spans="1:10" ht="15" customHeight="1" x14ac:dyDescent="0.2">
      <c r="A17" s="1008">
        <v>6</v>
      </c>
      <c r="B17" s="1009" t="s">
        <v>1060</v>
      </c>
      <c r="C17" s="1010"/>
      <c r="D17" s="1011">
        <v>2610</v>
      </c>
      <c r="E17" s="1782">
        <f>'Expenditures 15-22'!K67</f>
        <v>0</v>
      </c>
      <c r="F17" s="1012"/>
      <c r="G17" s="1782">
        <f t="shared" si="0"/>
        <v>0</v>
      </c>
      <c r="H17" s="1013"/>
      <c r="I17" s="1012"/>
      <c r="J17" s="1782">
        <f t="shared" si="1"/>
        <v>0</v>
      </c>
    </row>
    <row r="18" spans="1:10" ht="22.5" customHeight="1" x14ac:dyDescent="0.2">
      <c r="A18" s="1015">
        <v>7</v>
      </c>
      <c r="B18" s="2413" t="s">
        <v>7</v>
      </c>
      <c r="C18" s="2414"/>
      <c r="D18" s="2415"/>
      <c r="E18" s="1016"/>
      <c r="F18" s="1016"/>
      <c r="G18" s="1783">
        <f t="shared" si="0"/>
        <v>0</v>
      </c>
      <c r="H18" s="1013"/>
      <c r="I18" s="1013"/>
      <c r="J18" s="1782">
        <f t="shared" si="1"/>
        <v>0</v>
      </c>
    </row>
    <row r="19" spans="1:10" ht="12.75" customHeight="1" thickBot="1" x14ac:dyDescent="0.25">
      <c r="A19" s="1008">
        <v>8</v>
      </c>
      <c r="B19" s="1017" t="s">
        <v>1161</v>
      </c>
      <c r="D19" s="1018"/>
      <c r="E19" s="1784">
        <f t="shared" ref="E19:J19" si="2">SUM(E12:E17)-E18</f>
        <v>2678656</v>
      </c>
      <c r="F19" s="1784">
        <f t="shared" si="2"/>
        <v>0</v>
      </c>
      <c r="G19" s="1784">
        <f t="shared" si="2"/>
        <v>2678656</v>
      </c>
      <c r="H19" s="1784">
        <f t="shared" si="2"/>
        <v>0</v>
      </c>
      <c r="I19" s="1784">
        <f t="shared" si="2"/>
        <v>0</v>
      </c>
      <c r="J19" s="1784">
        <f t="shared" si="2"/>
        <v>0</v>
      </c>
    </row>
    <row r="20" spans="1:10" ht="13.5" thickTop="1" x14ac:dyDescent="0.2">
      <c r="A20" s="1008">
        <v>9</v>
      </c>
      <c r="B20" s="2416" t="s">
        <v>1978</v>
      </c>
      <c r="C20" s="2416"/>
      <c r="D20" s="2417"/>
      <c r="E20" s="1019"/>
      <c r="F20" s="1019"/>
      <c r="G20" s="1019"/>
      <c r="H20" s="1019"/>
      <c r="I20" s="1019"/>
      <c r="J20" s="1785" t="str">
        <f>IF(AND(G19&gt;0,J19&gt;0),(((J19-G19)/G19)),"Enter Budget Data")</f>
        <v>Enter Budget Data</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22"/>
      <c r="D26" s="2422"/>
      <c r="E26" s="1023"/>
      <c r="F26" s="2421"/>
      <c r="G26" s="2421"/>
    </row>
    <row r="27" spans="1:10" x14ac:dyDescent="0.2">
      <c r="B27" s="1020"/>
      <c r="C27" s="1024" t="s">
        <v>1033</v>
      </c>
      <c r="D27" s="1025"/>
      <c r="E27" s="1026"/>
      <c r="F27" s="2418" t="s">
        <v>1509</v>
      </c>
      <c r="G27" s="2418"/>
    </row>
    <row r="28" spans="1:10" ht="28.5" customHeight="1" x14ac:dyDescent="0.2">
      <c r="B28" s="1020"/>
      <c r="C28" s="2420"/>
      <c r="D28" s="2420"/>
      <c r="E28" s="1027"/>
      <c r="F28" s="2420"/>
      <c r="G28" s="2420"/>
    </row>
    <row r="29" spans="1:10" x14ac:dyDescent="0.2">
      <c r="B29" s="1020"/>
      <c r="C29" s="1028" t="s">
        <v>1561</v>
      </c>
      <c r="E29" s="1029"/>
      <c r="F29" s="2419" t="s">
        <v>1510</v>
      </c>
      <c r="G29" s="2419"/>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401" t="s">
        <v>132</v>
      </c>
      <c r="D33" s="2402"/>
      <c r="E33" s="2402"/>
      <c r="F33" s="2402"/>
      <c r="G33" s="2402"/>
      <c r="H33" s="2402"/>
      <c r="I33" s="2402"/>
    </row>
    <row r="34" spans="1:10" ht="10.35" customHeight="1" x14ac:dyDescent="0.2">
      <c r="C34" s="2402"/>
      <c r="D34" s="2402"/>
      <c r="E34" s="2402"/>
      <c r="F34" s="2402"/>
      <c r="G34" s="2402"/>
      <c r="H34" s="2402"/>
      <c r="I34" s="2402"/>
    </row>
    <row r="35" spans="1:10" ht="7.5" customHeight="1" x14ac:dyDescent="0.2">
      <c r="C35" s="1035"/>
    </row>
    <row r="36" spans="1:10" ht="13.5" customHeight="1" x14ac:dyDescent="0.2">
      <c r="B36" s="1034"/>
      <c r="C36" s="2403" t="s">
        <v>1980</v>
      </c>
      <c r="D36" s="2402"/>
      <c r="E36" s="2402"/>
      <c r="F36" s="2402"/>
      <c r="G36" s="2402"/>
      <c r="H36" s="2402"/>
      <c r="I36" s="2402"/>
      <c r="J36" s="1036"/>
    </row>
    <row r="37" spans="1:10" ht="22.5" customHeight="1" x14ac:dyDescent="0.2">
      <c r="C37" s="2402"/>
      <c r="D37" s="2402"/>
      <c r="E37" s="2402"/>
      <c r="F37" s="2402"/>
      <c r="G37" s="2402"/>
      <c r="H37" s="2402"/>
      <c r="I37" s="2402"/>
      <c r="J37" s="1036"/>
    </row>
    <row r="38" spans="1:10" ht="7.5" customHeight="1" x14ac:dyDescent="0.2">
      <c r="C38" s="1035"/>
      <c r="D38" s="1037"/>
      <c r="E38" s="1038"/>
      <c r="F38" s="1039"/>
      <c r="G38" s="1038"/>
    </row>
    <row r="39" spans="1:10" ht="13.5" customHeight="1" x14ac:dyDescent="0.2">
      <c r="B39" s="1034"/>
      <c r="C39" s="2399" t="s">
        <v>882</v>
      </c>
      <c r="D39" s="2400"/>
      <c r="E39" s="2400"/>
      <c r="F39" s="2400"/>
      <c r="G39" s="2400"/>
      <c r="H39" s="2400"/>
      <c r="I39" s="2400"/>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39997558519241921"/>
    <pageSetUpPr fitToPage="1"/>
  </sheetPr>
  <dimension ref="A2:G65"/>
  <sheetViews>
    <sheetView showGridLines="0" view="pageBreakPreview" zoomScale="60" zoomScaleNormal="110" workbookViewId="0">
      <selection activeCell="B5" sqref="B5"/>
    </sheetView>
  </sheetViews>
  <sheetFormatPr defaultRowHeight="12.75" x14ac:dyDescent="0.2"/>
  <cols>
    <col min="1" max="1" width="3" style="329" customWidth="1"/>
    <col min="2" max="2" width="56.42578125" style="329" customWidth="1"/>
    <col min="3" max="3" width="19.7109375" style="329" customWidth="1"/>
    <col min="4" max="16384" width="9.140625" style="329"/>
  </cols>
  <sheetData>
    <row r="2" spans="1:7" x14ac:dyDescent="0.2">
      <c r="A2" s="389" t="s">
        <v>258</v>
      </c>
    </row>
    <row r="3" spans="1:7" x14ac:dyDescent="0.2">
      <c r="A3" s="329" t="s">
        <v>259</v>
      </c>
    </row>
    <row r="5" spans="1:7" x14ac:dyDescent="0.2">
      <c r="A5" s="1041">
        <v>1</v>
      </c>
      <c r="B5" s="2023" t="s">
        <v>2178</v>
      </c>
      <c r="C5" s="2023" t="s">
        <v>2160</v>
      </c>
      <c r="D5" s="643"/>
      <c r="E5" s="643"/>
      <c r="F5" s="643"/>
      <c r="G5" s="643"/>
    </row>
    <row r="6" spans="1:7" x14ac:dyDescent="0.2">
      <c r="A6" s="1041">
        <v>2</v>
      </c>
      <c r="B6" s="2023" t="s">
        <v>2165</v>
      </c>
      <c r="C6" s="2023" t="s">
        <v>2161</v>
      </c>
      <c r="D6" s="643"/>
      <c r="E6" s="643"/>
      <c r="F6" s="643"/>
      <c r="G6" s="643"/>
    </row>
    <row r="7" spans="1:7" x14ac:dyDescent="0.2">
      <c r="A7" s="1041">
        <v>3</v>
      </c>
      <c r="B7" s="2024" t="s">
        <v>2157</v>
      </c>
      <c r="C7" s="2023" t="s">
        <v>2162</v>
      </c>
      <c r="D7" s="643"/>
      <c r="E7" s="643"/>
      <c r="F7" s="643"/>
      <c r="G7" s="643"/>
    </row>
    <row r="8" spans="1:7" x14ac:dyDescent="0.2">
      <c r="A8" s="1041">
        <v>4</v>
      </c>
      <c r="B8" s="2024" t="s">
        <v>2158</v>
      </c>
      <c r="C8" s="2023" t="s">
        <v>2163</v>
      </c>
      <c r="D8" s="643"/>
      <c r="E8" s="643"/>
      <c r="F8" s="643"/>
      <c r="G8" s="643"/>
    </row>
    <row r="9" spans="1:7" x14ac:dyDescent="0.2">
      <c r="A9" s="1041">
        <v>5</v>
      </c>
      <c r="B9" s="2024" t="s">
        <v>2159</v>
      </c>
      <c r="C9" s="2023" t="s">
        <v>2164</v>
      </c>
      <c r="D9" s="643"/>
      <c r="E9" s="643"/>
      <c r="F9" s="643"/>
      <c r="G9" s="643"/>
    </row>
    <row r="10" spans="1:7" x14ac:dyDescent="0.2">
      <c r="A10" s="1042"/>
    </row>
    <row r="11" spans="1:7" x14ac:dyDescent="0.2">
      <c r="A11" s="1042"/>
    </row>
    <row r="12" spans="1:7" x14ac:dyDescent="0.2">
      <c r="A12" s="1042"/>
    </row>
    <row r="13" spans="1:7" x14ac:dyDescent="0.2">
      <c r="A13" s="1042"/>
    </row>
    <row r="14" spans="1:7" x14ac:dyDescent="0.2">
      <c r="A14" s="1042"/>
    </row>
    <row r="15" spans="1:7" x14ac:dyDescent="0.2">
      <c r="A15" s="1042"/>
    </row>
    <row r="16" spans="1:7"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NW Suburban Spec Educ Org</v>
      </c>
    </row>
    <row r="65" spans="2:2" x14ac:dyDescent="0.2">
      <c r="B65" s="1043">
        <f>COVER!A13</f>
        <v>5016805060</v>
      </c>
    </row>
  </sheetData>
  <phoneticPr fontId="18" type="noConversion"/>
  <pageMargins left="0.2" right="0.2" top="1.17" bottom="0.75" header="0.19" footer="0.16"/>
  <pageSetup scale="73"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pageSetUpPr fitToPage="1"/>
  </sheetPr>
  <dimension ref="A1:I84"/>
  <sheetViews>
    <sheetView showGridLines="0" zoomScale="110" zoomScaleNormal="110" workbookViewId="0">
      <selection activeCell="T16" sqref="T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7" t="s">
        <v>1611</v>
      </c>
    </row>
    <row r="23" spans="1:5" x14ac:dyDescent="0.2">
      <c r="A23" s="168"/>
      <c r="B23" s="162" t="s">
        <v>1854</v>
      </c>
      <c r="D23" s="167" t="s">
        <v>637</v>
      </c>
      <c r="E23" s="1807"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40" t="s">
        <v>1065</v>
      </c>
      <c r="B35" s="2140"/>
      <c r="C35" s="2140"/>
      <c r="D35" s="2140"/>
      <c r="E35" s="214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7" t="s">
        <v>691</v>
      </c>
      <c r="B40" s="2137"/>
      <c r="C40" s="2137"/>
      <c r="D40" s="2137"/>
      <c r="E40" s="2137"/>
    </row>
    <row r="41" spans="1:5" x14ac:dyDescent="0.2">
      <c r="A41" s="2138" t="s">
        <v>1608</v>
      </c>
      <c r="B41" s="2138"/>
      <c r="C41" s="2138"/>
      <c r="D41" s="2138"/>
      <c r="E41" s="2138"/>
    </row>
    <row r="42" spans="1:5" ht="12.75" customHeight="1" x14ac:dyDescent="0.2">
      <c r="A42" s="2139" t="s">
        <v>1022</v>
      </c>
      <c r="B42" s="2139"/>
      <c r="C42" s="2139"/>
      <c r="D42" s="2139"/>
      <c r="E42" s="213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6" t="s">
        <v>1773</v>
      </c>
    </row>
    <row r="60" spans="1:3" x14ac:dyDescent="0.2">
      <c r="A60" s="196"/>
      <c r="B60" s="1456"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58"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7"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39997558519241921"/>
  </sheetPr>
  <dimension ref="A1:D19"/>
  <sheetViews>
    <sheetView showGridLines="0" defaultGridColor="0" view="pageBreakPreview" colorId="8" zoomScale="60" zoomScaleNormal="110" workbookViewId="0">
      <selection activeCell="C25" sqref="C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8" tint="0.39997558519241921"/>
  </sheetPr>
  <dimension ref="A11:F18"/>
  <sheetViews>
    <sheetView showGridLines="0" topLeftCell="A2" zoomScale="110" zoomScaleNormal="110" workbookViewId="0">
      <selection activeCell="B35" sqref="B3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23" t="s">
        <v>1685</v>
      </c>
      <c r="B18" s="2423"/>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4</xdr:row>
                <xdr:rowOff>57150</xdr:rowOff>
              </from>
              <to>
                <xdr:col>1</xdr:col>
                <xdr:colOff>1343025</xdr:colOff>
                <xdr:row>9</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39997558519241921"/>
    <pageSetUpPr fitToPage="1"/>
  </sheetPr>
  <dimension ref="A1:H48"/>
  <sheetViews>
    <sheetView showGridLines="0" showZeros="0" view="pageBreakPreview" zoomScale="6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4" t="s">
        <v>1690</v>
      </c>
      <c r="B1" s="2425"/>
      <c r="C1" s="2425"/>
      <c r="D1" s="2425"/>
      <c r="E1" s="2425"/>
      <c r="F1" s="2426"/>
    </row>
    <row r="2" spans="1:8" ht="45" customHeight="1" x14ac:dyDescent="0.2">
      <c r="A2" s="2434" t="s">
        <v>1984</v>
      </c>
      <c r="B2" s="2435"/>
      <c r="C2" s="2435"/>
      <c r="D2" s="2435"/>
      <c r="E2" s="2435"/>
      <c r="F2" s="2436"/>
      <c r="G2" s="1047"/>
      <c r="H2" s="1047"/>
    </row>
    <row r="3" spans="1:8" ht="57" customHeight="1" x14ac:dyDescent="0.2">
      <c r="A3" s="2437" t="s">
        <v>1686</v>
      </c>
      <c r="B3" s="2438"/>
      <c r="C3" s="2438"/>
      <c r="D3" s="2438"/>
      <c r="E3" s="2438"/>
      <c r="F3" s="2439"/>
      <c r="G3" s="1047"/>
      <c r="H3" s="1047"/>
    </row>
    <row r="4" spans="1:8" ht="14.25" customHeight="1" x14ac:dyDescent="0.2">
      <c r="A4" s="2443" t="s">
        <v>1985</v>
      </c>
      <c r="B4" s="2444"/>
      <c r="C4" s="2444"/>
      <c r="D4" s="2444"/>
      <c r="E4" s="2444"/>
      <c r="F4" s="2445"/>
      <c r="G4" s="1047"/>
      <c r="H4" s="1047"/>
    </row>
    <row r="5" spans="1:8" ht="14.25" customHeight="1" x14ac:dyDescent="0.2">
      <c r="A5" s="2446" t="s">
        <v>1981</v>
      </c>
      <c r="B5" s="2447"/>
      <c r="C5" s="2447"/>
      <c r="D5" s="2447"/>
      <c r="E5" s="2447"/>
      <c r="F5" s="2448"/>
      <c r="G5" s="1047"/>
      <c r="H5" s="1047"/>
    </row>
    <row r="6" spans="1:8" s="1048" customFormat="1" ht="41.25" customHeight="1" x14ac:dyDescent="0.2">
      <c r="A6" s="2440" t="s">
        <v>1691</v>
      </c>
      <c r="B6" s="2441"/>
      <c r="C6" s="2441"/>
      <c r="D6" s="2441"/>
      <c r="E6" s="2441"/>
      <c r="F6" s="2442"/>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6">
        <f>'Acct Summary 7-8'!C8</f>
        <v>45572559</v>
      </c>
      <c r="C8" s="1786">
        <f>'Acct Summary 7-8'!D8</f>
        <v>0</v>
      </c>
      <c r="D8" s="1786">
        <f>'Acct Summary 7-8'!F8</f>
        <v>2947486</v>
      </c>
      <c r="E8" s="1786">
        <f>'Acct Summary 7-8'!I8</f>
        <v>0</v>
      </c>
      <c r="F8" s="1786">
        <f>SUM(B8:E8)</f>
        <v>48520045</v>
      </c>
    </row>
    <row r="9" spans="1:8" s="1052" customFormat="1" ht="14.25" customHeight="1" thickBot="1" x14ac:dyDescent="0.25">
      <c r="A9" s="1051" t="s">
        <v>1369</v>
      </c>
      <c r="B9" s="1787">
        <f>'Acct Summary 7-8'!C17</f>
        <v>46241941</v>
      </c>
      <c r="C9" s="1787">
        <f>'Acct Summary 7-8'!D17</f>
        <v>0</v>
      </c>
      <c r="D9" s="1787">
        <f>'Acct Summary 7-8'!F17</f>
        <v>2887809</v>
      </c>
      <c r="E9" s="1786"/>
      <c r="F9" s="1786">
        <f>SUM(B9:E9)</f>
        <v>49129750</v>
      </c>
    </row>
    <row r="10" spans="1:8" s="1052" customFormat="1" ht="14.25" thickTop="1" thickBot="1" x14ac:dyDescent="0.25">
      <c r="A10" s="1053" t="s">
        <v>1370</v>
      </c>
      <c r="B10" s="1788">
        <f>(B8-B9)</f>
        <v>-669382</v>
      </c>
      <c r="C10" s="1788">
        <f>(C8-C9)</f>
        <v>0</v>
      </c>
      <c r="D10" s="1788">
        <f>(D8-D9)</f>
        <v>59677</v>
      </c>
      <c r="E10" s="1787">
        <f>(E8-E9)</f>
        <v>0</v>
      </c>
      <c r="F10" s="1789">
        <f>SUM(F8-F9)</f>
        <v>-609705</v>
      </c>
    </row>
    <row r="11" spans="1:8" s="1052" customFormat="1" ht="14.25" thickTop="1" thickBot="1" x14ac:dyDescent="0.25">
      <c r="A11" s="1054" t="s">
        <v>1982</v>
      </c>
      <c r="B11" s="1790">
        <f>'Acct Summary 7-8'!C81</f>
        <v>19620622</v>
      </c>
      <c r="C11" s="1790">
        <f>'Acct Summary 7-8'!D81</f>
        <v>0</v>
      </c>
      <c r="D11" s="1790">
        <f>'Acct Summary 7-8'!F81</f>
        <v>78663</v>
      </c>
      <c r="E11" s="1790">
        <f>'Acct Summary 7-8'!I81</f>
        <v>0</v>
      </c>
      <c r="F11" s="1791">
        <f>SUM(B11:E11)</f>
        <v>19699285</v>
      </c>
    </row>
    <row r="12" spans="1:8" ht="16.5" customHeight="1" thickTop="1" x14ac:dyDescent="0.2">
      <c r="A12" s="1055"/>
      <c r="B12" s="1056"/>
      <c r="C12" s="2428" t="str">
        <f>IF(AND(F10&lt;0,F11&gt;=0,ABS(F10*3)&gt;ABS(F11)),A16,IF(AND(F10&lt;0,F11&gt;0,ABS(F10*3)&lt;=ABS(F11)),A17,IF(AND(F10&lt;0,F11&lt;0),A16,IF(F11=0,A19,A18))))</f>
        <v>Unbalanced -  however, a deficit reduction plan is not required at this time.</v>
      </c>
      <c r="D12" s="2429"/>
      <c r="E12" s="2429"/>
      <c r="F12" s="2430"/>
    </row>
    <row r="13" spans="1:8" ht="19.5" customHeight="1" x14ac:dyDescent="0.2">
      <c r="A13" s="1057"/>
      <c r="B13" s="1058"/>
      <c r="C13" s="2428"/>
      <c r="D13" s="2429"/>
      <c r="E13" s="2429"/>
      <c r="F13" s="2430"/>
      <c r="H13" s="1047"/>
    </row>
    <row r="14" spans="1:8" ht="19.5" customHeight="1" x14ac:dyDescent="0.2">
      <c r="A14" s="1057"/>
      <c r="B14" s="1058"/>
      <c r="C14" s="2428"/>
      <c r="D14" s="2429"/>
      <c r="E14" s="2429"/>
      <c r="F14" s="2430"/>
      <c r="H14" s="1047"/>
    </row>
    <row r="15" spans="1:8" ht="17.25" customHeight="1" x14ac:dyDescent="0.2">
      <c r="A15" s="1057"/>
      <c r="B15" s="1058"/>
      <c r="C15" s="2431"/>
      <c r="D15" s="2432"/>
      <c r="E15" s="2432"/>
      <c r="F15" s="2433"/>
      <c r="H15" s="1047"/>
    </row>
    <row r="16" spans="1:8" s="310" customFormat="1" ht="51.75" hidden="1" customHeight="1" x14ac:dyDescent="0.2">
      <c r="A16" s="2427" t="s">
        <v>1687</v>
      </c>
      <c r="B16" s="2427"/>
      <c r="C16" s="2427"/>
      <c r="D16" s="2427"/>
      <c r="E16" s="2427"/>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topLeftCell="A16" colorId="8" zoomScale="60" zoomScaleNormal="110" workbookViewId="0">
      <selection activeCell="D29" sqref="D29"/>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68"/>
      <c r="B2" s="1869"/>
      <c r="C2" s="1870"/>
      <c r="D2" s="1871"/>
    </row>
    <row r="3" spans="1:4" ht="36" customHeight="1" x14ac:dyDescent="0.2">
      <c r="A3" s="2449" t="s">
        <v>665</v>
      </c>
      <c r="B3" s="2450"/>
      <c r="C3" s="2450"/>
      <c r="D3" s="2451"/>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60" t="s">
        <v>1504</v>
      </c>
      <c r="D7" s="2461"/>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52" t="s">
        <v>1008</v>
      </c>
      <c r="B15" s="2453"/>
      <c r="C15" s="2453"/>
      <c r="D15" s="2454"/>
    </row>
    <row r="16" spans="1:4" s="643" customFormat="1" ht="24" customHeight="1" x14ac:dyDescent="0.2">
      <c r="A16" s="2455" t="s">
        <v>663</v>
      </c>
      <c r="B16" s="2456"/>
      <c r="C16" s="2456"/>
      <c r="D16" s="2457"/>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64" t="s">
        <v>314</v>
      </c>
      <c r="D21" s="2465"/>
    </row>
    <row r="22" spans="1:10" ht="12.75" x14ac:dyDescent="0.2">
      <c r="A22" s="1112"/>
      <c r="B22" s="1113">
        <v>2</v>
      </c>
      <c r="C22" s="2462" t="s">
        <v>1524</v>
      </c>
      <c r="D22" s="2463"/>
    </row>
    <row r="23" spans="1:10" ht="12.2" customHeight="1" x14ac:dyDescent="0.2">
      <c r="A23" s="1112"/>
      <c r="B23" s="1113"/>
      <c r="C23" s="1114" t="s">
        <v>954</v>
      </c>
      <c r="D23" s="1115" t="str">
        <f>IF(COVER!O11="X","CASH",IF(COVER!O12="X","ACCRUAL ","PLEASE CHECK AN ACCOUNTING BASIS."))</f>
        <v xml:space="preserve">ACCRUAL </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842</v>
      </c>
      <c r="D28" s="1080" t="b">
        <f>IF('Aud Quest 2'!B53="X",IF('Aud Quest 2'!F53&gt;"00/00/00 ","Enter Effective Date","ok"))</f>
        <v>0</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66" t="s">
        <v>536</v>
      </c>
      <c r="D43" s="2467"/>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58" t="s">
        <v>784</v>
      </c>
      <c r="D56" s="2459"/>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OK</v>
      </c>
    </row>
    <row r="69" spans="1:4" x14ac:dyDescent="0.2">
      <c r="A69" s="1073"/>
      <c r="B69" s="1083"/>
      <c r="C69" s="1075" t="s">
        <v>1913</v>
      </c>
      <c r="D69" s="1097" t="str">
        <f>IF('Expenditures 15-22'!H170&lt;&gt;'Short-Term Long-Term Debt 24'!H49,"ERROR!","OK")</f>
        <v>OK</v>
      </c>
    </row>
    <row r="70" spans="1:4" x14ac:dyDescent="0.2">
      <c r="A70" s="1071"/>
      <c r="B70" s="1093">
        <f>B66+1</f>
        <v>9</v>
      </c>
      <c r="C70" s="2458" t="s">
        <v>1696</v>
      </c>
      <c r="D70" s="2459"/>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5016805060</v>
      </c>
    </row>
    <row r="3" spans="1:2" x14ac:dyDescent="0.2">
      <c r="A3" t="s">
        <v>956</v>
      </c>
      <c r="B3" s="138" t="str">
        <f>COVER!A15</f>
        <v>COOK</v>
      </c>
    </row>
    <row r="4" spans="1:2" x14ac:dyDescent="0.2">
      <c r="A4" t="s">
        <v>1007</v>
      </c>
      <c r="B4" s="138" t="str">
        <f>COVER!A17</f>
        <v>NW Suburban Spec Educ Org</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KEVIN SMITH</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22263521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2642899</v>
      </c>
      <c r="C91" s="2" t="s">
        <v>573</v>
      </c>
      <c r="D91" s="2" t="str">
        <f t="shared" si="0"/>
        <v>Error?</v>
      </c>
    </row>
    <row r="92" spans="1:4" x14ac:dyDescent="0.2">
      <c r="A92" s="5">
        <v>31</v>
      </c>
      <c r="B92" s="138">
        <f>'Assets-Liab 5-6'!C39</f>
        <v>19620622</v>
      </c>
      <c r="D92" s="2" t="str">
        <f t="shared" si="0"/>
        <v>Error?</v>
      </c>
    </row>
    <row r="93" spans="1:4" x14ac:dyDescent="0.2">
      <c r="A93" s="5">
        <v>32</v>
      </c>
      <c r="B93" s="138">
        <f>'Assets-Liab 5-6'!C41</f>
        <v>22263521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1485416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1406753</v>
      </c>
      <c r="C169" s="2" t="s">
        <v>573</v>
      </c>
      <c r="D169" s="2" t="str">
        <f t="shared" si="1"/>
        <v>Error?</v>
      </c>
    </row>
    <row r="170" spans="1:4" x14ac:dyDescent="0.2">
      <c r="A170" s="5">
        <v>109</v>
      </c>
      <c r="B170" s="138">
        <f>'Assets-Liab 5-6'!F39</f>
        <v>78663</v>
      </c>
      <c r="D170" s="2" t="str">
        <f t="shared" si="1"/>
        <v>Error?</v>
      </c>
    </row>
    <row r="171" spans="1:4" x14ac:dyDescent="0.2">
      <c r="A171" s="5">
        <v>110</v>
      </c>
      <c r="B171" s="138">
        <f>'Assets-Liab 5-6'!F41</f>
        <v>1485416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165000</v>
      </c>
      <c r="D273" s="2" t="str">
        <f t="shared" si="3"/>
        <v>Error?</v>
      </c>
    </row>
    <row r="274" spans="1:4" x14ac:dyDescent="0.2">
      <c r="A274" s="5">
        <v>213</v>
      </c>
      <c r="B274" s="138">
        <f>'Assets-Liab 5-6'!M17</f>
        <v>14834692</v>
      </c>
      <c r="D274" s="2" t="str">
        <f t="shared" si="3"/>
        <v>Error?</v>
      </c>
    </row>
    <row r="275" spans="1:4" x14ac:dyDescent="0.2">
      <c r="A275" s="5">
        <v>214</v>
      </c>
      <c r="B275" s="138">
        <f>'Assets-Liab 5-6'!M18</f>
        <v>1047616</v>
      </c>
      <c r="D275" s="2" t="str">
        <f t="shared" si="3"/>
        <v>Error?</v>
      </c>
    </row>
    <row r="276" spans="1:4" x14ac:dyDescent="0.2">
      <c r="A276" s="5">
        <v>215</v>
      </c>
      <c r="B276" s="138">
        <f>'Assets-Liab 5-6'!M19</f>
        <v>3717566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20542232</v>
      </c>
      <c r="C279" s="2" t="s">
        <v>573</v>
      </c>
      <c r="D279" s="2" t="str">
        <f t="shared" si="3"/>
        <v>Error?</v>
      </c>
    </row>
    <row r="280" spans="1:4" x14ac:dyDescent="0.2">
      <c r="A280" s="5">
        <v>219</v>
      </c>
      <c r="B280" s="138">
        <f>'Assets-Liab 5-6'!M40</f>
        <v>20542232</v>
      </c>
      <c r="D280" s="2" t="str">
        <f t="shared" si="3"/>
        <v>Error?</v>
      </c>
    </row>
    <row r="281" spans="1:4" x14ac:dyDescent="0.2">
      <c r="A281" s="5">
        <v>220</v>
      </c>
      <c r="B281" s="138">
        <f>'Assets-Liab 5-6'!M41</f>
        <v>20542232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193427</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17431453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447201</v>
      </c>
      <c r="D726" s="2" t="str">
        <f t="shared" si="10"/>
        <v>Error?</v>
      </c>
    </row>
    <row r="727" spans="1:4" x14ac:dyDescent="0.2">
      <c r="A727" s="5">
        <v>666</v>
      </c>
      <c r="B727" s="138">
        <f>'Expenditures 15-22'!C42</f>
        <v>447201</v>
      </c>
      <c r="C727" s="2" t="s">
        <v>573</v>
      </c>
      <c r="D727" s="2" t="str">
        <f t="shared" si="10"/>
        <v>Error?</v>
      </c>
    </row>
    <row r="728" spans="1:4" x14ac:dyDescent="0.2">
      <c r="A728" s="5">
        <v>667</v>
      </c>
      <c r="B728" s="138">
        <f>'Expenditures 15-22'!C44</f>
        <v>301672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1646373</v>
      </c>
      <c r="D730" s="2" t="str">
        <f t="shared" si="10"/>
        <v>Error?</v>
      </c>
    </row>
    <row r="731" spans="1:4" x14ac:dyDescent="0.2">
      <c r="A731" s="5">
        <v>670</v>
      </c>
      <c r="B731" s="138">
        <f>'Expenditures 15-22'!C47</f>
        <v>1948045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1655116</v>
      </c>
      <c r="D733" s="2" t="str">
        <f t="shared" si="10"/>
        <v>Error?</v>
      </c>
    </row>
    <row r="734" spans="1:4" x14ac:dyDescent="0.2">
      <c r="A734" s="5">
        <v>673</v>
      </c>
      <c r="B734" s="138">
        <f>'Expenditures 15-22'!C53</f>
        <v>1655116</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480790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136560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617350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889761</v>
      </c>
      <c r="D754" s="2" t="str">
        <f t="shared" si="10"/>
        <v>Error?</v>
      </c>
    </row>
    <row r="755" spans="1:4" x14ac:dyDescent="0.2">
      <c r="A755" s="5">
        <v>694</v>
      </c>
      <c r="B755" s="138">
        <f>'Expenditures 15-22'!C74</f>
        <v>5557473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22988926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74966</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5372866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93399</v>
      </c>
      <c r="D784" s="2" t="str">
        <f t="shared" si="11"/>
        <v>Error?</v>
      </c>
    </row>
    <row r="785" spans="1:4" x14ac:dyDescent="0.2">
      <c r="A785" s="5">
        <v>724</v>
      </c>
      <c r="B785" s="138">
        <f>'Expenditures 15-22'!D42</f>
        <v>93399</v>
      </c>
      <c r="C785" s="2" t="s">
        <v>573</v>
      </c>
      <c r="D785" s="2" t="str">
        <f t="shared" si="11"/>
        <v>Error?</v>
      </c>
    </row>
    <row r="786" spans="1:4" x14ac:dyDescent="0.2">
      <c r="A786" s="5">
        <v>725</v>
      </c>
      <c r="B786" s="138">
        <f>'Expenditures 15-22'!D44</f>
        <v>81748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431390</v>
      </c>
      <c r="D788" s="2" t="str">
        <f t="shared" si="11"/>
        <v>Error?</v>
      </c>
    </row>
    <row r="789" spans="1:4" x14ac:dyDescent="0.2">
      <c r="A789" s="5">
        <v>728</v>
      </c>
      <c r="B789" s="138">
        <f>'Expenditures 15-22'!D47</f>
        <v>513138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350197</v>
      </c>
      <c r="D791" s="2" t="str">
        <f t="shared" si="11"/>
        <v>Error?</v>
      </c>
    </row>
    <row r="792" spans="1:4" x14ac:dyDescent="0.2">
      <c r="A792" s="5">
        <v>731</v>
      </c>
      <c r="B792" s="138">
        <f>'Expenditures 15-22'!D53</f>
        <v>350197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153610</v>
      </c>
      <c r="D798" s="2" t="str">
        <f t="shared" si="11"/>
        <v>Error?</v>
      </c>
    </row>
    <row r="799" spans="1:4" x14ac:dyDescent="0.2">
      <c r="A799" s="5">
        <v>738</v>
      </c>
      <c r="B799" s="138">
        <f>'Expenditures 15-22'!D62</f>
        <v>1876</v>
      </c>
      <c r="D799" s="2" t="str">
        <f t="shared" si="11"/>
        <v>Error?</v>
      </c>
    </row>
    <row r="800" spans="1:4" x14ac:dyDescent="0.2">
      <c r="A800" s="5">
        <v>739</v>
      </c>
      <c r="B800" s="138">
        <f>'Expenditures 15-22'!D63</f>
        <v>54922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210408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221611</v>
      </c>
      <c r="D812" s="2" t="str">
        <f t="shared" si="11"/>
        <v>Error?</v>
      </c>
    </row>
    <row r="813" spans="1:4" x14ac:dyDescent="0.2">
      <c r="A813" s="5">
        <v>752</v>
      </c>
      <c r="B813" s="138">
        <f>'Expenditures 15-22'!D74</f>
        <v>1388753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6761619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409349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1530082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25749</v>
      </c>
      <c r="D842" s="2" t="str">
        <f t="shared" si="12"/>
        <v>Error?</v>
      </c>
    </row>
    <row r="843" spans="1:4" x14ac:dyDescent="0.2">
      <c r="A843" s="5">
        <v>782</v>
      </c>
      <c r="B843" s="138">
        <f>'Expenditures 15-22'!E42</f>
        <v>25749</v>
      </c>
      <c r="C843" s="2" t="s">
        <v>573</v>
      </c>
      <c r="D843" s="2" t="str">
        <f t="shared" si="12"/>
        <v>Error?</v>
      </c>
    </row>
    <row r="844" spans="1:4" x14ac:dyDescent="0.2">
      <c r="A844" s="5">
        <v>783</v>
      </c>
      <c r="B844" s="138">
        <f>'Expenditures 15-22'!E44</f>
        <v>200134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161203</v>
      </c>
      <c r="D846" s="2" t="str">
        <f t="shared" si="12"/>
        <v>Error?</v>
      </c>
    </row>
    <row r="847" spans="1:4" x14ac:dyDescent="0.2">
      <c r="A847" s="5">
        <v>786</v>
      </c>
      <c r="B847" s="138">
        <f>'Expenditures 15-22'!E47</f>
        <v>361337</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342129</v>
      </c>
      <c r="D849" s="2" t="str">
        <f t="shared" si="12"/>
        <v>Error?</v>
      </c>
    </row>
    <row r="850" spans="1:4" x14ac:dyDescent="0.2">
      <c r="A850" s="5">
        <v>789</v>
      </c>
      <c r="B850" s="138">
        <f>'Expenditures 15-22'!E53</f>
        <v>342129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681197</v>
      </c>
      <c r="D856" s="2" t="str">
        <f t="shared" si="12"/>
        <v>Error?</v>
      </c>
    </row>
    <row r="857" spans="1:4" x14ac:dyDescent="0.2">
      <c r="A857" s="5">
        <v>796</v>
      </c>
      <c r="B857" s="138">
        <f>'Expenditures 15-22'!E62</f>
        <v>1230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682427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38427</v>
      </c>
      <c r="D870" s="2" t="str">
        <f t="shared" si="12"/>
        <v>Error?</v>
      </c>
    </row>
    <row r="871" spans="1:4" x14ac:dyDescent="0.2">
      <c r="A871" s="5">
        <v>810</v>
      </c>
      <c r="B871" s="138">
        <f>'Expenditures 15-22'!E74</f>
        <v>1450069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2980151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2844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183735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38039</v>
      </c>
      <c r="D900" s="2" t="str">
        <f t="shared" si="13"/>
        <v>Error?</v>
      </c>
    </row>
    <row r="901" spans="1:4" x14ac:dyDescent="0.2">
      <c r="A901" s="5">
        <v>840</v>
      </c>
      <c r="B901" s="138">
        <f>'Expenditures 15-22'!F42</f>
        <v>38039</v>
      </c>
      <c r="C901" s="2" t="s">
        <v>573</v>
      </c>
      <c r="D901" s="2" t="str">
        <f t="shared" si="13"/>
        <v>Error?</v>
      </c>
    </row>
    <row r="902" spans="1:4" x14ac:dyDescent="0.2">
      <c r="A902" s="5">
        <v>841</v>
      </c>
      <c r="B902" s="138">
        <f>'Expenditures 15-22'!F44</f>
        <v>37150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5428</v>
      </c>
      <c r="D904" s="2" t="str">
        <f t="shared" si="13"/>
        <v>Error?</v>
      </c>
    </row>
    <row r="905" spans="1:4" x14ac:dyDescent="0.2">
      <c r="A905" s="5">
        <v>844</v>
      </c>
      <c r="B905" s="138">
        <f>'Expenditures 15-22'!F47</f>
        <v>42578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221574</v>
      </c>
      <c r="D907" s="2" t="str">
        <f t="shared" si="13"/>
        <v>Error?</v>
      </c>
    </row>
    <row r="908" spans="1:4" x14ac:dyDescent="0.2">
      <c r="A908" s="5">
        <v>847</v>
      </c>
      <c r="B908" s="138">
        <f>'Expenditures 15-22'!F53</f>
        <v>221574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244129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106873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351002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96987</v>
      </c>
      <c r="D928" s="2" t="str">
        <f t="shared" si="13"/>
        <v>Error?</v>
      </c>
    </row>
    <row r="929" spans="1:4" x14ac:dyDescent="0.2">
      <c r="A929" s="5">
        <v>868</v>
      </c>
      <c r="B929" s="138">
        <f>'Expenditures 15-22'!F74</f>
        <v>750180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933915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446462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36422</v>
      </c>
      <c r="D965" s="2" t="str">
        <f t="shared" si="14"/>
        <v>Error?</v>
      </c>
    </row>
    <row r="966" spans="1:4" x14ac:dyDescent="0.2">
      <c r="A966" s="5">
        <v>905</v>
      </c>
      <c r="B966" s="138">
        <f>'Expenditures 15-22'!G53</f>
        <v>36422</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70232</v>
      </c>
      <c r="D972" s="2" t="str">
        <f t="shared" si="14"/>
        <v>Error?</v>
      </c>
    </row>
    <row r="973" spans="1:4" x14ac:dyDescent="0.2">
      <c r="A973" s="5">
        <v>912</v>
      </c>
      <c r="B973" s="138">
        <f>'Expenditures 15-22'!G62</f>
        <v>405674</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475906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107820</v>
      </c>
      <c r="D986" s="2" t="str">
        <f t="shared" si="14"/>
        <v>Error?</v>
      </c>
    </row>
    <row r="987" spans="1:4" x14ac:dyDescent="0.2">
      <c r="A987" s="5">
        <v>926</v>
      </c>
      <c r="B987" s="138">
        <f>'Expenditures 15-22'!G74</f>
        <v>620148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1066610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168019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489</v>
      </c>
      <c r="D1016" s="2" t="str">
        <f t="shared" si="14"/>
        <v>Error?</v>
      </c>
    </row>
    <row r="1017" spans="1:4" x14ac:dyDescent="0.2">
      <c r="A1017" s="5">
        <v>956</v>
      </c>
      <c r="B1017" s="138">
        <f>'Expenditures 15-22'!H42</f>
        <v>489</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387</v>
      </c>
      <c r="D1020" s="2" t="str">
        <f t="shared" si="14"/>
        <v>Error?</v>
      </c>
    </row>
    <row r="1021" spans="1:4" x14ac:dyDescent="0.2">
      <c r="A1021" s="5">
        <v>960</v>
      </c>
      <c r="B1021" s="138">
        <f>'Expenditures 15-22'!H47</f>
        <v>387</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72836</v>
      </c>
      <c r="D1023" s="2" t="str">
        <f t="shared" ref="D1023:D1086" si="15">IF(ISBLANK(B1023),"OK",IF(A1023-B1023=0,"OK","Error?"))</f>
        <v>Error?</v>
      </c>
    </row>
    <row r="1024" spans="1:4" x14ac:dyDescent="0.2">
      <c r="A1024" s="5">
        <v>963</v>
      </c>
      <c r="B1024" s="138">
        <f>'Expenditures 15-22'!H53</f>
        <v>72836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18265</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18265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182343</v>
      </c>
      <c r="D1044" s="2" t="str">
        <f t="shared" si="15"/>
        <v>Error?</v>
      </c>
    </row>
    <row r="1045" spans="1:4" x14ac:dyDescent="0.2">
      <c r="A1045" s="5">
        <v>984</v>
      </c>
      <c r="B1045" s="138">
        <f>'Expenditures 15-22'!H74</f>
        <v>274320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11000303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11442642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680586</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25142165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604877</v>
      </c>
      <c r="C1114" s="2" t="s">
        <v>573</v>
      </c>
      <c r="D1114" s="2" t="str">
        <f t="shared" si="16"/>
        <v>Error?</v>
      </c>
    </row>
    <row r="1115" spans="1:4" x14ac:dyDescent="0.2">
      <c r="A1115" s="5">
        <v>1054</v>
      </c>
      <c r="B1115" s="138">
        <f>'Expenditures 15-22'!K42</f>
        <v>604877</v>
      </c>
      <c r="C1115" s="2" t="s">
        <v>573</v>
      </c>
      <c r="D1115" s="2" t="str">
        <f t="shared" si="16"/>
        <v>Error?</v>
      </c>
    </row>
    <row r="1116" spans="1:4" x14ac:dyDescent="0.2">
      <c r="A1116" s="5">
        <v>1055</v>
      </c>
      <c r="B1116" s="138">
        <f>'Expenditures 15-22'!K44</f>
        <v>620704</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2244781</v>
      </c>
      <c r="C1118" s="2" t="s">
        <v>573</v>
      </c>
      <c r="D1118" s="2" t="str">
        <f t="shared" si="16"/>
        <v>Error?</v>
      </c>
    </row>
    <row r="1119" spans="1:4" x14ac:dyDescent="0.2">
      <c r="A1119" s="5">
        <v>1058</v>
      </c>
      <c r="B1119" s="138">
        <f>'Expenditures 15-22'!K47</f>
        <v>2865485</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2678656</v>
      </c>
      <c r="C1121" s="2" t="s">
        <v>573</v>
      </c>
      <c r="D1121" s="2" t="str">
        <f t="shared" si="16"/>
        <v>Error?</v>
      </c>
    </row>
    <row r="1122" spans="1:4" x14ac:dyDescent="0.2">
      <c r="A1122" s="5">
        <v>1061</v>
      </c>
      <c r="B1122" s="138">
        <f>'Expenditures 15-22'!K53</f>
        <v>2678656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1648771</v>
      </c>
      <c r="C1128" s="2" t="s">
        <v>573</v>
      </c>
      <c r="D1128" s="2" t="str">
        <f t="shared" si="16"/>
        <v>Error?</v>
      </c>
    </row>
    <row r="1129" spans="1:4" x14ac:dyDescent="0.2">
      <c r="A1129" s="5">
        <v>1068</v>
      </c>
      <c r="B1129" s="138">
        <f>'Expenditures 15-22'!K62</f>
        <v>408780</v>
      </c>
      <c r="C1129" s="2" t="s">
        <v>573</v>
      </c>
      <c r="D1129" s="2" t="str">
        <f t="shared" si="16"/>
        <v>Error?</v>
      </c>
    </row>
    <row r="1130" spans="1:4" x14ac:dyDescent="0.2">
      <c r="A1130" s="5">
        <v>1069</v>
      </c>
      <c r="B1130" s="138">
        <f>'Expenditures 15-22'!K63</f>
        <v>298355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2355906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1594549</v>
      </c>
      <c r="C1142" s="2" t="s">
        <v>573</v>
      </c>
      <c r="D1142" s="2" t="str">
        <f t="shared" si="16"/>
        <v>Error?</v>
      </c>
    </row>
    <row r="1143" spans="1:4" x14ac:dyDescent="0.2">
      <c r="A1143" s="5">
        <v>1082</v>
      </c>
      <c r="B1143" s="138">
        <f>'Expenditures 15-22'!K74</f>
        <v>10099473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11000303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46241941</v>
      </c>
      <c r="C1152" s="2" t="s">
        <v>573</v>
      </c>
      <c r="D1152" s="2" t="str">
        <f t="shared" si="17"/>
        <v>Error?</v>
      </c>
    </row>
    <row r="1153" spans="1:4" x14ac:dyDescent="0.2">
      <c r="A1153" s="5">
        <v>1092</v>
      </c>
      <c r="B1153" s="138">
        <f>'Expenditures 15-22'!K115</f>
        <v>-669382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646286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646286</v>
      </c>
      <c r="C1339" s="2" t="s">
        <v>573</v>
      </c>
      <c r="D1339" s="2" t="str">
        <f t="shared" si="19"/>
        <v>Error?</v>
      </c>
    </row>
    <row r="1340" spans="1:4" x14ac:dyDescent="0.2">
      <c r="A1340" s="5">
        <v>1279</v>
      </c>
      <c r="B1340" s="138">
        <f>'Expenditures 15-22'!C210</f>
        <v>646286</v>
      </c>
      <c r="C1340" s="2" t="s">
        <v>573</v>
      </c>
      <c r="D1340" s="2" t="str">
        <f t="shared" si="19"/>
        <v>Error?</v>
      </c>
    </row>
    <row r="1341" spans="1:4" x14ac:dyDescent="0.2">
      <c r="A1341" s="5">
        <v>1280</v>
      </c>
      <c r="B1341" s="138">
        <f>'Expenditures 15-22'!D182</f>
        <v>119791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119791</v>
      </c>
      <c r="C1345" s="2" t="s">
        <v>573</v>
      </c>
      <c r="D1345" s="2" t="str">
        <f t="shared" si="20"/>
        <v>Error?</v>
      </c>
    </row>
    <row r="1346" spans="1:4" x14ac:dyDescent="0.2">
      <c r="A1346" s="5">
        <v>1285</v>
      </c>
      <c r="B1346" s="138">
        <f>'Expenditures 15-22'!D210</f>
        <v>119791</v>
      </c>
      <c r="C1346" s="2" t="s">
        <v>573</v>
      </c>
      <c r="D1346" s="2" t="str">
        <f t="shared" si="20"/>
        <v>Error?</v>
      </c>
    </row>
    <row r="1347" spans="1:4" x14ac:dyDescent="0.2">
      <c r="A1347" s="5">
        <v>1286</v>
      </c>
      <c r="B1347" s="138">
        <f>'Expenditures 15-22'!E182</f>
        <v>1925819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1925819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1925819</v>
      </c>
      <c r="C1353" s="2" t="s">
        <v>573</v>
      </c>
      <c r="D1353" s="2" t="str">
        <f t="shared" si="20"/>
        <v>Error?</v>
      </c>
    </row>
    <row r="1354" spans="1:4" x14ac:dyDescent="0.2">
      <c r="A1354" s="5">
        <v>1293</v>
      </c>
      <c r="B1354" s="138">
        <f>'Expenditures 15-22'!F182</f>
        <v>111836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111836</v>
      </c>
      <c r="C1358" s="2" t="s">
        <v>573</v>
      </c>
      <c r="D1358" s="2" t="str">
        <f t="shared" si="20"/>
        <v>Error?</v>
      </c>
    </row>
    <row r="1359" spans="1:4" x14ac:dyDescent="0.2">
      <c r="A1359" s="5">
        <v>1298</v>
      </c>
      <c r="B1359" s="138">
        <f>'Expenditures 15-22'!F210</f>
        <v>111836</v>
      </c>
      <c r="C1359" s="2" t="s">
        <v>573</v>
      </c>
      <c r="D1359" s="2" t="str">
        <f t="shared" si="20"/>
        <v>Error?</v>
      </c>
    </row>
    <row r="1360" spans="1:4" x14ac:dyDescent="0.2">
      <c r="A1360" s="5">
        <v>1299</v>
      </c>
      <c r="B1360" s="138">
        <f>'Expenditures 15-22'!G182</f>
        <v>79121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79121</v>
      </c>
      <c r="C1364" s="2" t="s">
        <v>573</v>
      </c>
      <c r="D1364" s="2" t="str">
        <f t="shared" si="20"/>
        <v>Error?</v>
      </c>
    </row>
    <row r="1365" spans="1:4" x14ac:dyDescent="0.2">
      <c r="A1365" s="5">
        <v>1304</v>
      </c>
      <c r="B1365" s="138">
        <f>'Expenditures 15-22'!G210</f>
        <v>79121</v>
      </c>
      <c r="C1365" s="2" t="s">
        <v>573</v>
      </c>
      <c r="D1365" s="2" t="str">
        <f t="shared" si="20"/>
        <v>Error?</v>
      </c>
    </row>
    <row r="1366" spans="1:4" x14ac:dyDescent="0.2">
      <c r="A1366" s="5">
        <v>1305</v>
      </c>
      <c r="B1366" s="138">
        <f>'Expenditures 15-22'!H182</f>
        <v>4956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4956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4956</v>
      </c>
      <c r="C1376" s="2" t="s">
        <v>573</v>
      </c>
      <c r="D1376" s="2" t="str">
        <f t="shared" si="20"/>
        <v>Error?</v>
      </c>
    </row>
    <row r="1377" spans="1:4" x14ac:dyDescent="0.2">
      <c r="A1377" s="5">
        <v>1316</v>
      </c>
      <c r="B1377" s="138">
        <f>'Expenditures 15-22'!K182</f>
        <v>2887809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2887809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2887809</v>
      </c>
      <c r="C1388" s="2" t="s">
        <v>573</v>
      </c>
      <c r="D1388" s="2" t="str">
        <f t="shared" si="20"/>
        <v>Error?</v>
      </c>
    </row>
    <row r="1389" spans="1:4" x14ac:dyDescent="0.2">
      <c r="A1389" s="5">
        <v>1328</v>
      </c>
      <c r="B1389" s="138">
        <f>'Expenditures 15-22'!K211</f>
        <v>59677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20290004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19620622</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18986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78663</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165000</v>
      </c>
      <c r="D2008" s="2" t="str">
        <f t="shared" si="30"/>
        <v>Error?</v>
      </c>
    </row>
    <row r="2009" spans="1:4" x14ac:dyDescent="0.2">
      <c r="A2009" s="5">
        <v>1948</v>
      </c>
      <c r="B2009" s="138">
        <f>'Cap Outlay Deprec 26'!C8</f>
        <v>14834692</v>
      </c>
      <c r="D2009" s="2" t="str">
        <f t="shared" si="30"/>
        <v>Error?</v>
      </c>
    </row>
    <row r="2010" spans="1:4" x14ac:dyDescent="0.2">
      <c r="A2010" s="5">
        <v>1949</v>
      </c>
      <c r="B2010" s="138">
        <f>'Cap Outlay Deprec 26'!C10</f>
        <v>955744</v>
      </c>
      <c r="D2010" s="2" t="str">
        <f t="shared" si="30"/>
        <v>Error?</v>
      </c>
    </row>
    <row r="2011" spans="1:4" x14ac:dyDescent="0.2">
      <c r="A2011" s="5">
        <v>1950</v>
      </c>
      <c r="B2011" s="138">
        <f>'Cap Outlay Deprec 26'!C12</f>
        <v>3111806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19475804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91872</v>
      </c>
      <c r="D2016" s="2" t="str">
        <f t="shared" si="30"/>
        <v>Error?</v>
      </c>
    </row>
    <row r="2017" spans="1:4" x14ac:dyDescent="0.2">
      <c r="A2017" s="5">
        <v>1956</v>
      </c>
      <c r="B2017" s="138">
        <f>'Cap Outlay Deprec 26'!D12</f>
        <v>685063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1145731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79303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79303</v>
      </c>
      <c r="C2025" s="2" t="s">
        <v>573</v>
      </c>
      <c r="D2025" s="2" t="str">
        <f t="shared" si="30"/>
        <v>Error?</v>
      </c>
    </row>
    <row r="2026" spans="1:4" x14ac:dyDescent="0.2">
      <c r="A2026" s="5">
        <v>1965</v>
      </c>
      <c r="B2026" s="138">
        <f>'Cap Outlay Deprec 26'!F5</f>
        <v>165000</v>
      </c>
      <c r="C2026" s="2" t="s">
        <v>573</v>
      </c>
      <c r="D2026" s="2" t="str">
        <f t="shared" si="30"/>
        <v>Error?</v>
      </c>
    </row>
    <row r="2027" spans="1:4" x14ac:dyDescent="0.2">
      <c r="A2027" s="5">
        <v>1966</v>
      </c>
      <c r="B2027" s="138">
        <f>'Cap Outlay Deprec 26'!F8</f>
        <v>14834692</v>
      </c>
      <c r="C2027" s="2" t="s">
        <v>573</v>
      </c>
      <c r="D2027" s="2" t="str">
        <f t="shared" si="30"/>
        <v>Error?</v>
      </c>
    </row>
    <row r="2028" spans="1:4" x14ac:dyDescent="0.2">
      <c r="A2028" s="5">
        <v>1967</v>
      </c>
      <c r="B2028" s="138">
        <f>'Cap Outlay Deprec 26'!F10</f>
        <v>1047616</v>
      </c>
      <c r="C2028" s="2" t="s">
        <v>573</v>
      </c>
      <c r="D2028" s="2" t="str">
        <f t="shared" si="30"/>
        <v>Error?</v>
      </c>
    </row>
    <row r="2029" spans="1:4" x14ac:dyDescent="0.2">
      <c r="A2029" s="5">
        <v>1968</v>
      </c>
      <c r="B2029" s="138">
        <f>'Cap Outlay Deprec 26'!F12</f>
        <v>3717566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20542232</v>
      </c>
      <c r="C2031" s="2" t="s">
        <v>573</v>
      </c>
      <c r="D2031" s="2" t="str">
        <f t="shared" si="30"/>
        <v>Error?</v>
      </c>
    </row>
    <row r="2032" spans="1:4" x14ac:dyDescent="0.2">
      <c r="A2032" s="10">
        <v>1971</v>
      </c>
      <c r="D2032" s="2" t="str">
        <f t="shared" si="30"/>
        <v>OK</v>
      </c>
    </row>
    <row r="2033" spans="1:4" x14ac:dyDescent="0.2">
      <c r="A2033" s="5">
        <v>1972</v>
      </c>
      <c r="B2033" s="138">
        <f>'Cap Outlay Deprec 26'!H8</f>
        <v>9535212</v>
      </c>
      <c r="D2033" s="2" t="str">
        <f t="shared" si="30"/>
        <v>Error?</v>
      </c>
    </row>
    <row r="2034" spans="1:4" x14ac:dyDescent="0.2">
      <c r="A2034" s="5">
        <v>1973</v>
      </c>
      <c r="B2034" s="138">
        <f>'Cap Outlay Deprec 26'!H10</f>
        <v>705267</v>
      </c>
      <c r="D2034" s="2" t="str">
        <f t="shared" si="30"/>
        <v>Error?</v>
      </c>
    </row>
    <row r="2035" spans="1:4" x14ac:dyDescent="0.2">
      <c r="A2035" s="5">
        <v>1974</v>
      </c>
      <c r="B2035" s="138">
        <f>'Cap Outlay Deprec 26'!H12</f>
        <v>1781735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12022214</v>
      </c>
      <c r="C2037" s="2" t="s">
        <v>573</v>
      </c>
      <c r="D2037" s="2" t="str">
        <f t="shared" si="30"/>
        <v>Error?</v>
      </c>
    </row>
    <row r="2038" spans="1:4" x14ac:dyDescent="0.2">
      <c r="A2038" s="10">
        <v>1977</v>
      </c>
      <c r="D2038" s="2" t="str">
        <f t="shared" si="30"/>
        <v>OK</v>
      </c>
    </row>
    <row r="2039" spans="1:4" x14ac:dyDescent="0.2">
      <c r="A2039" s="5">
        <v>1978</v>
      </c>
      <c r="B2039" s="138">
        <f>'Cap Outlay Deprec 26'!I8</f>
        <v>358044</v>
      </c>
      <c r="D2039" s="2" t="str">
        <f t="shared" si="30"/>
        <v>Error?</v>
      </c>
    </row>
    <row r="2040" spans="1:4" x14ac:dyDescent="0.2">
      <c r="A2040" s="5">
        <v>1979</v>
      </c>
      <c r="B2040" s="138">
        <f>'Cap Outlay Deprec 26'!I10</f>
        <v>27196</v>
      </c>
      <c r="D2040" s="2" t="str">
        <f t="shared" si="30"/>
        <v>Error?</v>
      </c>
    </row>
    <row r="2041" spans="1:4" x14ac:dyDescent="0.2">
      <c r="A2041" s="5">
        <v>1980</v>
      </c>
      <c r="B2041" s="138">
        <f>'Cap Outlay Deprec 26'!I12</f>
        <v>263949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649189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67677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67677</v>
      </c>
      <c r="C2049" s="2" t="s">
        <v>573</v>
      </c>
      <c r="D2049" s="2" t="str">
        <f t="shared" si="31"/>
        <v>Error?</v>
      </c>
    </row>
    <row r="2050" spans="1:4" x14ac:dyDescent="0.2">
      <c r="A2050" s="10">
        <v>1989</v>
      </c>
      <c r="D2050" s="2" t="str">
        <f t="shared" si="31"/>
        <v>OK</v>
      </c>
    </row>
    <row r="2051" spans="1:4" x14ac:dyDescent="0.2">
      <c r="A2051" s="5">
        <v>1990</v>
      </c>
      <c r="B2051" s="138">
        <f>'Cap Outlay Deprec 26'!K8</f>
        <v>9893256</v>
      </c>
      <c r="C2051" s="2" t="s">
        <v>573</v>
      </c>
      <c r="D2051" s="2" t="str">
        <f t="shared" si="31"/>
        <v>Error?</v>
      </c>
    </row>
    <row r="2052" spans="1:4" x14ac:dyDescent="0.2">
      <c r="A2052" s="5">
        <v>1991</v>
      </c>
      <c r="B2052" s="138">
        <f>'Cap Outlay Deprec 26'!K10</f>
        <v>732463</v>
      </c>
      <c r="C2052" s="2" t="s">
        <v>573</v>
      </c>
      <c r="D2052" s="2" t="str">
        <f t="shared" si="31"/>
        <v>Error?</v>
      </c>
    </row>
    <row r="2053" spans="1:4" x14ac:dyDescent="0.2">
      <c r="A2053" s="5">
        <v>1992</v>
      </c>
      <c r="B2053" s="138">
        <f>'Cap Outlay Deprec 26'!K12</f>
        <v>1978007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12603726</v>
      </c>
      <c r="C2055" s="2" t="s">
        <v>573</v>
      </c>
      <c r="D2055" s="2" t="str">
        <f t="shared" si="31"/>
        <v>Error?</v>
      </c>
    </row>
    <row r="2056" spans="1:4" x14ac:dyDescent="0.2">
      <c r="A2056" s="5">
        <v>1995</v>
      </c>
      <c r="B2056" s="138">
        <f>'Cap Outlay Deprec 26'!L5</f>
        <v>165000</v>
      </c>
      <c r="C2056" s="2" t="s">
        <v>573</v>
      </c>
      <c r="D2056" s="2" t="str">
        <f t="shared" si="31"/>
        <v>Error?</v>
      </c>
    </row>
    <row r="2057" spans="1:4" x14ac:dyDescent="0.2">
      <c r="A2057" s="5">
        <v>1996</v>
      </c>
      <c r="B2057" s="138">
        <f>'Cap Outlay Deprec 26'!L8</f>
        <v>4941436</v>
      </c>
      <c r="C2057" s="2" t="s">
        <v>573</v>
      </c>
      <c r="D2057" s="2" t="str">
        <f t="shared" si="31"/>
        <v>Error?</v>
      </c>
    </row>
    <row r="2058" spans="1:4" x14ac:dyDescent="0.2">
      <c r="A2058" s="5">
        <v>1997</v>
      </c>
      <c r="B2058" s="138">
        <f>'Cap Outlay Deprec 26'!L10</f>
        <v>315153</v>
      </c>
      <c r="C2058" s="2" t="s">
        <v>573</v>
      </c>
      <c r="D2058" s="2" t="str">
        <f t="shared" si="31"/>
        <v>Error?</v>
      </c>
    </row>
    <row r="2059" spans="1:4" x14ac:dyDescent="0.2">
      <c r="A2059" s="5">
        <v>1998</v>
      </c>
      <c r="B2059" s="138">
        <f>'Cap Outlay Deprec 26'!L12</f>
        <v>1739559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7938506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11000303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11000303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31342799</v>
      </c>
      <c r="C2551" s="2" t="s">
        <v>573</v>
      </c>
      <c r="D2551" s="2" t="str">
        <f t="shared" si="38"/>
        <v>Error?</v>
      </c>
    </row>
    <row r="2552" spans="1:4" x14ac:dyDescent="0.2">
      <c r="A2552" s="10">
        <v>2491</v>
      </c>
      <c r="D2552" s="2" t="str">
        <f t="shared" si="38"/>
        <v>OK</v>
      </c>
    </row>
    <row r="2553" spans="1:4" x14ac:dyDescent="0.2">
      <c r="A2553" s="5">
        <v>2492</v>
      </c>
      <c r="B2553" s="138">
        <f>'Acct Summary 7-8'!C6</f>
        <v>3019792</v>
      </c>
      <c r="C2553" s="2" t="s">
        <v>573</v>
      </c>
      <c r="D2553" s="2" t="str">
        <f t="shared" si="38"/>
        <v>Error?</v>
      </c>
    </row>
    <row r="2554" spans="1:4" x14ac:dyDescent="0.2">
      <c r="A2554" s="5">
        <v>2493</v>
      </c>
      <c r="B2554" s="138">
        <f>'Acct Summary 7-8'!C7</f>
        <v>2160978</v>
      </c>
      <c r="C2554" s="2" t="s">
        <v>573</v>
      </c>
      <c r="D2554" s="2" t="str">
        <f t="shared" si="38"/>
        <v>Error?</v>
      </c>
    </row>
    <row r="2555" spans="1:4" x14ac:dyDescent="0.2">
      <c r="A2555" s="5">
        <v>2494</v>
      </c>
      <c r="B2555" s="138">
        <f>'Acct Summary 7-8'!C8</f>
        <v>45572559</v>
      </c>
      <c r="C2555" s="2" t="s">
        <v>573</v>
      </c>
      <c r="D2555" s="2" t="str">
        <f t="shared" si="38"/>
        <v>Error?</v>
      </c>
    </row>
    <row r="2556" spans="1:4" x14ac:dyDescent="0.2">
      <c r="A2556" s="5">
        <v>2495</v>
      </c>
      <c r="B2556" s="138">
        <f>'Acct Summary 7-8'!C12</f>
        <v>25142165</v>
      </c>
      <c r="C2556" s="2" t="s">
        <v>573</v>
      </c>
      <c r="D2556" s="2" t="str">
        <f t="shared" si="38"/>
        <v>Error?</v>
      </c>
    </row>
    <row r="2557" spans="1:4" x14ac:dyDescent="0.2">
      <c r="A2557" s="5">
        <v>2496</v>
      </c>
      <c r="B2557" s="138">
        <f>'Acct Summary 7-8'!C13</f>
        <v>10099473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11000303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46241941</v>
      </c>
      <c r="C2561" s="2" t="s">
        <v>573</v>
      </c>
      <c r="D2561" s="2" t="str">
        <f t="shared" si="39"/>
        <v>Error?</v>
      </c>
    </row>
    <row r="2562" spans="1:4" x14ac:dyDescent="0.2">
      <c r="A2562" s="5">
        <v>2501</v>
      </c>
      <c r="B2562" s="138">
        <f>'Acct Summary 7-8'!C20</f>
        <v>-669382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2913432</v>
      </c>
      <c r="C2591" s="2" t="s">
        <v>573</v>
      </c>
      <c r="D2591" s="2" t="str">
        <f t="shared" si="39"/>
        <v>Error?</v>
      </c>
    </row>
    <row r="2592" spans="1:4" x14ac:dyDescent="0.2">
      <c r="A2592" s="10">
        <v>2531</v>
      </c>
      <c r="D2592" s="2" t="str">
        <f t="shared" si="39"/>
        <v>OK</v>
      </c>
    </row>
    <row r="2593" spans="1:4" x14ac:dyDescent="0.2">
      <c r="A2593" s="5">
        <v>2532</v>
      </c>
      <c r="B2593" s="138">
        <f>'Acct Summary 7-8'!F6</f>
        <v>34054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2947486</v>
      </c>
      <c r="C2595" s="2" t="s">
        <v>573</v>
      </c>
      <c r="D2595" s="2" t="str">
        <f t="shared" si="39"/>
        <v>Error?</v>
      </c>
    </row>
    <row r="2596" spans="1:4" x14ac:dyDescent="0.2">
      <c r="A2596" s="5">
        <v>2535</v>
      </c>
      <c r="B2596" s="138">
        <f>'Acct Summary 7-8'!F13</f>
        <v>2887809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2887809</v>
      </c>
      <c r="C2600" s="2" t="s">
        <v>573</v>
      </c>
      <c r="D2600" s="2" t="str">
        <f t="shared" si="39"/>
        <v>Error?</v>
      </c>
    </row>
    <row r="2601" spans="1:4" x14ac:dyDescent="0.2">
      <c r="A2601" s="5">
        <v>2540</v>
      </c>
      <c r="B2601" s="138">
        <f>'Acct Summary 7-8'!F20</f>
        <v>59677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777358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46333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46333</v>
      </c>
      <c r="D2914" s="2" t="str">
        <f t="shared" si="44"/>
        <v>Error?</v>
      </c>
    </row>
    <row r="2915" spans="1:4" x14ac:dyDescent="0.2">
      <c r="A2915" s="10">
        <v>2854</v>
      </c>
      <c r="D2915" s="2" t="str">
        <f t="shared" si="44"/>
        <v>OK</v>
      </c>
    </row>
    <row r="2916" spans="1:4" x14ac:dyDescent="0.2">
      <c r="A2916" s="5">
        <v>2855</v>
      </c>
      <c r="B2916" s="138">
        <f>'Assets-Liab 5-6'!L34</f>
        <v>46333</v>
      </c>
      <c r="C2916" s="2" t="s">
        <v>573</v>
      </c>
      <c r="D2916" s="2" t="str">
        <f t="shared" si="44"/>
        <v>Error?</v>
      </c>
    </row>
    <row r="2917" spans="1:4" x14ac:dyDescent="0.2">
      <c r="A2917" s="5">
        <v>2856</v>
      </c>
      <c r="B2917" s="138">
        <f>'Assets-Liab 5-6'!L41</f>
        <v>46333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10128593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871710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10128593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871710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-669382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59677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17238026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5297900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1120733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180891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446462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168019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24461579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9048990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12315104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46333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408562</v>
      </c>
      <c r="D3451" s="2" t="str">
        <f t="shared" si="52"/>
        <v>Error?</v>
      </c>
    </row>
    <row r="3452" spans="1:4" x14ac:dyDescent="0.2">
      <c r="A3452" s="5">
        <v>3391</v>
      </c>
      <c r="B3452" s="138">
        <f>'Cap Outlay Deprec 26'!D15</f>
        <v>368796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777358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777358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106873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8180277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53752836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2947486</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8180277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54422218</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2887809</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19699285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199424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425884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79602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581702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30607488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30607488</v>
      </c>
      <c r="C5087" s="2" t="s">
        <v>573</v>
      </c>
      <c r="D5087" s="2" t="str">
        <f t="shared" si="78"/>
        <v>Error?</v>
      </c>
    </row>
    <row r="5088" spans="1:4" x14ac:dyDescent="0.2">
      <c r="A5088" s="5">
        <v>5027</v>
      </c>
      <c r="B5088" s="138">
        <f>'Revenues 9-14'!C65</f>
        <v>358182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358182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5072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26429</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5269</v>
      </c>
      <c r="D5113" s="2" t="str">
        <f t="shared" si="78"/>
        <v>Error?</v>
      </c>
    </row>
    <row r="5114" spans="1:4" x14ac:dyDescent="0.2">
      <c r="A5114" s="5">
        <v>5053</v>
      </c>
      <c r="B5114" s="138">
        <f>'Revenues 9-14'!C96</f>
        <v>39513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226316</v>
      </c>
      <c r="D5119" s="2" t="str">
        <f t="shared" ref="D5119:D5182" si="79">IF(ISBLANK(B5119),"OK",IF(A5119-B5119=0,"OK","Error?"))</f>
        <v>Error?</v>
      </c>
    </row>
    <row r="5120" spans="1:4" x14ac:dyDescent="0.2">
      <c r="A5120" s="5">
        <v>5059</v>
      </c>
      <c r="B5120" s="138">
        <f>'Revenues 9-14'!C108</f>
        <v>350700</v>
      </c>
      <c r="C5120" s="2" t="s">
        <v>573</v>
      </c>
      <c r="D5120" s="2" t="str">
        <f t="shared" si="79"/>
        <v>Error?</v>
      </c>
    </row>
    <row r="5121" spans="1:4" x14ac:dyDescent="0.2">
      <c r="A5121" s="5">
        <v>5060</v>
      </c>
      <c r="B5121" s="138">
        <f>'Revenues 9-14'!C109</f>
        <v>31342799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9048990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9048990</v>
      </c>
      <c r="C5125" s="2" t="s">
        <v>573</v>
      </c>
      <c r="D5125" s="2" t="str">
        <f t="shared" si="79"/>
        <v>Error?</v>
      </c>
    </row>
    <row r="5126" spans="1:4" x14ac:dyDescent="0.2">
      <c r="A5126" s="5">
        <v>5065</v>
      </c>
      <c r="B5126" s="138">
        <f>'Revenues 9-14'!C117</f>
        <v>2435978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2435978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2112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583814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3019792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78178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38110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116288</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1419382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1419382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2160978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2160978</v>
      </c>
      <c r="C5326" s="2" t="s">
        <v>573</v>
      </c>
      <c r="D5326" s="2" t="str">
        <f t="shared" si="82"/>
        <v>Error?</v>
      </c>
    </row>
    <row r="5327" spans="1:5" x14ac:dyDescent="0.2">
      <c r="A5327" s="5">
        <v>5266</v>
      </c>
      <c r="B5327" s="138">
        <f>'Revenues 9-14'!C268</f>
        <v>45572559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2643603</v>
      </c>
      <c r="D5574" s="2" t="str">
        <f t="shared" si="86"/>
        <v>Error?</v>
      </c>
    </row>
    <row r="5575" spans="1:4" x14ac:dyDescent="0.2">
      <c r="A5575" s="5">
        <v>5514</v>
      </c>
      <c r="B5575" s="138">
        <f>'Revenues 9-14'!F57</f>
        <v>269829</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2913432</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2913432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34054</v>
      </c>
      <c r="D5617" s="2" t="str">
        <f t="shared" si="86"/>
        <v>Error?</v>
      </c>
    </row>
    <row r="5618" spans="1:5" x14ac:dyDescent="0.2">
      <c r="A5618" s="5">
        <v>5557</v>
      </c>
      <c r="B5618" s="138">
        <f>'Revenues 9-14'!F155</f>
        <v>34054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34054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34054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2947486</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21357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8624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1382012</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4258494</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1446007</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3494031</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813880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39409</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1382012</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2625196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24676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17703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65</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-669382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59677</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-3.4116247690822443E-2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0.75864129260262125</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9548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9548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382</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382</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548</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548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57600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58530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68078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68078</v>
      </c>
      <c r="D7624" s="2" t="str">
        <f t="shared" si="124"/>
        <v>Error?</v>
      </c>
      <c r="E7624" s="2" t="s">
        <v>19</v>
      </c>
    </row>
    <row r="7625" spans="1:5" x14ac:dyDescent="0.2">
      <c r="A7625">
        <f t="shared" si="123"/>
        <v>7564</v>
      </c>
      <c r="B7625" s="138">
        <f>'Cap Outlay Deprec 26'!I17</f>
        <v>6807.8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655996.80000000005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8426</v>
      </c>
      <c r="D7759" s="2" t="str">
        <f t="shared" si="127"/>
        <v>Error?</v>
      </c>
      <c r="E7759" s="4" t="s">
        <v>1333</v>
      </c>
    </row>
    <row r="7760" spans="1:6" x14ac:dyDescent="0.2">
      <c r="A7760">
        <v>7699</v>
      </c>
      <c r="B7760" s="138">
        <f>'Aud Quest 2'!J90</f>
        <v>8426</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3862341</v>
      </c>
      <c r="D7797" s="2" t="str">
        <f t="shared" si="127"/>
        <v>Error?</v>
      </c>
      <c r="E7797" s="4" t="s">
        <v>1901</v>
      </c>
    </row>
    <row r="7798" spans="1:5" x14ac:dyDescent="0.2">
      <c r="A7798">
        <v>7737</v>
      </c>
      <c r="B7798" s="138">
        <f>'Contracts Paid in CY 29'!F141</f>
        <v>598257</v>
      </c>
      <c r="D7798" s="2" t="str">
        <f t="shared" si="127"/>
        <v>Error?</v>
      </c>
      <c r="E7798" s="4" t="s">
        <v>1901</v>
      </c>
    </row>
    <row r="7799" spans="1:5" x14ac:dyDescent="0.2">
      <c r="A7799">
        <v>7738</v>
      </c>
      <c r="B7799" s="138">
        <f>'Contracts Paid in CY 29'!G141</f>
        <v>3264084</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39997558519241921"/>
    <pageSetUpPr fitToPage="1"/>
  </sheetPr>
  <dimension ref="A1:AC59"/>
  <sheetViews>
    <sheetView showGridLines="0" showZeros="0" view="pageBreakPreview" topLeftCell="A4" zoomScaleNormal="110" zoomScaleSheetLayoutView="100" workbookViewId="0">
      <selection activeCell="A7" sqref="A7:D7"/>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91" t="s">
        <v>1191</v>
      </c>
      <c r="B2" s="2491"/>
      <c r="C2" s="2491"/>
      <c r="D2" s="2491"/>
      <c r="E2" s="2491"/>
      <c r="F2" s="2491"/>
      <c r="G2" s="2491"/>
      <c r="H2" s="2491"/>
      <c r="I2" s="2491"/>
      <c r="J2" s="2491"/>
      <c r="K2" s="2491"/>
      <c r="L2" s="2491"/>
    </row>
    <row r="3" spans="1:29" ht="13.5" customHeight="1" x14ac:dyDescent="0.2">
      <c r="A3" s="2477" t="s">
        <v>1190</v>
      </c>
      <c r="B3" s="2477"/>
      <c r="C3" s="2477"/>
      <c r="D3" s="2477"/>
      <c r="E3" s="2477"/>
      <c r="F3" s="2477"/>
      <c r="G3" s="2477"/>
      <c r="H3" s="2477"/>
      <c r="I3" s="2477"/>
      <c r="J3" s="2477"/>
      <c r="K3" s="2477"/>
      <c r="L3" s="2477"/>
    </row>
    <row r="4" spans="1:29" ht="13.5" customHeight="1" x14ac:dyDescent="0.2">
      <c r="A4" s="2491" t="s">
        <v>1986</v>
      </c>
      <c r="B4" s="2508"/>
      <c r="C4" s="2508"/>
      <c r="D4" s="2508"/>
      <c r="E4" s="2508"/>
      <c r="F4" s="2508"/>
      <c r="G4" s="2508"/>
      <c r="H4" s="2508"/>
      <c r="I4" s="2508"/>
      <c r="J4" s="2508"/>
      <c r="K4" s="2508"/>
      <c r="L4" s="2508"/>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71" t="str">
        <f>COVER!A17</f>
        <v>NW Suburban Spec Educ Org</v>
      </c>
      <c r="B7" s="2472"/>
      <c r="C7" s="2472"/>
      <c r="D7" s="2509"/>
      <c r="E7" s="2510">
        <f>COVER!A13</f>
        <v>5016805060</v>
      </c>
      <c r="F7" s="2511"/>
      <c r="G7" s="2478" t="str">
        <f>COVER!T23</f>
        <v>066-005142</v>
      </c>
      <c r="H7" s="2479"/>
      <c r="I7" s="2479"/>
      <c r="J7" s="2479"/>
      <c r="K7" s="2479"/>
      <c r="L7" s="2480"/>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81"/>
      <c r="B9" s="2482"/>
      <c r="C9" s="2482"/>
      <c r="D9" s="2482"/>
      <c r="E9" s="2482"/>
      <c r="F9" s="2483"/>
      <c r="G9" s="2484" t="str">
        <f>COVER!T13</f>
        <v>EDER, CASELLA &amp; CO.</v>
      </c>
      <c r="H9" s="2485"/>
      <c r="I9" s="2485"/>
      <c r="J9" s="2485"/>
      <c r="K9" s="2485"/>
      <c r="L9" s="2486"/>
    </row>
    <row r="10" spans="1:29" ht="13.5" customHeight="1" x14ac:dyDescent="0.2">
      <c r="A10" s="2468">
        <f>COVER!A38</f>
        <v>0</v>
      </c>
      <c r="B10" s="2469"/>
      <c r="C10" s="2469"/>
      <c r="D10" s="2469"/>
      <c r="E10" s="2469"/>
      <c r="F10" s="2470"/>
      <c r="G10" s="2484" t="str">
        <f>COVER!T17</f>
        <v>5400 WEST ELM STREET, SUITE 203</v>
      </c>
      <c r="H10" s="2497"/>
      <c r="I10" s="2497"/>
      <c r="J10" s="2497"/>
      <c r="K10" s="2497"/>
      <c r="L10" s="2498"/>
    </row>
    <row r="11" spans="1:29" ht="13.5" customHeight="1" x14ac:dyDescent="0.2">
      <c r="A11" s="1157" t="s">
        <v>1519</v>
      </c>
      <c r="B11" s="1158"/>
      <c r="C11" s="1159"/>
      <c r="D11" s="1164"/>
      <c r="E11" s="1159"/>
      <c r="F11" s="1163"/>
      <c r="G11" s="2484" t="str">
        <f>COVER!T19</f>
        <v>MCHENRY</v>
      </c>
      <c r="H11" s="2497"/>
      <c r="I11" s="2497"/>
      <c r="J11" s="2497"/>
      <c r="K11" s="2497"/>
      <c r="L11" s="2498"/>
    </row>
    <row r="12" spans="1:29" ht="13.5" customHeight="1" x14ac:dyDescent="0.2">
      <c r="A12" s="2502" t="s">
        <v>1518</v>
      </c>
      <c r="B12" s="2503"/>
      <c r="C12" s="2503"/>
      <c r="D12" s="2503"/>
      <c r="E12" s="2503"/>
      <c r="F12" s="2504"/>
      <c r="G12" s="2499"/>
      <c r="H12" s="2500"/>
      <c r="I12" s="2500"/>
      <c r="J12" s="2500"/>
      <c r="K12" s="2500"/>
      <c r="L12" s="2501"/>
    </row>
    <row r="13" spans="1:29" ht="13.5" customHeight="1" x14ac:dyDescent="0.2">
      <c r="A13" s="2484"/>
      <c r="B13" s="2497"/>
      <c r="C13" s="2497"/>
      <c r="D13" s="2497"/>
      <c r="E13" s="2497"/>
      <c r="F13" s="2498"/>
      <c r="G13" s="2492" t="s">
        <v>1520</v>
      </c>
      <c r="H13" s="2493"/>
      <c r="I13" s="2505" t="str">
        <f>COVER!T25</f>
        <v>CPAS@EDERCASELLA.COM</v>
      </c>
      <c r="J13" s="2506"/>
      <c r="K13" s="2506"/>
      <c r="L13" s="2507"/>
    </row>
    <row r="14" spans="1:29" ht="13.5" customHeight="1" x14ac:dyDescent="0.2">
      <c r="A14" s="2484" t="str">
        <f>COVER!A19</f>
        <v>799 W. KENSINGTON ROAD</v>
      </c>
      <c r="B14" s="2497"/>
      <c r="C14" s="2497"/>
      <c r="D14" s="2497"/>
      <c r="E14" s="2497"/>
      <c r="F14" s="2498"/>
      <c r="G14" s="1168" t="s">
        <v>1185</v>
      </c>
      <c r="H14" s="1166"/>
      <c r="I14" s="1166"/>
      <c r="J14" s="1166"/>
      <c r="K14" s="1166"/>
      <c r="L14" s="1167"/>
    </row>
    <row r="15" spans="1:29" ht="13.5" customHeight="1" x14ac:dyDescent="0.2">
      <c r="A15" s="2484" t="str">
        <f>COVER!A21</f>
        <v>MOUNT PROSPECT</v>
      </c>
      <c r="B15" s="2497"/>
      <c r="C15" s="2497"/>
      <c r="D15" s="2497"/>
      <c r="E15" s="2497"/>
      <c r="F15" s="2498"/>
      <c r="G15" s="2494" t="str">
        <f>COVER!T15</f>
        <v>KEVIN SMITH</v>
      </c>
      <c r="H15" s="2495"/>
      <c r="I15" s="2495"/>
      <c r="J15" s="2495"/>
      <c r="K15" s="2495"/>
      <c r="L15" s="2496"/>
    </row>
    <row r="16" spans="1:29" ht="12.2" customHeight="1" x14ac:dyDescent="0.2">
      <c r="A16" s="2474" t="str">
        <f>COVER!A25</f>
        <v>60056-1111</v>
      </c>
      <c r="B16" s="2475"/>
      <c r="C16" s="2475"/>
      <c r="D16" s="2475"/>
      <c r="E16" s="2475"/>
      <c r="F16" s="2476"/>
      <c r="G16" s="2487"/>
      <c r="H16" s="2488"/>
      <c r="I16" s="2488"/>
      <c r="J16" s="2488"/>
      <c r="K16" s="2488"/>
      <c r="L16" s="2489"/>
    </row>
    <row r="17" spans="1:13" ht="12.2" customHeight="1" x14ac:dyDescent="0.2">
      <c r="A17" s="2490"/>
      <c r="B17" s="2475"/>
      <c r="C17" s="2475"/>
      <c r="D17" s="2475"/>
      <c r="E17" s="2475"/>
      <c r="F17" s="2476"/>
      <c r="G17" s="1168" t="s">
        <v>1184</v>
      </c>
      <c r="H17" s="1166"/>
      <c r="I17" s="1166"/>
      <c r="J17" s="1166"/>
      <c r="K17" s="1170" t="s">
        <v>1183</v>
      </c>
      <c r="L17" s="1163"/>
      <c r="M17" s="1156"/>
    </row>
    <row r="18" spans="1:13" ht="12.2" customHeight="1" x14ac:dyDescent="0.2">
      <c r="A18" s="2468"/>
      <c r="B18" s="2469"/>
      <c r="C18" s="2469"/>
      <c r="D18" s="2469"/>
      <c r="E18" s="2469"/>
      <c r="F18" s="2470"/>
      <c r="G18" s="2471" t="str">
        <f>COVER!T21</f>
        <v>815-344-1300</v>
      </c>
      <c r="H18" s="2472"/>
      <c r="I18" s="2472"/>
      <c r="J18" s="2472"/>
      <c r="K18" s="2471" t="str">
        <f>COVER!X21</f>
        <v>815-344-1320</v>
      </c>
      <c r="L18" s="2473"/>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2095</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2095</v>
      </c>
      <c r="C26" s="1175" t="s">
        <v>1699</v>
      </c>
    </row>
    <row r="27" spans="1:13" s="1171" customFormat="1" ht="9" customHeight="1" x14ac:dyDescent="0.2">
      <c r="B27" s="1176"/>
      <c r="C27" s="1175"/>
    </row>
    <row r="28" spans="1:13" s="1171" customFormat="1" ht="12.2" customHeight="1" x14ac:dyDescent="0.2">
      <c r="A28" s="1178"/>
      <c r="B28" s="1174" t="s">
        <v>2095</v>
      </c>
      <c r="C28" s="1175" t="s">
        <v>1700</v>
      </c>
    </row>
    <row r="29" spans="1:13" s="1171" customFormat="1" ht="9" customHeight="1" x14ac:dyDescent="0.2">
      <c r="A29" s="1178"/>
      <c r="B29" s="1176"/>
      <c r="C29" s="1175"/>
    </row>
    <row r="30" spans="1:13" s="1171" customFormat="1" ht="12.2" customHeight="1" x14ac:dyDescent="0.2">
      <c r="B30" s="1174" t="s">
        <v>2095</v>
      </c>
      <c r="C30" s="1175" t="s">
        <v>1562</v>
      </c>
      <c r="D30" s="1169"/>
      <c r="E30" s="1169"/>
    </row>
    <row r="31" spans="1:13" s="1171" customFormat="1" ht="9" customHeight="1" x14ac:dyDescent="0.2">
      <c r="B31" s="1176"/>
      <c r="C31" s="1175"/>
      <c r="D31" s="1169"/>
      <c r="E31" s="1169"/>
    </row>
    <row r="32" spans="1:13" s="1171" customFormat="1" ht="12.2" customHeight="1" x14ac:dyDescent="0.2">
      <c r="B32" s="1174" t="s">
        <v>2095</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2095</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2095</v>
      </c>
      <c r="C38" s="1175" t="s">
        <v>1566</v>
      </c>
    </row>
    <row r="39" spans="1:8" ht="9" customHeight="1" x14ac:dyDescent="0.2">
      <c r="B39" s="1176"/>
      <c r="C39" s="1179"/>
    </row>
    <row r="40" spans="1:8" s="1171" customFormat="1" ht="13.5" customHeight="1" x14ac:dyDescent="0.2">
      <c r="B40" s="1174" t="s">
        <v>2095</v>
      </c>
      <c r="C40" s="1175" t="s">
        <v>1567</v>
      </c>
    </row>
    <row r="41" spans="1:8" ht="9" customHeight="1" x14ac:dyDescent="0.2">
      <c r="A41" s="1180"/>
      <c r="B41" s="1176"/>
      <c r="C41" s="1179"/>
    </row>
    <row r="42" spans="1:8" s="1171" customFormat="1" ht="13.5" customHeight="1" x14ac:dyDescent="0.2">
      <c r="B42" s="1174" t="s">
        <v>2095</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5"/>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39997558519241921"/>
    <pageSetUpPr fitToPage="1"/>
  </sheetPr>
  <dimension ref="A1:K127"/>
  <sheetViews>
    <sheetView showGridLines="0" view="pageBreakPreview" topLeftCell="A10" zoomScaleNormal="125" zoomScaleSheetLayoutView="100"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12" t="str">
        <f>'Single Audit Cover'!A7</f>
        <v>NW Suburban Spec Educ Org</v>
      </c>
      <c r="B1" s="2508"/>
      <c r="C1" s="2508"/>
      <c r="D1" s="2508"/>
    </row>
    <row r="2" spans="1:11" s="1185" customFormat="1" ht="12.75" x14ac:dyDescent="0.2">
      <c r="A2" s="2513">
        <f>'Single Audit Cover'!E7</f>
        <v>5016805060</v>
      </c>
      <c r="B2" s="2514"/>
      <c r="C2" s="2514"/>
      <c r="D2" s="2514"/>
    </row>
    <row r="3" spans="1:11" s="1185" customFormat="1" ht="12.75" x14ac:dyDescent="0.2">
      <c r="A3" s="2512" t="s">
        <v>1513</v>
      </c>
      <c r="B3" s="2508"/>
      <c r="C3" s="2508"/>
      <c r="D3" s="2508"/>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39997558519241921"/>
  </sheetPr>
  <dimension ref="A1:E49"/>
  <sheetViews>
    <sheetView showGridLines="0" view="pageBreakPreview"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16" t="str">
        <f>'Single Audit Cover'!A7</f>
        <v>NW Suburban Spec Educ Org</v>
      </c>
      <c r="B1" s="2516"/>
      <c r="C1" s="2516"/>
      <c r="D1" s="2516"/>
      <c r="E1" s="2516"/>
    </row>
    <row r="2" spans="1:5" x14ac:dyDescent="0.2">
      <c r="A2" s="2517">
        <f>'Single Audit Cover'!E7</f>
        <v>5016805060</v>
      </c>
      <c r="B2" s="2517"/>
      <c r="C2" s="2517"/>
      <c r="D2" s="2517"/>
      <c r="E2" s="2517"/>
    </row>
    <row r="3" spans="1:5" ht="4.5" customHeight="1" x14ac:dyDescent="0.2"/>
    <row r="4" spans="1:5" x14ac:dyDescent="0.2">
      <c r="A4" s="2516" t="s">
        <v>1245</v>
      </c>
      <c r="B4" s="2516"/>
      <c r="C4" s="2516"/>
      <c r="D4" s="2516"/>
      <c r="E4" s="2516"/>
    </row>
    <row r="5" spans="1:5" x14ac:dyDescent="0.2">
      <c r="A5" s="2519" t="str">
        <f>'Single Audit Cover'!A4</f>
        <v>Year Ending June 30, 2019</v>
      </c>
      <c r="B5" s="2519"/>
      <c r="C5" s="2519"/>
      <c r="D5" s="2519"/>
      <c r="E5" s="2519"/>
    </row>
    <row r="6" spans="1:5" x14ac:dyDescent="0.2">
      <c r="A6" s="2516" t="s">
        <v>1244</v>
      </c>
      <c r="B6" s="2516"/>
      <c r="C6" s="2516"/>
      <c r="D6" s="2516"/>
      <c r="E6" s="2516"/>
    </row>
    <row r="8" spans="1:5" x14ac:dyDescent="0.2">
      <c r="A8" s="1230" t="s">
        <v>1243</v>
      </c>
    </row>
    <row r="10" spans="1:5" x14ac:dyDescent="0.2">
      <c r="A10" s="1231" t="s">
        <v>1242</v>
      </c>
      <c r="B10" s="1232" t="s">
        <v>1241</v>
      </c>
      <c r="C10" s="1232"/>
      <c r="D10" s="1233">
        <f>SUM('Acct Summary 7-8'!C7:K7)</f>
        <v>2160978</v>
      </c>
    </row>
    <row r="11" spans="1:5" ht="18" customHeight="1" x14ac:dyDescent="0.2">
      <c r="A11" s="1231" t="s">
        <v>1240</v>
      </c>
      <c r="B11" s="1232"/>
      <c r="C11" s="1232"/>
    </row>
    <row r="12" spans="1:5" x14ac:dyDescent="0.2">
      <c r="A12" s="1231" t="s">
        <v>1239</v>
      </c>
      <c r="B12" s="1232" t="s">
        <v>1238</v>
      </c>
      <c r="C12" s="1232"/>
      <c r="D12" s="1234">
        <f>SUM('Revenues 9-14'!C112:D112,'Revenues 9-14'!F112:G112)</f>
        <v>9048990</v>
      </c>
    </row>
    <row r="13" spans="1:5" x14ac:dyDescent="0.2">
      <c r="A13" s="1231" t="s">
        <v>1237</v>
      </c>
      <c r="B13" s="1232"/>
      <c r="C13" s="1232"/>
    </row>
    <row r="14" spans="1:5" x14ac:dyDescent="0.2">
      <c r="A14" s="1231" t="s">
        <v>1727</v>
      </c>
      <c r="B14" s="1232"/>
      <c r="C14" s="1232"/>
      <c r="D14" s="1234">
        <f>'ICR Computation 30'!E11</f>
        <v>8624</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-425884</v>
      </c>
    </row>
    <row r="19" spans="1:4" ht="13.5" thickBot="1" x14ac:dyDescent="0.25">
      <c r="A19" s="1235" t="s">
        <v>1235</v>
      </c>
      <c r="D19" s="1236">
        <f>SUM(D10:D17)</f>
        <v>10792708</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18"/>
      <c r="B24" s="2518"/>
      <c r="D24" s="1238"/>
    </row>
    <row r="25" spans="1:4" x14ac:dyDescent="0.2">
      <c r="A25" s="2515"/>
      <c r="B25" s="2515"/>
      <c r="D25" s="1238"/>
    </row>
    <row r="26" spans="1:4" x14ac:dyDescent="0.2">
      <c r="A26" s="2515"/>
      <c r="B26" s="2515"/>
      <c r="D26" s="1238"/>
    </row>
    <row r="27" spans="1:4" x14ac:dyDescent="0.2">
      <c r="A27" s="2515"/>
      <c r="B27" s="2515"/>
      <c r="D27" s="1238"/>
    </row>
    <row r="28" spans="1:4" x14ac:dyDescent="0.2">
      <c r="A28" s="2515"/>
      <c r="B28" s="2515"/>
      <c r="D28" s="1238"/>
    </row>
    <row r="29" spans="1:4" x14ac:dyDescent="0.2">
      <c r="A29" s="2515"/>
      <c r="B29" s="2515"/>
      <c r="D29" s="1238"/>
    </row>
    <row r="30" spans="1:4" x14ac:dyDescent="0.2">
      <c r="A30" s="2515"/>
      <c r="B30" s="2515"/>
      <c r="D30" s="1238"/>
    </row>
    <row r="32" spans="1:4" x14ac:dyDescent="0.2">
      <c r="A32" s="1230" t="s">
        <v>1233</v>
      </c>
      <c r="D32" s="1233">
        <f>SUM(D19:D30)</f>
        <v>10792708</v>
      </c>
    </row>
    <row r="33" spans="1:4" x14ac:dyDescent="0.2">
      <c r="D33" s="1239"/>
    </row>
    <row r="34" spans="1:4" x14ac:dyDescent="0.2">
      <c r="A34" s="317" t="s">
        <v>1232</v>
      </c>
    </row>
    <row r="35" spans="1:4" x14ac:dyDescent="0.2">
      <c r="A35" s="317" t="s">
        <v>1231</v>
      </c>
      <c r="B35" s="1228" t="s">
        <v>1230</v>
      </c>
      <c r="D35" s="1240">
        <v>10792708</v>
      </c>
    </row>
    <row r="37" spans="1:4" x14ac:dyDescent="0.2">
      <c r="A37" s="1230" t="s">
        <v>1229</v>
      </c>
    </row>
    <row r="39" spans="1:4" ht="13.35" customHeight="1" x14ac:dyDescent="0.2">
      <c r="A39" s="1237" t="s">
        <v>1228</v>
      </c>
    </row>
    <row r="40" spans="1:4" x14ac:dyDescent="0.2">
      <c r="A40" s="2515"/>
      <c r="B40" s="2515"/>
      <c r="D40" s="1238"/>
    </row>
    <row r="41" spans="1:4" x14ac:dyDescent="0.2">
      <c r="A41" s="2515"/>
      <c r="B41" s="2515"/>
      <c r="D41" s="1241"/>
    </row>
    <row r="42" spans="1:4" x14ac:dyDescent="0.2">
      <c r="A42" s="2515"/>
      <c r="B42" s="2515"/>
      <c r="D42" s="1241"/>
    </row>
    <row r="43" spans="1:4" x14ac:dyDescent="0.2">
      <c r="A43" s="2515"/>
      <c r="B43" s="2515"/>
      <c r="D43" s="1241"/>
    </row>
    <row r="44" spans="1:4" x14ac:dyDescent="0.2">
      <c r="A44" s="2515"/>
      <c r="B44" s="2515"/>
      <c r="D44" s="1241"/>
    </row>
    <row r="45" spans="1:4" x14ac:dyDescent="0.2">
      <c r="A45" s="2515"/>
      <c r="B45" s="2515"/>
      <c r="D45" s="1241"/>
    </row>
    <row r="47" spans="1:4" x14ac:dyDescent="0.2">
      <c r="B47" s="1242" t="s">
        <v>1227</v>
      </c>
      <c r="C47" s="1242"/>
      <c r="D47" s="1243">
        <f>SUM(D35:D45)</f>
        <v>10792708</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39997558519241921"/>
    <pageSetUpPr fitToPage="1"/>
  </sheetPr>
  <dimension ref="B1:N152"/>
  <sheetViews>
    <sheetView showGridLines="0" zoomScaleNormal="100" workbookViewId="0">
      <selection activeCell="B18" sqref="B18:M27"/>
    </sheetView>
  </sheetViews>
  <sheetFormatPr defaultColWidth="33.5703125" defaultRowHeight="12.75" x14ac:dyDescent="0.2"/>
  <cols>
    <col min="1" max="1" width="0.140625" style="317" customWidth="1"/>
    <col min="2" max="2" width="32.85546875" style="317" customWidth="1"/>
    <col min="3" max="3" width="8.7109375" style="1325" customWidth="1"/>
    <col min="4" max="4" width="12.7109375" style="1326"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77" t="str">
        <f>'Single Audit Cover'!A7</f>
        <v>NW Suburban Spec Educ Org</v>
      </c>
      <c r="C1" s="2520"/>
      <c r="D1" s="2520"/>
      <c r="E1" s="2520"/>
      <c r="F1" s="2520"/>
      <c r="G1" s="2520"/>
      <c r="H1" s="2520"/>
      <c r="I1" s="2520"/>
      <c r="J1" s="2520"/>
      <c r="K1" s="2520"/>
      <c r="L1" s="2520"/>
      <c r="M1" s="2520"/>
    </row>
    <row r="2" spans="2:14" ht="15" x14ac:dyDescent="0.2">
      <c r="B2" s="2521">
        <f>'Single Audit Cover'!E7</f>
        <v>5016805060</v>
      </c>
      <c r="C2" s="2521"/>
      <c r="D2" s="2521"/>
      <c r="E2" s="2521"/>
      <c r="F2" s="2521"/>
      <c r="G2" s="2521"/>
      <c r="H2" s="2521"/>
      <c r="I2" s="2521"/>
      <c r="J2" s="2521"/>
      <c r="K2" s="2521"/>
      <c r="L2" s="2521"/>
      <c r="M2" s="2521"/>
      <c r="N2" s="1272"/>
    </row>
    <row r="3" spans="2:14" ht="15" x14ac:dyDescent="0.2">
      <c r="B3" s="2522" t="s">
        <v>1219</v>
      </c>
      <c r="C3" s="2522"/>
      <c r="D3" s="2522"/>
      <c r="E3" s="2522"/>
      <c r="F3" s="2522"/>
      <c r="G3" s="2522"/>
      <c r="H3" s="2522"/>
      <c r="I3" s="2522"/>
      <c r="J3" s="2522"/>
      <c r="K3" s="2522"/>
      <c r="L3" s="2522"/>
      <c r="M3" s="2522"/>
      <c r="N3" s="1272"/>
    </row>
    <row r="4" spans="2:14" ht="15" x14ac:dyDescent="0.2">
      <c r="B4" s="2523" t="str">
        <f>'Single Audit Cover'!A4</f>
        <v>Year Ending June 30, 2019</v>
      </c>
      <c r="C4" s="2523"/>
      <c r="D4" s="2523"/>
      <c r="E4" s="2523"/>
      <c r="F4" s="2523"/>
      <c r="G4" s="2523"/>
      <c r="H4" s="2523"/>
      <c r="I4" s="2523"/>
      <c r="J4" s="2523"/>
      <c r="K4" s="2523"/>
      <c r="L4" s="2523"/>
      <c r="M4" s="2523"/>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6"/>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2004" t="s">
        <v>2069</v>
      </c>
      <c r="C11" s="2005"/>
      <c r="D11" s="2006"/>
      <c r="E11" s="2002"/>
      <c r="F11" s="2002"/>
      <c r="G11" s="2002"/>
      <c r="H11" s="2002"/>
      <c r="I11" s="2002"/>
      <c r="J11" s="2002"/>
      <c r="K11" s="2002"/>
      <c r="L11" s="1308"/>
      <c r="M11" s="1308"/>
    </row>
    <row r="12" spans="2:14" ht="20.100000000000001" customHeight="1" x14ac:dyDescent="0.2">
      <c r="B12" s="2004" t="s">
        <v>2070</v>
      </c>
      <c r="C12" s="2007"/>
      <c r="D12" s="2008"/>
      <c r="E12" s="2003"/>
      <c r="F12" s="2003"/>
      <c r="G12" s="2003"/>
      <c r="H12" s="2003"/>
      <c r="I12" s="2003"/>
      <c r="J12" s="2003"/>
      <c r="K12" s="2003"/>
      <c r="L12" s="1308"/>
      <c r="M12" s="1311"/>
    </row>
    <row r="13" spans="2:14" ht="20.100000000000001" customHeight="1" x14ac:dyDescent="0.2">
      <c r="B13" s="2004" t="s">
        <v>2071</v>
      </c>
      <c r="C13" s="2007">
        <v>10.555</v>
      </c>
      <c r="D13" s="2008" t="s">
        <v>2089</v>
      </c>
      <c r="E13" s="2003"/>
      <c r="F13" s="2003">
        <v>8624</v>
      </c>
      <c r="G13" s="2003"/>
      <c r="H13" s="2003"/>
      <c r="I13" s="2003">
        <v>8624</v>
      </c>
      <c r="J13" s="2003"/>
      <c r="K13" s="2003"/>
      <c r="L13" s="1308">
        <f t="shared" ref="L13:L17" si="0">+G13+I13+K13</f>
        <v>8624</v>
      </c>
      <c r="M13" s="1311" t="s">
        <v>2171</v>
      </c>
    </row>
    <row r="14" spans="2:14" ht="20.100000000000001" customHeight="1" x14ac:dyDescent="0.2">
      <c r="B14" s="2004" t="s">
        <v>2072</v>
      </c>
      <c r="C14" s="2007">
        <v>10.555</v>
      </c>
      <c r="D14" s="2008" t="s">
        <v>2073</v>
      </c>
      <c r="E14" s="2003">
        <v>67571</v>
      </c>
      <c r="F14" s="2003">
        <v>11953</v>
      </c>
      <c r="G14" s="2003">
        <v>67571</v>
      </c>
      <c r="H14" s="2003"/>
      <c r="I14" s="2003">
        <v>11953</v>
      </c>
      <c r="J14" s="2003"/>
      <c r="K14" s="2003"/>
      <c r="L14" s="1308">
        <f t="shared" si="0"/>
        <v>79524</v>
      </c>
      <c r="M14" s="1311" t="s">
        <v>2171</v>
      </c>
    </row>
    <row r="15" spans="2:14" ht="20.100000000000001" customHeight="1" x14ac:dyDescent="0.2">
      <c r="B15" s="2004" t="s">
        <v>2072</v>
      </c>
      <c r="C15" s="2007">
        <v>10.555</v>
      </c>
      <c r="D15" s="2008" t="s">
        <v>2090</v>
      </c>
      <c r="E15" s="2003"/>
      <c r="F15" s="2003">
        <v>66225</v>
      </c>
      <c r="G15" s="2003"/>
      <c r="H15" s="2003"/>
      <c r="I15" s="2003">
        <v>66225</v>
      </c>
      <c r="J15" s="2003"/>
      <c r="K15" s="2003"/>
      <c r="L15" s="1308">
        <f t="shared" si="0"/>
        <v>66225</v>
      </c>
      <c r="M15" s="1311" t="s">
        <v>2171</v>
      </c>
    </row>
    <row r="16" spans="2:14" ht="20.100000000000001" customHeight="1" x14ac:dyDescent="0.2">
      <c r="B16" s="2004" t="s">
        <v>2074</v>
      </c>
      <c r="C16" s="2007">
        <v>10.553000000000001</v>
      </c>
      <c r="D16" s="2008" t="s">
        <v>2075</v>
      </c>
      <c r="E16" s="2003">
        <v>28621</v>
      </c>
      <c r="F16" s="2003">
        <v>5560</v>
      </c>
      <c r="G16" s="2003">
        <v>28621</v>
      </c>
      <c r="H16" s="2003"/>
      <c r="I16" s="2003">
        <v>5560</v>
      </c>
      <c r="J16" s="2003"/>
      <c r="K16" s="2003"/>
      <c r="L16" s="1308">
        <f t="shared" si="0"/>
        <v>34181</v>
      </c>
      <c r="M16" s="1311" t="s">
        <v>2171</v>
      </c>
    </row>
    <row r="17" spans="2:14" ht="20.100000000000001" customHeight="1" x14ac:dyDescent="0.2">
      <c r="B17" s="2004" t="s">
        <v>2074</v>
      </c>
      <c r="C17" s="2007">
        <v>10.553000000000001</v>
      </c>
      <c r="D17" s="2008" t="s">
        <v>2091</v>
      </c>
      <c r="E17" s="2003"/>
      <c r="F17" s="2003">
        <v>32550</v>
      </c>
      <c r="G17" s="2003"/>
      <c r="H17" s="2003"/>
      <c r="I17" s="2003">
        <v>32550</v>
      </c>
      <c r="J17" s="2003"/>
      <c r="K17" s="2003"/>
      <c r="L17" s="1308">
        <f t="shared" si="0"/>
        <v>32550</v>
      </c>
      <c r="M17" s="1311" t="s">
        <v>2171</v>
      </c>
    </row>
    <row r="18" spans="2:14" ht="20.100000000000001" customHeight="1" x14ac:dyDescent="0.2">
      <c r="B18" s="2004" t="s">
        <v>2173</v>
      </c>
      <c r="C18" s="2007"/>
      <c r="D18" s="2008"/>
      <c r="E18" s="2003">
        <f>+E14+E16</f>
        <v>96192</v>
      </c>
      <c r="F18" s="2003">
        <f>+F17+F16+F15+F14+F13</f>
        <v>124912</v>
      </c>
      <c r="G18" s="2003">
        <f>+G16+G14</f>
        <v>96192</v>
      </c>
      <c r="H18" s="2003"/>
      <c r="I18" s="2003">
        <f>+I17+I16+I15+I14+I13</f>
        <v>124912</v>
      </c>
      <c r="J18" s="2003"/>
      <c r="K18" s="2003"/>
      <c r="L18" s="1308">
        <f>+G18+I18+K18</f>
        <v>221104</v>
      </c>
      <c r="M18" s="1311"/>
    </row>
    <row r="19" spans="2:14" ht="20.100000000000001" customHeight="1" x14ac:dyDescent="0.2">
      <c r="B19" s="2004" t="s">
        <v>2076</v>
      </c>
      <c r="C19" s="2007"/>
      <c r="D19" s="2008"/>
      <c r="E19" s="2003">
        <v>96192</v>
      </c>
      <c r="F19" s="2003">
        <v>124912</v>
      </c>
      <c r="G19" s="2003">
        <v>96192</v>
      </c>
      <c r="H19" s="2003"/>
      <c r="I19" s="2003">
        <v>124912</v>
      </c>
      <c r="J19" s="2003"/>
      <c r="K19" s="2003"/>
      <c r="L19" s="1308">
        <v>221104</v>
      </c>
      <c r="M19" s="1311"/>
    </row>
    <row r="20" spans="2:14" ht="20.100000000000001" customHeight="1" x14ac:dyDescent="0.2">
      <c r="B20" s="2011"/>
      <c r="C20" s="2014"/>
      <c r="D20" s="2015"/>
      <c r="E20" s="2010"/>
      <c r="F20" s="2010"/>
      <c r="G20" s="2010"/>
      <c r="H20" s="2010"/>
      <c r="I20" s="2010"/>
      <c r="J20" s="2010"/>
      <c r="K20" s="2010"/>
      <c r="L20" s="2009"/>
      <c r="M20" s="1311"/>
    </row>
    <row r="21" spans="2:14" ht="20.100000000000001" customHeight="1" x14ac:dyDescent="0.2">
      <c r="B21" s="2011" t="s">
        <v>2077</v>
      </c>
      <c r="C21" s="2014"/>
      <c r="D21" s="2015"/>
      <c r="E21" s="2010"/>
      <c r="F21" s="2010"/>
      <c r="G21" s="2010"/>
      <c r="H21" s="2010"/>
      <c r="I21" s="2010"/>
      <c r="J21" s="2010"/>
      <c r="K21" s="2010"/>
      <c r="L21" s="2009"/>
      <c r="M21" s="2010"/>
    </row>
    <row r="22" spans="2:14" ht="20.100000000000001" customHeight="1" x14ac:dyDescent="0.2">
      <c r="B22" s="2011" t="s">
        <v>2070</v>
      </c>
      <c r="C22" s="2014"/>
      <c r="D22" s="2015"/>
      <c r="E22" s="2010"/>
      <c r="F22" s="2010"/>
      <c r="G22" s="2010"/>
      <c r="H22" s="2010"/>
      <c r="I22" s="2010"/>
      <c r="J22" s="2010"/>
      <c r="K22" s="2010"/>
      <c r="L22" s="2009"/>
      <c r="M22" s="2010"/>
    </row>
    <row r="23" spans="2:14" ht="20.100000000000001" customHeight="1" x14ac:dyDescent="0.2">
      <c r="B23" s="2011" t="s">
        <v>2078</v>
      </c>
      <c r="C23" s="2014">
        <v>84.027000000000001</v>
      </c>
      <c r="D23" s="2015" t="s">
        <v>2092</v>
      </c>
      <c r="E23" s="2010"/>
      <c r="F23" s="2010">
        <v>10256241</v>
      </c>
      <c r="G23" s="2010"/>
      <c r="H23" s="2010"/>
      <c r="I23" s="2010">
        <v>10256241</v>
      </c>
      <c r="J23" s="2010">
        <v>8836859</v>
      </c>
      <c r="K23" s="2010"/>
      <c r="L23" s="2009">
        <f>+G23+I23+K23</f>
        <v>10256241</v>
      </c>
      <c r="M23" s="2010">
        <v>10650909</v>
      </c>
    </row>
    <row r="24" spans="2:14" ht="20.100000000000001" customHeight="1" x14ac:dyDescent="0.2">
      <c r="B24" s="2011" t="s">
        <v>2079</v>
      </c>
      <c r="C24" s="2014">
        <v>84.173000000000002</v>
      </c>
      <c r="D24" s="2015" t="s">
        <v>2093</v>
      </c>
      <c r="E24" s="2010"/>
      <c r="F24" s="2010">
        <v>212131</v>
      </c>
      <c r="G24" s="2010"/>
      <c r="H24" s="2010"/>
      <c r="I24" s="2010">
        <v>212131</v>
      </c>
      <c r="J24" s="2010">
        <v>212131</v>
      </c>
      <c r="K24" s="2010"/>
      <c r="L24" s="2009">
        <f>+G24+I24+K24</f>
        <v>212131</v>
      </c>
      <c r="M24" s="2010">
        <v>214856</v>
      </c>
    </row>
    <row r="25" spans="2:14" ht="20.100000000000001" customHeight="1" x14ac:dyDescent="0.2">
      <c r="B25" s="2011" t="s">
        <v>2174</v>
      </c>
      <c r="C25" s="2014"/>
      <c r="D25" s="2015"/>
      <c r="E25" s="2010"/>
      <c r="F25" s="2010">
        <f>+F23+F24</f>
        <v>10468372</v>
      </c>
      <c r="G25" s="2010"/>
      <c r="H25" s="2010"/>
      <c r="I25" s="2010">
        <f>+I24+I23</f>
        <v>10468372</v>
      </c>
      <c r="J25" s="2010">
        <f>+J24+J23</f>
        <v>9048990</v>
      </c>
      <c r="K25" s="2010"/>
      <c r="L25" s="2009">
        <f t="shared" ref="L25" si="1">+G25+I25+K25</f>
        <v>10468372</v>
      </c>
      <c r="M25" s="2010"/>
    </row>
    <row r="26" spans="2:14" ht="20.100000000000001" customHeight="1" x14ac:dyDescent="0.2">
      <c r="B26" s="2011"/>
      <c r="C26" s="2014"/>
      <c r="D26" s="2015"/>
      <c r="E26" s="2010"/>
      <c r="F26" s="2010"/>
      <c r="G26" s="2010"/>
      <c r="H26" s="2010"/>
      <c r="I26" s="2010"/>
      <c r="J26" s="2010"/>
      <c r="K26" s="2010"/>
      <c r="L26" s="2009"/>
      <c r="M26" s="2010"/>
    </row>
    <row r="27" spans="2:14" ht="20.100000000000001" customHeight="1" x14ac:dyDescent="0.2">
      <c r="B27" s="2011" t="s">
        <v>2080</v>
      </c>
      <c r="C27" s="1309"/>
      <c r="D27" s="1310"/>
      <c r="E27" s="1311"/>
      <c r="F27" s="1311">
        <f>+F25</f>
        <v>10468372</v>
      </c>
      <c r="G27" s="1311"/>
      <c r="H27" s="1311"/>
      <c r="I27" s="1311">
        <f>+I25</f>
        <v>10468372</v>
      </c>
      <c r="J27" s="1311">
        <f>+J25</f>
        <v>9048990</v>
      </c>
      <c r="K27" s="1311"/>
      <c r="L27" s="1308">
        <f>+L25</f>
        <v>10468372</v>
      </c>
      <c r="M27" s="1311"/>
      <c r="N27" s="1312"/>
    </row>
    <row r="28" spans="2:14" ht="12.75" customHeight="1" x14ac:dyDescent="0.2">
      <c r="B28" s="1313"/>
      <c r="C28" s="1314"/>
      <c r="D28" s="1315"/>
      <c r="E28" s="1316"/>
      <c r="F28" s="1316"/>
      <c r="G28" s="1316"/>
      <c r="H28" s="1316"/>
      <c r="I28" s="1316"/>
      <c r="J28" s="1316"/>
      <c r="K28" s="1316"/>
      <c r="L28" s="1316"/>
      <c r="M28" s="1316"/>
      <c r="N28" s="1312"/>
    </row>
    <row r="29" spans="2:14" x14ac:dyDescent="0.2">
      <c r="B29" s="1227"/>
      <c r="C29" s="1317"/>
      <c r="D29" s="1318"/>
      <c r="E29" s="1227"/>
      <c r="F29" s="1227"/>
      <c r="G29" s="1220"/>
      <c r="H29" s="1220"/>
      <c r="I29" s="1220"/>
      <c r="J29" s="1220"/>
      <c r="K29" s="1220"/>
      <c r="L29" s="1220"/>
      <c r="M29" s="1227"/>
      <c r="N29" s="1312"/>
    </row>
    <row r="30" spans="2:14" ht="13.5" customHeight="1" x14ac:dyDescent="0.2">
      <c r="B30" s="1252" t="s">
        <v>1734</v>
      </c>
      <c r="C30" s="1317"/>
      <c r="D30" s="1318"/>
      <c r="E30" s="1227"/>
      <c r="F30" s="1227"/>
      <c r="G30" s="1220"/>
      <c r="H30" s="1220"/>
      <c r="I30" s="1220"/>
      <c r="J30" s="1220"/>
      <c r="K30" s="1220"/>
      <c r="L30" s="1220"/>
      <c r="M30" s="1227"/>
      <c r="N30" s="1312"/>
    </row>
    <row r="31" spans="2:14" ht="8.25" customHeight="1" x14ac:dyDescent="0.2">
      <c r="B31" s="1252"/>
      <c r="C31" s="1317"/>
      <c r="D31" s="1318"/>
      <c r="E31" s="1227"/>
      <c r="F31" s="1227"/>
      <c r="G31" s="1220"/>
      <c r="H31" s="1220"/>
      <c r="I31" s="1220"/>
      <c r="J31" s="1220"/>
      <c r="K31" s="1220"/>
      <c r="L31" s="1220"/>
      <c r="M31" s="1227"/>
      <c r="N31" s="1312"/>
    </row>
    <row r="32" spans="2:14" x14ac:dyDescent="0.2">
      <c r="B32" s="1319" t="s">
        <v>1837</v>
      </c>
      <c r="C32" s="1320"/>
      <c r="D32" s="1321"/>
      <c r="E32" s="1322"/>
      <c r="F32" s="1322"/>
      <c r="G32" s="1322"/>
      <c r="H32" s="1322"/>
      <c r="I32" s="317"/>
      <c r="J32" s="317"/>
    </row>
    <row r="33" spans="2:13" x14ac:dyDescent="0.2">
      <c r="B33" s="1247"/>
      <c r="C33" s="1323"/>
      <c r="D33" s="1324"/>
      <c r="E33" s="1248"/>
      <c r="F33" s="1248"/>
      <c r="G33" s="317"/>
      <c r="H33" s="317"/>
      <c r="I33" s="317"/>
      <c r="J33" s="317"/>
    </row>
    <row r="34" spans="2:13" ht="13.5" customHeight="1" x14ac:dyDescent="0.2">
      <c r="B34" s="1246" t="s">
        <v>1246</v>
      </c>
      <c r="G34" s="317"/>
      <c r="H34" s="317"/>
      <c r="I34" s="317"/>
      <c r="J34" s="317"/>
    </row>
    <row r="35" spans="2:13" ht="13.5" customHeight="1" x14ac:dyDescent="0.2">
      <c r="B35" s="1327"/>
      <c r="C35" s="1328"/>
      <c r="D35" s="1329"/>
      <c r="E35" s="1267"/>
      <c r="F35" s="1267"/>
      <c r="G35" s="1267"/>
      <c r="H35" s="1267"/>
      <c r="I35" s="1267"/>
      <c r="J35" s="1267"/>
      <c r="K35" s="1330"/>
      <c r="L35" s="1330"/>
      <c r="M35" s="1267"/>
    </row>
    <row r="36" spans="2:13" ht="9.6" customHeight="1" x14ac:dyDescent="0.2">
      <c r="B36" s="1331"/>
      <c r="G36" s="317"/>
      <c r="H36" s="317"/>
      <c r="I36" s="317"/>
      <c r="J36" s="317"/>
    </row>
    <row r="37" spans="2:13" ht="11.25" customHeight="1" x14ac:dyDescent="0.2">
      <c r="B37" s="1332" t="s">
        <v>1735</v>
      </c>
      <c r="C37" s="1333"/>
      <c r="D37" s="1333"/>
      <c r="E37" s="1333"/>
      <c r="F37" s="1333"/>
      <c r="G37" s="1333"/>
      <c r="H37" s="1333"/>
      <c r="I37" s="1334"/>
      <c r="J37" s="1334"/>
      <c r="K37" s="1334"/>
      <c r="L37" s="1334"/>
      <c r="M37" s="1334"/>
    </row>
    <row r="38" spans="2:13" ht="11.25" customHeight="1" x14ac:dyDescent="0.2">
      <c r="B38" s="1335" t="s">
        <v>1584</v>
      </c>
      <c r="C38" s="1334"/>
      <c r="D38" s="1334"/>
      <c r="E38" s="1334"/>
      <c r="F38" s="1334"/>
      <c r="G38" s="1334"/>
      <c r="H38" s="1334"/>
      <c r="I38" s="1334"/>
      <c r="J38" s="1334"/>
      <c r="K38" s="1334"/>
      <c r="L38" s="1334"/>
      <c r="M38" s="1334"/>
    </row>
    <row r="39" spans="2:13" ht="3.95" customHeight="1" x14ac:dyDescent="0.2">
      <c r="B39" s="1335"/>
      <c r="C39" s="1334"/>
      <c r="D39" s="1334"/>
      <c r="E39" s="1334"/>
      <c r="F39" s="1334"/>
      <c r="G39" s="1334"/>
      <c r="H39" s="1334"/>
      <c r="I39" s="1334"/>
      <c r="J39" s="1334"/>
      <c r="K39" s="1334"/>
      <c r="L39" s="1334"/>
      <c r="M39" s="1334"/>
    </row>
    <row r="40" spans="2:13" ht="11.25" customHeight="1" x14ac:dyDescent="0.2">
      <c r="B40" s="1332" t="s">
        <v>1736</v>
      </c>
      <c r="C40" s="1334"/>
      <c r="D40" s="1334"/>
      <c r="E40" s="1334"/>
      <c r="F40" s="1334"/>
      <c r="G40" s="1334"/>
      <c r="H40" s="1334"/>
      <c r="I40" s="1334"/>
      <c r="J40" s="1334"/>
      <c r="K40" s="1334"/>
      <c r="L40" s="1334"/>
      <c r="M40" s="1334"/>
    </row>
    <row r="41" spans="2:13" ht="11.25" customHeight="1" x14ac:dyDescent="0.2">
      <c r="B41" s="1270" t="s">
        <v>1585</v>
      </c>
      <c r="C41" s="1336"/>
      <c r="D41" s="1337"/>
      <c r="E41" s="1270"/>
      <c r="F41" s="1270"/>
      <c r="G41" s="1270"/>
      <c r="H41" s="1270"/>
      <c r="I41" s="1270"/>
      <c r="J41" s="1270"/>
      <c r="K41" s="1338"/>
      <c r="L41" s="1338"/>
      <c r="M41" s="1270"/>
    </row>
    <row r="42" spans="2:13" ht="3.95" customHeight="1" x14ac:dyDescent="0.2">
      <c r="B42" s="1270"/>
      <c r="C42" s="1336"/>
      <c r="D42" s="1337"/>
      <c r="E42" s="1270"/>
      <c r="F42" s="1270"/>
      <c r="G42" s="1270"/>
      <c r="H42" s="1270"/>
      <c r="I42" s="1270"/>
      <c r="J42" s="1270"/>
      <c r="K42" s="1338"/>
      <c r="L42" s="1338"/>
      <c r="M42" s="1270"/>
    </row>
    <row r="43" spans="2:13" ht="11.25" customHeight="1" x14ac:dyDescent="0.2">
      <c r="B43" s="1339" t="s">
        <v>1737</v>
      </c>
      <c r="C43" s="1336"/>
      <c r="D43" s="1337"/>
      <c r="E43" s="1270"/>
      <c r="F43" s="1270"/>
      <c r="G43" s="1270"/>
      <c r="H43" s="1270"/>
      <c r="I43" s="1270"/>
      <c r="J43" s="1270"/>
      <c r="K43" s="1338"/>
      <c r="L43" s="1338"/>
      <c r="M43" s="1270"/>
    </row>
    <row r="44" spans="2:13" ht="3.95" customHeight="1" x14ac:dyDescent="0.2">
      <c r="B44" s="1339"/>
      <c r="C44" s="1336"/>
      <c r="D44" s="1337"/>
      <c r="E44" s="1270"/>
      <c r="F44" s="1270"/>
      <c r="G44" s="1270"/>
      <c r="H44" s="1270"/>
      <c r="I44" s="1270"/>
      <c r="J44" s="1270"/>
      <c r="K44" s="1338"/>
      <c r="L44" s="1338"/>
      <c r="M44" s="1270"/>
    </row>
    <row r="45" spans="2:13" ht="11.25" customHeight="1" x14ac:dyDescent="0.2">
      <c r="B45" s="1340" t="s">
        <v>1738</v>
      </c>
      <c r="C45" s="1336"/>
      <c r="D45" s="1337"/>
      <c r="E45" s="1270"/>
      <c r="F45" s="1270"/>
      <c r="G45" s="1270"/>
      <c r="H45" s="1270"/>
      <c r="I45" s="1270"/>
      <c r="J45" s="1270"/>
      <c r="K45" s="1338"/>
      <c r="L45" s="1338"/>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1"/>
    </row>
    <row r="50" spans="7:13" ht="13.5" customHeight="1" x14ac:dyDescent="0.2">
      <c r="M50" s="1341"/>
    </row>
    <row r="51" spans="7:13" ht="13.5" customHeight="1" x14ac:dyDescent="0.2">
      <c r="M51" s="134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880A7-1C0B-4A71-93CA-223460A53C9D}">
  <sheetPr>
    <tabColor theme="8" tint="0.39997558519241921"/>
    <pageSetUpPr fitToPage="1"/>
  </sheetPr>
  <dimension ref="B1:N152"/>
  <sheetViews>
    <sheetView showGridLines="0" zoomScaleNormal="100" workbookViewId="0">
      <selection activeCell="L17" sqref="L17"/>
    </sheetView>
  </sheetViews>
  <sheetFormatPr defaultColWidth="33.5703125" defaultRowHeight="12.75" x14ac:dyDescent="0.2"/>
  <cols>
    <col min="1" max="1" width="0.140625" style="317" customWidth="1"/>
    <col min="2" max="2" width="32.85546875" style="317" customWidth="1"/>
    <col min="3" max="3" width="8.7109375" style="1325" customWidth="1"/>
    <col min="4" max="4" width="12.7109375" style="1326"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77" t="str">
        <f>'Single Audit Cover'!A7</f>
        <v>NW Suburban Spec Educ Org</v>
      </c>
      <c r="C1" s="2520"/>
      <c r="D1" s="2520"/>
      <c r="E1" s="2520"/>
      <c r="F1" s="2520"/>
      <c r="G1" s="2520"/>
      <c r="H1" s="2520"/>
      <c r="I1" s="2520"/>
      <c r="J1" s="2520"/>
      <c r="K1" s="2520"/>
      <c r="L1" s="2520"/>
      <c r="M1" s="2520"/>
    </row>
    <row r="2" spans="2:14" ht="15" x14ac:dyDescent="0.2">
      <c r="B2" s="2521">
        <f>'Single Audit Cover'!E7</f>
        <v>5016805060</v>
      </c>
      <c r="C2" s="2521"/>
      <c r="D2" s="2521"/>
      <c r="E2" s="2521"/>
      <c r="F2" s="2521"/>
      <c r="G2" s="2521"/>
      <c r="H2" s="2521"/>
      <c r="I2" s="2521"/>
      <c r="J2" s="2521"/>
      <c r="K2" s="2521"/>
      <c r="L2" s="2521"/>
      <c r="M2" s="2521"/>
      <c r="N2" s="1272"/>
    </row>
    <row r="3" spans="2:14" ht="15" x14ac:dyDescent="0.2">
      <c r="B3" s="2522" t="s">
        <v>1219</v>
      </c>
      <c r="C3" s="2522"/>
      <c r="D3" s="2522"/>
      <c r="E3" s="2522"/>
      <c r="F3" s="2522"/>
      <c r="G3" s="2522"/>
      <c r="H3" s="2522"/>
      <c r="I3" s="2522"/>
      <c r="J3" s="2522"/>
      <c r="K3" s="2522"/>
      <c r="L3" s="2522"/>
      <c r="M3" s="2522"/>
      <c r="N3" s="1272"/>
    </row>
    <row r="4" spans="2:14" ht="15" x14ac:dyDescent="0.2">
      <c r="B4" s="2523" t="str">
        <f>'Single Audit Cover'!A4</f>
        <v>Year Ending June 30, 2019</v>
      </c>
      <c r="C4" s="2523"/>
      <c r="D4" s="2523"/>
      <c r="E4" s="2523"/>
      <c r="F4" s="2523"/>
      <c r="G4" s="2523"/>
      <c r="H4" s="2523"/>
      <c r="I4" s="2523"/>
      <c r="J4" s="2523"/>
      <c r="K4" s="2523"/>
      <c r="L4" s="2523"/>
      <c r="M4" s="2523"/>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6"/>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2011" t="s">
        <v>2081</v>
      </c>
      <c r="C11" s="2012"/>
      <c r="D11" s="2013"/>
      <c r="E11" s="2009"/>
      <c r="F11" s="2009"/>
      <c r="G11" s="2009"/>
      <c r="H11" s="2009"/>
      <c r="I11" s="2009"/>
      <c r="J11" s="2009"/>
      <c r="K11" s="2009"/>
      <c r="L11" s="1308">
        <f>+G11+I11+K11</f>
        <v>0</v>
      </c>
      <c r="M11" s="1308"/>
    </row>
    <row r="12" spans="2:14" ht="20.100000000000001" customHeight="1" x14ac:dyDescent="0.2">
      <c r="B12" s="2011" t="s">
        <v>2082</v>
      </c>
      <c r="C12" s="2014"/>
      <c r="D12" s="2015"/>
      <c r="E12" s="2010"/>
      <c r="F12" s="2010"/>
      <c r="G12" s="2010"/>
      <c r="H12" s="2010"/>
      <c r="I12" s="2010"/>
      <c r="J12" s="2010"/>
      <c r="K12" s="2010"/>
      <c r="L12" s="1308">
        <f t="shared" ref="L12:L27" si="0">+G12+I12+K12</f>
        <v>0</v>
      </c>
      <c r="M12" s="1311"/>
    </row>
    <row r="13" spans="2:14" ht="20.100000000000001" customHeight="1" x14ac:dyDescent="0.2">
      <c r="B13" s="2011" t="s">
        <v>2083</v>
      </c>
      <c r="C13" s="2014"/>
      <c r="D13" s="2015"/>
      <c r="E13" s="2010"/>
      <c r="F13" s="2010"/>
      <c r="G13" s="2010"/>
      <c r="H13" s="2010"/>
      <c r="I13" s="2010"/>
      <c r="J13" s="2010"/>
      <c r="K13" s="2010"/>
      <c r="L13" s="1308">
        <f t="shared" si="0"/>
        <v>0</v>
      </c>
      <c r="M13" s="1311"/>
    </row>
    <row r="14" spans="2:14" ht="20.100000000000001" customHeight="1" x14ac:dyDescent="0.2">
      <c r="B14" s="2011" t="s">
        <v>2084</v>
      </c>
      <c r="C14" s="2014">
        <v>93.778000000000006</v>
      </c>
      <c r="D14" s="2015" t="s">
        <v>2094</v>
      </c>
      <c r="E14" s="2010"/>
      <c r="F14" s="2010">
        <v>199424</v>
      </c>
      <c r="G14" s="2010"/>
      <c r="H14" s="2010"/>
      <c r="I14" s="2010">
        <v>199424</v>
      </c>
      <c r="J14" s="2010"/>
      <c r="K14" s="2010"/>
      <c r="L14" s="1308">
        <f t="shared" si="0"/>
        <v>199424</v>
      </c>
      <c r="M14" s="1311" t="s">
        <v>2171</v>
      </c>
    </row>
    <row r="15" spans="2:14" ht="20.100000000000001" customHeight="1" x14ac:dyDescent="0.2">
      <c r="B15" s="2011"/>
      <c r="C15" s="2014"/>
      <c r="D15" s="2015"/>
      <c r="E15" s="2010"/>
      <c r="F15" s="2010"/>
      <c r="G15" s="2010"/>
      <c r="H15" s="2010"/>
      <c r="I15" s="2010"/>
      <c r="J15" s="2010"/>
      <c r="K15" s="2010"/>
      <c r="L15" s="1308">
        <f t="shared" si="0"/>
        <v>0</v>
      </c>
      <c r="M15" s="1311"/>
    </row>
    <row r="16" spans="2:14" ht="20.100000000000001" customHeight="1" x14ac:dyDescent="0.2">
      <c r="B16" s="2011" t="s">
        <v>2085</v>
      </c>
      <c r="C16" s="2014"/>
      <c r="D16" s="2015"/>
      <c r="E16" s="2010">
        <f>+' SEFA'!E18+' SEFA'!E24</f>
        <v>96192</v>
      </c>
      <c r="F16" s="2010">
        <f>+F14+' SEFA'!F25+' SEFA'!F18</f>
        <v>10792708</v>
      </c>
      <c r="G16" s="2010">
        <f>+' SEFA'!G24+' SEFA'!G18</f>
        <v>96192</v>
      </c>
      <c r="H16" s="2010"/>
      <c r="I16" s="2010">
        <f>+I14+' SEFA'!I25+' SEFA'!I18</f>
        <v>10792708</v>
      </c>
      <c r="J16" s="2010">
        <f>+J14+' SEFA'!J25</f>
        <v>9048990</v>
      </c>
      <c r="K16" s="2010"/>
      <c r="L16" s="1308">
        <f>+G16+I16+K16</f>
        <v>10888900</v>
      </c>
      <c r="M16" s="1311"/>
    </row>
    <row r="17" spans="2:14" ht="20.100000000000001" customHeight="1" x14ac:dyDescent="0.2">
      <c r="B17" s="2011"/>
      <c r="C17" s="2014"/>
      <c r="D17" s="2015"/>
      <c r="E17" s="2010"/>
      <c r="F17" s="2010"/>
      <c r="G17" s="2010"/>
      <c r="H17" s="2010"/>
      <c r="I17" s="2010"/>
      <c r="J17" s="2010"/>
      <c r="K17" s="2010"/>
      <c r="L17" s="1308">
        <f t="shared" si="0"/>
        <v>0</v>
      </c>
      <c r="M17" s="1311"/>
    </row>
    <row r="18" spans="2:14" ht="20.100000000000001" customHeight="1" x14ac:dyDescent="0.2">
      <c r="B18" s="2011" t="s">
        <v>2086</v>
      </c>
      <c r="C18" s="2014"/>
      <c r="D18" s="2015"/>
      <c r="E18" s="2010"/>
      <c r="F18" s="2010"/>
      <c r="G18" s="2010"/>
      <c r="H18" s="2010"/>
      <c r="I18" s="2010"/>
      <c r="J18" s="2010"/>
      <c r="K18" s="2010"/>
      <c r="L18" s="1308">
        <f t="shared" si="0"/>
        <v>0</v>
      </c>
      <c r="M18" s="1311"/>
    </row>
    <row r="19" spans="2:14" ht="20.100000000000001" customHeight="1" x14ac:dyDescent="0.2">
      <c r="B19" s="2011" t="s">
        <v>2087</v>
      </c>
      <c r="C19" s="2014"/>
      <c r="D19" s="2015"/>
      <c r="E19" s="2010"/>
      <c r="F19" s="2010"/>
      <c r="G19" s="2010"/>
      <c r="H19" s="2010"/>
      <c r="I19" s="2010"/>
      <c r="J19" s="2010"/>
      <c r="K19" s="2010"/>
      <c r="L19" s="1308">
        <f t="shared" si="0"/>
        <v>0</v>
      </c>
      <c r="M19" s="1311"/>
    </row>
    <row r="20" spans="2:14" ht="20.100000000000001" customHeight="1" x14ac:dyDescent="0.2">
      <c r="B20" s="2011" t="s">
        <v>2088</v>
      </c>
      <c r="C20" s="2014"/>
      <c r="D20" s="2015"/>
      <c r="E20" s="2010"/>
      <c r="F20" s="2010"/>
      <c r="G20" s="2010"/>
      <c r="H20" s="2010"/>
      <c r="I20" s="2010"/>
      <c r="J20" s="2010"/>
      <c r="K20" s="2010"/>
      <c r="L20" s="1308">
        <f t="shared" si="0"/>
        <v>0</v>
      </c>
      <c r="M20" s="1311"/>
    </row>
    <row r="21" spans="2:14" ht="20.100000000000001" customHeight="1" x14ac:dyDescent="0.2">
      <c r="B21" s="1307"/>
      <c r="C21" s="1309"/>
      <c r="D21" s="1310"/>
      <c r="E21" s="1311"/>
      <c r="F21" s="1311"/>
      <c r="G21" s="1311"/>
      <c r="H21" s="1311"/>
      <c r="I21" s="1311"/>
      <c r="J21" s="1311"/>
      <c r="K21" s="1311"/>
      <c r="L21" s="1308">
        <f t="shared" si="0"/>
        <v>0</v>
      </c>
      <c r="M21" s="1311"/>
    </row>
    <row r="22" spans="2:14" ht="20.100000000000001" customHeight="1" x14ac:dyDescent="0.2">
      <c r="B22" s="1307"/>
      <c r="C22" s="1309"/>
      <c r="D22" s="1310"/>
      <c r="E22" s="1311"/>
      <c r="F22" s="1311"/>
      <c r="G22" s="1311"/>
      <c r="H22" s="1311"/>
      <c r="I22" s="1311"/>
      <c r="J22" s="1311"/>
      <c r="K22" s="1311"/>
      <c r="L22" s="1308">
        <f t="shared" si="0"/>
        <v>0</v>
      </c>
      <c r="M22" s="1311"/>
    </row>
    <row r="23" spans="2:14" ht="20.100000000000001" customHeight="1" x14ac:dyDescent="0.2">
      <c r="B23" s="1307"/>
      <c r="C23" s="1309"/>
      <c r="D23" s="1310"/>
      <c r="E23" s="1311"/>
      <c r="F23" s="1311"/>
      <c r="G23" s="1311"/>
      <c r="H23" s="1311"/>
      <c r="I23" s="1311"/>
      <c r="J23" s="1311"/>
      <c r="K23" s="1311"/>
      <c r="L23" s="1308">
        <f t="shared" si="0"/>
        <v>0</v>
      </c>
      <c r="M23" s="1311"/>
    </row>
    <row r="24" spans="2:14" ht="20.100000000000001" customHeight="1" x14ac:dyDescent="0.2">
      <c r="B24" s="1307"/>
      <c r="C24" s="1309"/>
      <c r="D24" s="1310"/>
      <c r="E24" s="1311"/>
      <c r="F24" s="1311"/>
      <c r="G24" s="1311"/>
      <c r="H24" s="1311"/>
      <c r="I24" s="1311"/>
      <c r="J24" s="1311"/>
      <c r="K24" s="1311"/>
      <c r="L24" s="1308">
        <f t="shared" si="0"/>
        <v>0</v>
      </c>
      <c r="M24" s="1311"/>
    </row>
    <row r="25" spans="2:14" ht="20.100000000000001" customHeight="1" x14ac:dyDescent="0.2">
      <c r="B25" s="1307"/>
      <c r="C25" s="1309"/>
      <c r="D25" s="1310"/>
      <c r="E25" s="1311"/>
      <c r="F25" s="1311"/>
      <c r="G25" s="1311"/>
      <c r="H25" s="1311"/>
      <c r="I25" s="1311"/>
      <c r="J25" s="1311"/>
      <c r="K25" s="1311"/>
      <c r="L25" s="1308">
        <f t="shared" si="0"/>
        <v>0</v>
      </c>
      <c r="M25" s="1311"/>
    </row>
    <row r="26" spans="2:14" ht="20.100000000000001" customHeight="1" x14ac:dyDescent="0.2">
      <c r="B26" s="1307"/>
      <c r="C26" s="1309"/>
      <c r="D26" s="1310"/>
      <c r="E26" s="1311"/>
      <c r="F26" s="1311"/>
      <c r="G26" s="1311"/>
      <c r="H26" s="1311"/>
      <c r="I26" s="1311"/>
      <c r="J26" s="1311"/>
      <c r="K26" s="1311"/>
      <c r="L26" s="1308">
        <f t="shared" si="0"/>
        <v>0</v>
      </c>
      <c r="M26" s="1311"/>
    </row>
    <row r="27" spans="2:14" ht="20.100000000000001" customHeight="1" x14ac:dyDescent="0.2">
      <c r="B27" s="1307"/>
      <c r="C27" s="1309"/>
      <c r="D27" s="1310"/>
      <c r="E27" s="1311"/>
      <c r="F27" s="1311"/>
      <c r="G27" s="1311"/>
      <c r="H27" s="1311"/>
      <c r="I27" s="1311"/>
      <c r="J27" s="1311"/>
      <c r="K27" s="1311"/>
      <c r="L27" s="1308">
        <f t="shared" si="0"/>
        <v>0</v>
      </c>
      <c r="M27" s="1311"/>
      <c r="N27" s="1312"/>
    </row>
    <row r="28" spans="2:14" ht="12.75" customHeight="1" x14ac:dyDescent="0.2">
      <c r="B28" s="1313"/>
      <c r="C28" s="1314"/>
      <c r="D28" s="1315"/>
      <c r="E28" s="1316"/>
      <c r="F28" s="1316"/>
      <c r="G28" s="1316"/>
      <c r="H28" s="1316"/>
      <c r="I28" s="1316"/>
      <c r="J28" s="1316"/>
      <c r="K28" s="1316"/>
      <c r="L28" s="1316"/>
      <c r="M28" s="1316"/>
      <c r="N28" s="1312"/>
    </row>
    <row r="29" spans="2:14" x14ac:dyDescent="0.2">
      <c r="B29" s="1227"/>
      <c r="C29" s="1317"/>
      <c r="D29" s="1318"/>
      <c r="E29" s="1227"/>
      <c r="F29" s="1227"/>
      <c r="G29" s="1220"/>
      <c r="H29" s="1220"/>
      <c r="I29" s="1220"/>
      <c r="J29" s="1220"/>
      <c r="K29" s="1220"/>
      <c r="L29" s="1220"/>
      <c r="M29" s="1227"/>
      <c r="N29" s="1312"/>
    </row>
    <row r="30" spans="2:14" ht="13.5" customHeight="1" x14ac:dyDescent="0.2">
      <c r="B30" s="1252" t="s">
        <v>1734</v>
      </c>
      <c r="C30" s="1317"/>
      <c r="D30" s="1318"/>
      <c r="E30" s="1227"/>
      <c r="F30" s="1227"/>
      <c r="G30" s="1220"/>
      <c r="H30" s="1220"/>
      <c r="I30" s="1220"/>
      <c r="J30" s="1220"/>
      <c r="K30" s="1220"/>
      <c r="L30" s="1220"/>
      <c r="M30" s="1227"/>
      <c r="N30" s="1312"/>
    </row>
    <row r="31" spans="2:14" ht="8.25" customHeight="1" x14ac:dyDescent="0.2">
      <c r="B31" s="1252"/>
      <c r="C31" s="1317"/>
      <c r="D31" s="1318"/>
      <c r="E31" s="1227"/>
      <c r="F31" s="1227"/>
      <c r="G31" s="1220"/>
      <c r="H31" s="1220"/>
      <c r="I31" s="1220"/>
      <c r="J31" s="1220"/>
      <c r="K31" s="1220"/>
      <c r="L31" s="1220"/>
      <c r="M31" s="1227"/>
      <c r="N31" s="1312"/>
    </row>
    <row r="32" spans="2:14" x14ac:dyDescent="0.2">
      <c r="B32" s="1319" t="s">
        <v>1837</v>
      </c>
      <c r="C32" s="1320"/>
      <c r="D32" s="1321"/>
      <c r="E32" s="1322"/>
      <c r="F32" s="1322"/>
      <c r="G32" s="1322"/>
      <c r="H32" s="1322"/>
      <c r="I32" s="317"/>
      <c r="J32" s="317"/>
    </row>
    <row r="33" spans="2:13" x14ac:dyDescent="0.2">
      <c r="B33" s="1247"/>
      <c r="C33" s="1323"/>
      <c r="D33" s="1324"/>
      <c r="E33" s="1248"/>
      <c r="F33" s="1248"/>
      <c r="G33" s="317"/>
      <c r="H33" s="317"/>
      <c r="I33" s="317"/>
      <c r="J33" s="317"/>
    </row>
    <row r="34" spans="2:13" ht="13.5" customHeight="1" x14ac:dyDescent="0.2">
      <c r="B34" s="1246" t="s">
        <v>1246</v>
      </c>
      <c r="G34" s="317"/>
      <c r="H34" s="317"/>
      <c r="I34" s="317"/>
      <c r="J34" s="317"/>
    </row>
    <row r="35" spans="2:13" ht="13.5" customHeight="1" x14ac:dyDescent="0.2">
      <c r="B35" s="1327"/>
      <c r="C35" s="1328"/>
      <c r="D35" s="1329"/>
      <c r="E35" s="1267"/>
      <c r="F35" s="1267"/>
      <c r="G35" s="1267"/>
      <c r="H35" s="1267"/>
      <c r="I35" s="1267"/>
      <c r="J35" s="1267"/>
      <c r="K35" s="1330"/>
      <c r="L35" s="1330"/>
      <c r="M35" s="1267"/>
    </row>
    <row r="36" spans="2:13" ht="9.6" customHeight="1" x14ac:dyDescent="0.2">
      <c r="B36" s="1331"/>
      <c r="G36" s="317"/>
      <c r="H36" s="317"/>
      <c r="I36" s="317"/>
      <c r="J36" s="317"/>
    </row>
    <row r="37" spans="2:13" ht="11.25" customHeight="1" x14ac:dyDescent="0.2">
      <c r="B37" s="1332" t="s">
        <v>1735</v>
      </c>
      <c r="C37" s="1333"/>
      <c r="D37" s="1333"/>
      <c r="E37" s="1333"/>
      <c r="F37" s="1333"/>
      <c r="G37" s="1333"/>
      <c r="H37" s="1333"/>
      <c r="I37" s="1334"/>
      <c r="J37" s="1334"/>
      <c r="K37" s="1334"/>
      <c r="L37" s="1334"/>
      <c r="M37" s="1334"/>
    </row>
    <row r="38" spans="2:13" ht="11.25" customHeight="1" x14ac:dyDescent="0.2">
      <c r="B38" s="1335" t="s">
        <v>1584</v>
      </c>
      <c r="C38" s="1334"/>
      <c r="D38" s="1334"/>
      <c r="E38" s="1334"/>
      <c r="F38" s="1334"/>
      <c r="G38" s="1334"/>
      <c r="H38" s="1334"/>
      <c r="I38" s="1334"/>
      <c r="J38" s="1334"/>
      <c r="K38" s="1334"/>
      <c r="L38" s="1334"/>
      <c r="M38" s="1334"/>
    </row>
    <row r="39" spans="2:13" ht="3.95" customHeight="1" x14ac:dyDescent="0.2">
      <c r="B39" s="1335"/>
      <c r="C39" s="1334"/>
      <c r="D39" s="1334"/>
      <c r="E39" s="1334"/>
      <c r="F39" s="1334"/>
      <c r="G39" s="1334"/>
      <c r="H39" s="1334"/>
      <c r="I39" s="1334"/>
      <c r="J39" s="1334"/>
      <c r="K39" s="1334"/>
      <c r="L39" s="1334"/>
      <c r="M39" s="1334"/>
    </row>
    <row r="40" spans="2:13" ht="11.25" customHeight="1" x14ac:dyDescent="0.2">
      <c r="B40" s="1332" t="s">
        <v>1736</v>
      </c>
      <c r="C40" s="1334"/>
      <c r="D40" s="1334"/>
      <c r="E40" s="1334"/>
      <c r="F40" s="1334"/>
      <c r="G40" s="1334"/>
      <c r="H40" s="1334"/>
      <c r="I40" s="1334"/>
      <c r="J40" s="1334"/>
      <c r="K40" s="1334"/>
      <c r="L40" s="1334"/>
      <c r="M40" s="1334"/>
    </row>
    <row r="41" spans="2:13" ht="11.25" customHeight="1" x14ac:dyDescent="0.2">
      <c r="B41" s="1270" t="s">
        <v>1585</v>
      </c>
      <c r="C41" s="1336"/>
      <c r="D41" s="1337"/>
      <c r="E41" s="1270"/>
      <c r="F41" s="1270"/>
      <c r="G41" s="1270"/>
      <c r="H41" s="1270"/>
      <c r="I41" s="1270"/>
      <c r="J41" s="1270"/>
      <c r="K41" s="1338"/>
      <c r="L41" s="1338"/>
      <c r="M41" s="1270"/>
    </row>
    <row r="42" spans="2:13" ht="3.95" customHeight="1" x14ac:dyDescent="0.2">
      <c r="B42" s="1270"/>
      <c r="C42" s="1336"/>
      <c r="D42" s="1337"/>
      <c r="E42" s="1270"/>
      <c r="F42" s="1270"/>
      <c r="G42" s="1270"/>
      <c r="H42" s="1270"/>
      <c r="I42" s="1270"/>
      <c r="J42" s="1270"/>
      <c r="K42" s="1338"/>
      <c r="L42" s="1338"/>
      <c r="M42" s="1270"/>
    </row>
    <row r="43" spans="2:13" ht="11.25" customHeight="1" x14ac:dyDescent="0.2">
      <c r="B43" s="1339" t="s">
        <v>1737</v>
      </c>
      <c r="C43" s="1336"/>
      <c r="D43" s="1337"/>
      <c r="E43" s="1270"/>
      <c r="F43" s="1270"/>
      <c r="G43" s="1270"/>
      <c r="H43" s="1270"/>
      <c r="I43" s="1270"/>
      <c r="J43" s="1270"/>
      <c r="K43" s="1338"/>
      <c r="L43" s="1338"/>
      <c r="M43" s="1270"/>
    </row>
    <row r="44" spans="2:13" ht="3.95" customHeight="1" x14ac:dyDescent="0.2">
      <c r="B44" s="1339"/>
      <c r="C44" s="1336"/>
      <c r="D44" s="1337"/>
      <c r="E44" s="1270"/>
      <c r="F44" s="1270"/>
      <c r="G44" s="1270"/>
      <c r="H44" s="1270"/>
      <c r="I44" s="1270"/>
      <c r="J44" s="1270"/>
      <c r="K44" s="1338"/>
      <c r="L44" s="1338"/>
      <c r="M44" s="1270"/>
    </row>
    <row r="45" spans="2:13" ht="11.25" customHeight="1" x14ac:dyDescent="0.2">
      <c r="B45" s="1340" t="s">
        <v>1738</v>
      </c>
      <c r="C45" s="1336"/>
      <c r="D45" s="1337"/>
      <c r="E45" s="1270"/>
      <c r="F45" s="1270"/>
      <c r="G45" s="1270"/>
      <c r="H45" s="1270"/>
      <c r="I45" s="1270"/>
      <c r="J45" s="1270"/>
      <c r="K45" s="1338"/>
      <c r="L45" s="1338"/>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1"/>
    </row>
    <row r="50" spans="7:13" ht="13.5" customHeight="1" x14ac:dyDescent="0.2">
      <c r="M50" s="1341"/>
    </row>
    <row r="51" spans="7:13" ht="13.5" customHeight="1" x14ac:dyDescent="0.2">
      <c r="M51" s="134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39997558519241921"/>
  </sheetPr>
  <dimension ref="A1:K143"/>
  <sheetViews>
    <sheetView showGridLines="0" defaultGridColor="0" colorId="8" zoomScale="110" zoomScaleNormal="110" workbookViewId="0">
      <selection activeCell="T16" sqref="T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1" t="s">
        <v>1168</v>
      </c>
      <c r="B2" s="2141"/>
      <c r="C2" s="2141"/>
      <c r="D2" s="2141"/>
      <c r="E2" s="2141"/>
      <c r="F2" s="2141"/>
      <c r="G2" s="2141"/>
      <c r="H2" s="2141"/>
      <c r="I2" s="2141"/>
      <c r="J2" s="214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5" t="s">
        <v>1633</v>
      </c>
      <c r="B35" s="2156"/>
      <c r="C35" s="2156"/>
      <c r="D35" s="2156"/>
      <c r="E35" s="2157"/>
      <c r="F35" s="2157"/>
      <c r="G35" s="2157"/>
      <c r="H35" s="2157"/>
      <c r="I35" s="215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5" t="s">
        <v>313</v>
      </c>
      <c r="B47" s="2158"/>
      <c r="C47" s="2158"/>
      <c r="D47" s="2158"/>
      <c r="E47" s="2159"/>
      <c r="F47" s="2159"/>
      <c r="G47" s="2159"/>
      <c r="H47" s="2159"/>
      <c r="I47" s="215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2"/>
      <c r="C57" s="2163"/>
      <c r="D57" s="2163"/>
      <c r="E57" s="2163"/>
      <c r="F57" s="2163"/>
      <c r="G57" s="2163"/>
      <c r="H57" s="2163"/>
      <c r="I57" s="2163"/>
      <c r="J57" s="2164"/>
    </row>
    <row r="58" spans="1:10" s="181" customFormat="1" x14ac:dyDescent="0.2">
      <c r="A58" s="253"/>
      <c r="B58" s="2165"/>
      <c r="C58" s="2166"/>
      <c r="D58" s="2166"/>
      <c r="E58" s="2166"/>
      <c r="F58" s="2166"/>
      <c r="G58" s="2166"/>
      <c r="H58" s="2166"/>
      <c r="I58" s="2166"/>
      <c r="J58" s="2167"/>
    </row>
    <row r="59" spans="1:10" s="181" customFormat="1" x14ac:dyDescent="0.2">
      <c r="A59" s="253"/>
      <c r="B59" s="2165"/>
      <c r="C59" s="2166"/>
      <c r="D59" s="2166"/>
      <c r="E59" s="2166"/>
      <c r="F59" s="2166"/>
      <c r="G59" s="2166"/>
      <c r="H59" s="2166"/>
      <c r="I59" s="2166"/>
      <c r="J59" s="2167"/>
    </row>
    <row r="60" spans="1:10" s="181" customFormat="1" x14ac:dyDescent="0.2">
      <c r="A60" s="253"/>
      <c r="B60" s="2165"/>
      <c r="C60" s="2166"/>
      <c r="D60" s="2166"/>
      <c r="E60" s="2166"/>
      <c r="F60" s="2166"/>
      <c r="G60" s="2166"/>
      <c r="H60" s="2166"/>
      <c r="I60" s="2166"/>
      <c r="J60" s="2167"/>
    </row>
    <row r="61" spans="1:10" s="181" customFormat="1" x14ac:dyDescent="0.2">
      <c r="A61" s="253"/>
      <c r="B61" s="2165"/>
      <c r="C61" s="2166"/>
      <c r="D61" s="2166"/>
      <c r="E61" s="2166"/>
      <c r="F61" s="2166"/>
      <c r="G61" s="2166"/>
      <c r="H61" s="2166"/>
      <c r="I61" s="2166"/>
      <c r="J61" s="2167"/>
    </row>
    <row r="62" spans="1:10" s="181" customFormat="1" x14ac:dyDescent="0.2">
      <c r="A62" s="253"/>
      <c r="B62" s="2165"/>
      <c r="C62" s="2166"/>
      <c r="D62" s="2166"/>
      <c r="E62" s="2166"/>
      <c r="F62" s="2166"/>
      <c r="G62" s="2166"/>
      <c r="H62" s="2166"/>
      <c r="I62" s="2166"/>
      <c r="J62" s="2167"/>
    </row>
    <row r="63" spans="1:10" s="181" customFormat="1" x14ac:dyDescent="0.2">
      <c r="A63" s="253"/>
      <c r="B63" s="2165"/>
      <c r="C63" s="2166"/>
      <c r="D63" s="2166"/>
      <c r="E63" s="2166"/>
      <c r="F63" s="2166"/>
      <c r="G63" s="2166"/>
      <c r="H63" s="2166"/>
      <c r="I63" s="2166"/>
      <c r="J63" s="2167"/>
    </row>
    <row r="64" spans="1:10" s="181" customFormat="1" x14ac:dyDescent="0.2">
      <c r="A64" s="253"/>
      <c r="B64" s="2165"/>
      <c r="C64" s="2166"/>
      <c r="D64" s="2166"/>
      <c r="E64" s="2166"/>
      <c r="F64" s="2166"/>
      <c r="G64" s="2166"/>
      <c r="H64" s="2166"/>
      <c r="I64" s="2166"/>
      <c r="J64" s="2167"/>
    </row>
    <row r="65" spans="1:10" s="181" customFormat="1" x14ac:dyDescent="0.2">
      <c r="A65" s="253"/>
      <c r="B65" s="2165"/>
      <c r="C65" s="2166"/>
      <c r="D65" s="2166"/>
      <c r="E65" s="2166"/>
      <c r="F65" s="2166"/>
      <c r="G65" s="2166"/>
      <c r="H65" s="2166"/>
      <c r="I65" s="2166"/>
      <c r="J65" s="2167"/>
    </row>
    <row r="66" spans="1:10" s="181" customFormat="1" x14ac:dyDescent="0.2">
      <c r="A66" s="253"/>
      <c r="B66" s="2165"/>
      <c r="C66" s="2166"/>
      <c r="D66" s="2166"/>
      <c r="E66" s="2166"/>
      <c r="F66" s="2166"/>
      <c r="G66" s="2166"/>
      <c r="H66" s="2166"/>
      <c r="I66" s="2166"/>
      <c r="J66" s="2167"/>
    </row>
    <row r="67" spans="1:10" s="181" customFormat="1" ht="9" customHeight="1" x14ac:dyDescent="0.2">
      <c r="A67" s="254"/>
      <c r="B67" s="2168"/>
      <c r="C67" s="2169"/>
      <c r="D67" s="2169"/>
      <c r="E67" s="2169"/>
      <c r="F67" s="2169"/>
      <c r="G67" s="2169"/>
      <c r="H67" s="2169"/>
      <c r="I67" s="2169"/>
      <c r="J67" s="217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5" t="s">
        <v>1323</v>
      </c>
      <c r="B70" s="2158"/>
      <c r="C70" s="2158"/>
      <c r="D70" s="2158"/>
      <c r="E70" s="2159"/>
      <c r="F70" s="2159"/>
      <c r="G70" s="2159"/>
      <c r="H70" s="2159"/>
      <c r="I70" s="215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09"/>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0" t="s">
        <v>1320</v>
      </c>
      <c r="B83" s="2160"/>
      <c r="C83" s="2160"/>
      <c r="D83" s="216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v>8426</v>
      </c>
      <c r="H88" s="276"/>
      <c r="I88" s="276"/>
      <c r="J88" s="277">
        <f>SUM(E88:I88)</f>
        <v>8426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8426</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42"/>
      <c r="C102" s="2143"/>
      <c r="D102" s="2143"/>
      <c r="E102" s="2143"/>
      <c r="F102" s="2143"/>
      <c r="G102" s="2143"/>
      <c r="H102" s="2143"/>
      <c r="I102" s="2144"/>
    </row>
    <row r="103" spans="1:9" s="181" customFormat="1" ht="11.25" customHeight="1" x14ac:dyDescent="0.2">
      <c r="A103" s="316"/>
      <c r="B103" s="2145"/>
      <c r="C103" s="2146"/>
      <c r="D103" s="2146"/>
      <c r="E103" s="2146"/>
      <c r="F103" s="2146"/>
      <c r="G103" s="2146"/>
      <c r="H103" s="2146"/>
      <c r="I103" s="2147"/>
    </row>
    <row r="104" spans="1:9" s="181" customFormat="1" ht="11.25" customHeight="1" x14ac:dyDescent="0.2">
      <c r="A104" s="316"/>
      <c r="B104" s="2145"/>
      <c r="C104" s="2146"/>
      <c r="D104" s="2146"/>
      <c r="E104" s="2146"/>
      <c r="F104" s="2146"/>
      <c r="G104" s="2146"/>
      <c r="H104" s="2146"/>
      <c r="I104" s="2147"/>
    </row>
    <row r="105" spans="1:9" s="181" customFormat="1" x14ac:dyDescent="0.2">
      <c r="A105" s="316"/>
      <c r="B105" s="2145"/>
      <c r="C105" s="2146"/>
      <c r="D105" s="2146"/>
      <c r="E105" s="2146"/>
      <c r="F105" s="2146"/>
      <c r="G105" s="2146"/>
      <c r="H105" s="2146"/>
      <c r="I105" s="2147"/>
    </row>
    <row r="106" spans="1:9" s="181" customFormat="1" ht="11.25" customHeight="1" x14ac:dyDescent="0.2">
      <c r="A106" s="316"/>
      <c r="B106" s="2145"/>
      <c r="C106" s="2146"/>
      <c r="D106" s="2146"/>
      <c r="E106" s="2146"/>
      <c r="F106" s="2146"/>
      <c r="G106" s="2146"/>
      <c r="H106" s="2146"/>
      <c r="I106" s="2147"/>
    </row>
    <row r="107" spans="1:9" s="181" customFormat="1" ht="11.25" customHeight="1" x14ac:dyDescent="0.2">
      <c r="A107" s="316"/>
      <c r="B107" s="2145"/>
      <c r="C107" s="2146"/>
      <c r="D107" s="2146"/>
      <c r="E107" s="2146"/>
      <c r="F107" s="2146"/>
      <c r="G107" s="2146"/>
      <c r="H107" s="2146"/>
      <c r="I107" s="2147"/>
    </row>
    <row r="108" spans="1:9" s="181" customFormat="1" ht="11.25" customHeight="1" x14ac:dyDescent="0.2">
      <c r="A108" s="316"/>
      <c r="B108" s="2145"/>
      <c r="C108" s="2146"/>
      <c r="D108" s="2146"/>
      <c r="E108" s="2146"/>
      <c r="F108" s="2146"/>
      <c r="G108" s="2146"/>
      <c r="H108" s="2146"/>
      <c r="I108" s="2147"/>
    </row>
    <row r="109" spans="1:9" s="181" customFormat="1" ht="11.25" customHeight="1" x14ac:dyDescent="0.2">
      <c r="A109" s="316"/>
      <c r="B109" s="2145"/>
      <c r="C109" s="2146"/>
      <c r="D109" s="2146"/>
      <c r="E109" s="2146"/>
      <c r="F109" s="2146"/>
      <c r="G109" s="2146"/>
      <c r="H109" s="2146"/>
      <c r="I109" s="2147"/>
    </row>
    <row r="110" spans="1:9" s="181" customFormat="1" ht="11.25" customHeight="1" x14ac:dyDescent="0.2">
      <c r="A110" s="316"/>
      <c r="B110" s="2145"/>
      <c r="C110" s="2146"/>
      <c r="D110" s="2146"/>
      <c r="E110" s="2146"/>
      <c r="F110" s="2146"/>
      <c r="G110" s="2146"/>
      <c r="H110" s="2146"/>
      <c r="I110" s="2147"/>
    </row>
    <row r="111" spans="1:9" s="181" customFormat="1" ht="11.25" customHeight="1" x14ac:dyDescent="0.2">
      <c r="A111" s="316"/>
      <c r="B111" s="2145"/>
      <c r="C111" s="2146"/>
      <c r="D111" s="2146"/>
      <c r="E111" s="2146"/>
      <c r="F111" s="2146"/>
      <c r="G111" s="2146"/>
      <c r="H111" s="2146"/>
      <c r="I111" s="2147"/>
    </row>
    <row r="112" spans="1:9" s="181" customFormat="1" ht="11.25" customHeight="1" x14ac:dyDescent="0.2">
      <c r="A112" s="316"/>
      <c r="B112" s="2148"/>
      <c r="C112" s="2149"/>
      <c r="D112" s="2149"/>
      <c r="E112" s="2149"/>
      <c r="F112" s="2149"/>
      <c r="G112" s="2149"/>
      <c r="H112" s="2149"/>
      <c r="I112" s="215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1" t="s">
        <v>2179</v>
      </c>
      <c r="D114" s="215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2" t="s">
        <v>1330</v>
      </c>
      <c r="D117" s="2153"/>
      <c r="E117" s="2154"/>
      <c r="F117" s="2154"/>
      <c r="G117" s="2154"/>
      <c r="H117" s="2154"/>
      <c r="I117" s="304"/>
    </row>
    <row r="118" spans="1:9" s="181" customFormat="1" ht="24" customHeight="1" x14ac:dyDescent="0.2">
      <c r="A118" s="316"/>
      <c r="B118" s="316"/>
      <c r="C118" s="316"/>
      <c r="D118" s="323"/>
      <c r="E118" s="322"/>
      <c r="F118" s="324"/>
      <c r="G118" s="1811"/>
      <c r="H118" s="322"/>
      <c r="I118" s="304"/>
    </row>
    <row r="119" spans="1:9" s="181" customFormat="1" ht="11.25" customHeight="1" x14ac:dyDescent="0.2">
      <c r="A119" s="325"/>
      <c r="B119" s="325"/>
      <c r="C119" s="326"/>
      <c r="D119" s="327" t="s">
        <v>361</v>
      </c>
      <c r="E119" s="310"/>
      <c r="F119" s="1810" t="s">
        <v>1903</v>
      </c>
      <c r="G119" s="328"/>
      <c r="H119" s="328"/>
      <c r="I119" s="304"/>
    </row>
    <row r="120" spans="1:9" x14ac:dyDescent="0.2">
      <c r="A120" s="329"/>
      <c r="B120" s="180"/>
      <c r="C120" s="330"/>
      <c r="D120" s="256"/>
      <c r="E120" s="256"/>
      <c r="F120" s="256"/>
      <c r="G120" s="256"/>
      <c r="H120" s="256"/>
      <c r="I120" s="304"/>
    </row>
    <row r="121" spans="1:9" x14ac:dyDescent="0.2">
      <c r="A121" s="329"/>
      <c r="B121" s="1459"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39997558519241921"/>
    <pageSetUpPr fitToPage="1"/>
  </sheetPr>
  <dimension ref="A1:G52"/>
  <sheetViews>
    <sheetView showGridLines="0" topLeftCell="A13"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25" t="str">
        <f>'Single Audit Cover'!A7</f>
        <v>NW Suburban Spec Educ Org</v>
      </c>
      <c r="B1" s="2525"/>
      <c r="C1" s="2525"/>
      <c r="D1" s="2525"/>
      <c r="E1" s="2525"/>
      <c r="F1" s="2525"/>
    </row>
    <row r="2" spans="1:7" ht="13.5" customHeight="1" x14ac:dyDescent="0.2">
      <c r="A2" s="2521">
        <f>'Single Audit Cover'!E7</f>
        <v>5016805060</v>
      </c>
      <c r="B2" s="2521"/>
      <c r="C2" s="2521"/>
      <c r="D2" s="2521"/>
      <c r="E2" s="2521"/>
      <c r="F2" s="2521"/>
      <c r="G2" s="1245"/>
    </row>
    <row r="3" spans="1:7" ht="15.75" customHeight="1" x14ac:dyDescent="0.2">
      <c r="A3" s="2526" t="s">
        <v>1271</v>
      </c>
      <c r="B3" s="2526"/>
      <c r="C3" s="2526"/>
      <c r="D3" s="2526"/>
      <c r="E3" s="2526"/>
      <c r="F3" s="2526"/>
    </row>
    <row r="4" spans="1:7" ht="13.5" customHeight="1" x14ac:dyDescent="0.2">
      <c r="A4" s="2527" t="str">
        <f>'Single Audit Cover'!A4</f>
        <v>Year Ending June 30, 2019</v>
      </c>
      <c r="B4" s="2527"/>
      <c r="C4" s="2527"/>
      <c r="D4" s="2527"/>
      <c r="E4" s="2527"/>
      <c r="F4" s="2527"/>
    </row>
    <row r="5" spans="1:7" ht="8.25" customHeight="1" x14ac:dyDescent="0.2">
      <c r="C5" s="317"/>
      <c r="D5" s="317"/>
    </row>
    <row r="6" spans="1:7" ht="13.5" customHeight="1" x14ac:dyDescent="0.2">
      <c r="A6" s="1246" t="s">
        <v>1728</v>
      </c>
      <c r="C6" s="317"/>
      <c r="D6" s="317"/>
    </row>
    <row r="7" spans="1:7" ht="60.95" customHeight="1" x14ac:dyDescent="0.2">
      <c r="A7" s="2524" t="s">
        <v>2175</v>
      </c>
      <c r="B7" s="2524"/>
      <c r="C7" s="2524"/>
      <c r="D7" s="2524"/>
      <c r="E7" s="2524"/>
      <c r="F7" s="2524"/>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2095</v>
      </c>
      <c r="F10" s="1250" t="s">
        <v>99</v>
      </c>
      <c r="G10" s="1248"/>
    </row>
    <row r="11" spans="1:7" ht="12" customHeight="1" x14ac:dyDescent="0.2">
      <c r="A11" s="1249"/>
      <c r="B11" s="1250"/>
      <c r="C11" s="1873"/>
      <c r="D11" s="1250"/>
      <c r="E11" s="1873"/>
      <c r="F11" s="1250"/>
      <c r="G11" s="1248"/>
    </row>
    <row r="12" spans="1:7" x14ac:dyDescent="0.2">
      <c r="A12" s="1246" t="s">
        <v>1587</v>
      </c>
      <c r="C12" s="1230"/>
      <c r="D12" s="1230"/>
    </row>
    <row r="13" spans="1:7" ht="15" customHeight="1" x14ac:dyDescent="0.2">
      <c r="A13" s="2524" t="s">
        <v>2176</v>
      </c>
      <c r="B13" s="2524"/>
      <c r="C13" s="2524"/>
      <c r="D13" s="2524"/>
      <c r="E13" s="2524"/>
      <c r="F13" s="2524"/>
    </row>
    <row r="14" spans="1:7" ht="9.75" customHeight="1" x14ac:dyDescent="0.2">
      <c r="C14" s="1230"/>
      <c r="D14" s="1230"/>
    </row>
    <row r="15" spans="1:7" ht="13.5" customHeight="1" x14ac:dyDescent="0.2">
      <c r="C15" s="1817" t="s">
        <v>1270</v>
      </c>
      <c r="D15" s="2529" t="s">
        <v>1269</v>
      </c>
      <c r="E15" s="2529"/>
      <c r="F15" s="2529"/>
    </row>
    <row r="16" spans="1:7" ht="13.5" customHeight="1" x14ac:dyDescent="0.2">
      <c r="A16" s="1252"/>
      <c r="B16" s="1246" t="s">
        <v>1268</v>
      </c>
      <c r="C16" s="1817" t="s">
        <v>1267</v>
      </c>
      <c r="D16" s="2530" t="s">
        <v>1588</v>
      </c>
      <c r="E16" s="2530"/>
      <c r="F16" s="2530"/>
    </row>
    <row r="17" spans="1:6" ht="20.45" customHeight="1" x14ac:dyDescent="0.2">
      <c r="A17" s="1253"/>
      <c r="B17" s="2025" t="s">
        <v>2166</v>
      </c>
      <c r="C17" s="2026">
        <v>84.027000000000001</v>
      </c>
      <c r="D17" s="2528">
        <v>8836859</v>
      </c>
      <c r="E17" s="2528"/>
      <c r="F17" s="2528"/>
    </row>
    <row r="18" spans="1:6" ht="20.65" customHeight="1" x14ac:dyDescent="0.2">
      <c r="A18" s="1253"/>
      <c r="B18" s="2025" t="s">
        <v>2167</v>
      </c>
      <c r="C18" s="2026">
        <v>84.173000000000002</v>
      </c>
      <c r="D18" s="2528">
        <v>212131</v>
      </c>
      <c r="E18" s="2528"/>
      <c r="F18" s="2528"/>
    </row>
    <row r="19" spans="1:6" ht="20.65" customHeight="1" x14ac:dyDescent="0.2">
      <c r="A19" s="1253"/>
      <c r="B19" s="1254"/>
      <c r="C19" s="1255"/>
      <c r="D19" s="2528"/>
      <c r="E19" s="2528"/>
      <c r="F19" s="2528"/>
    </row>
    <row r="20" spans="1:6" ht="20.65" customHeight="1" x14ac:dyDescent="0.2">
      <c r="A20" s="1253"/>
      <c r="B20" s="1254"/>
      <c r="C20" s="1255"/>
      <c r="D20" s="2528"/>
      <c r="E20" s="2528"/>
      <c r="F20" s="2528"/>
    </row>
    <row r="21" spans="1:6" ht="20.65" customHeight="1" x14ac:dyDescent="0.2">
      <c r="A21" s="1253"/>
      <c r="B21" s="1254"/>
      <c r="C21" s="1255"/>
      <c r="D21" s="2528"/>
      <c r="E21" s="2528"/>
      <c r="F21" s="2528"/>
    </row>
    <row r="22" spans="1:6" ht="20.65" customHeight="1" x14ac:dyDescent="0.2">
      <c r="A22" s="1253"/>
      <c r="B22" s="1254"/>
      <c r="C22" s="1255"/>
      <c r="D22" s="2528"/>
      <c r="E22" s="2528"/>
      <c r="F22" s="2528"/>
    </row>
    <row r="23" spans="1:6" ht="20.65" customHeight="1" x14ac:dyDescent="0.2">
      <c r="A23" s="1253"/>
      <c r="B23" s="1254"/>
      <c r="C23" s="1255"/>
      <c r="D23" s="2528"/>
      <c r="E23" s="2528"/>
      <c r="F23" s="2528"/>
    </row>
    <row r="24" spans="1:6" ht="20.65" customHeight="1" x14ac:dyDescent="0.2">
      <c r="A24" s="1253"/>
      <c r="B24" s="1254"/>
      <c r="C24" s="1255"/>
      <c r="D24" s="2528"/>
      <c r="E24" s="2528"/>
      <c r="F24" s="2528"/>
    </row>
    <row r="25" spans="1:6" ht="20.65" customHeight="1" x14ac:dyDescent="0.2">
      <c r="A25" s="1253"/>
      <c r="B25" s="1254"/>
      <c r="C25" s="1255"/>
      <c r="D25" s="2528"/>
      <c r="E25" s="2528"/>
      <c r="F25" s="2528"/>
    </row>
    <row r="26" spans="1:6" ht="20.65" customHeight="1" x14ac:dyDescent="0.2">
      <c r="A26" s="1253"/>
      <c r="B26" s="1254"/>
      <c r="C26" s="1255"/>
      <c r="D26" s="2528"/>
      <c r="E26" s="2528"/>
      <c r="F26" s="2528"/>
    </row>
    <row r="27" spans="1:6" ht="20.65" customHeight="1" x14ac:dyDescent="0.2">
      <c r="A27" s="1253"/>
      <c r="B27" s="1254"/>
      <c r="C27" s="1255"/>
      <c r="D27" s="2528"/>
      <c r="E27" s="2528"/>
      <c r="F27" s="2528"/>
    </row>
    <row r="28" spans="1:6" ht="20.65" customHeight="1" x14ac:dyDescent="0.2">
      <c r="A28" s="1253"/>
      <c r="B28" s="1254"/>
      <c r="C28" s="1255"/>
      <c r="D28" s="2528"/>
      <c r="E28" s="2528"/>
      <c r="F28" s="2528"/>
    </row>
    <row r="29" spans="1:6" ht="20.65" customHeight="1" x14ac:dyDescent="0.2">
      <c r="A29" s="1253"/>
      <c r="B29" s="1254"/>
      <c r="C29" s="1255"/>
      <c r="D29" s="2528"/>
      <c r="E29" s="2528"/>
      <c r="F29" s="2528"/>
    </row>
    <row r="30" spans="1:6" ht="12" customHeight="1" x14ac:dyDescent="0.2">
      <c r="A30" s="328"/>
      <c r="B30" s="328"/>
      <c r="C30" s="1433"/>
      <c r="D30" s="1874"/>
      <c r="E30" s="1256"/>
    </row>
    <row r="31" spans="1:6" ht="12" customHeight="1" x14ac:dyDescent="0.2">
      <c r="A31" s="1257" t="s">
        <v>1549</v>
      </c>
      <c r="B31" s="328"/>
      <c r="C31" s="1433"/>
      <c r="D31" s="1874"/>
      <c r="E31" s="1256"/>
    </row>
    <row r="32" spans="1:6" ht="30" customHeight="1" x14ac:dyDescent="0.2">
      <c r="A32" s="2532" t="s">
        <v>2177</v>
      </c>
      <c r="B32" s="2532"/>
      <c r="C32" s="2532"/>
      <c r="D32" s="2532"/>
      <c r="E32" s="2532"/>
      <c r="F32" s="2532"/>
    </row>
    <row r="33" spans="1:6" ht="13.5" customHeight="1" x14ac:dyDescent="0.2">
      <c r="A33" s="328" t="s">
        <v>1434</v>
      </c>
      <c r="B33" s="328"/>
      <c r="C33" s="1258">
        <f>+' SEFA'!I13</f>
        <v>8624</v>
      </c>
      <c r="D33" s="1874"/>
      <c r="E33" s="1256"/>
    </row>
    <row r="34" spans="1:6" ht="13.5" customHeight="1" x14ac:dyDescent="0.2">
      <c r="A34" s="328" t="s">
        <v>1835</v>
      </c>
      <c r="B34" s="328"/>
      <c r="C34" s="1259">
        <v>0</v>
      </c>
      <c r="D34" s="1874" t="s">
        <v>1589</v>
      </c>
      <c r="E34" s="2533">
        <f>+C33+C34</f>
        <v>8624</v>
      </c>
      <c r="F34" s="2534"/>
    </row>
    <row r="35" spans="1:6" ht="12" customHeight="1" x14ac:dyDescent="0.2">
      <c r="A35" s="328"/>
      <c r="B35" s="328"/>
      <c r="C35" s="1875"/>
      <c r="D35" s="1874"/>
      <c r="E35" s="1260"/>
      <c r="F35" s="1261"/>
    </row>
    <row r="36" spans="1:6" ht="13.5" customHeight="1" x14ac:dyDescent="0.2">
      <c r="A36" s="1257" t="s">
        <v>1550</v>
      </c>
      <c r="B36" s="328"/>
      <c r="C36" s="1433"/>
      <c r="D36" s="1874"/>
      <c r="E36" s="1256"/>
    </row>
    <row r="37" spans="1:6" ht="14.25" customHeight="1" x14ac:dyDescent="0.2">
      <c r="A37" s="328" t="s">
        <v>1484</v>
      </c>
      <c r="B37" s="328"/>
      <c r="C37" s="1876"/>
      <c r="D37" s="1874"/>
      <c r="E37" s="1256"/>
    </row>
    <row r="38" spans="1:6" ht="14.25" customHeight="1" x14ac:dyDescent="0.2">
      <c r="A38" s="328"/>
      <c r="B38" s="328" t="s">
        <v>1435</v>
      </c>
      <c r="C38" s="1262" t="s">
        <v>383</v>
      </c>
      <c r="D38" s="1874"/>
      <c r="E38" s="1256"/>
    </row>
    <row r="39" spans="1:6" ht="14.25" customHeight="1" x14ac:dyDescent="0.2">
      <c r="A39" s="328"/>
      <c r="B39" s="328" t="s">
        <v>1436</v>
      </c>
      <c r="C39" s="1262" t="s">
        <v>383</v>
      </c>
      <c r="D39" s="1874"/>
      <c r="E39" s="1256"/>
    </row>
    <row r="40" spans="1:6" ht="14.25" customHeight="1" x14ac:dyDescent="0.2">
      <c r="A40" s="328"/>
      <c r="B40" s="328" t="s">
        <v>1437</v>
      </c>
      <c r="C40" s="1262" t="s">
        <v>383</v>
      </c>
      <c r="D40" s="1874"/>
      <c r="E40" s="1256"/>
    </row>
    <row r="41" spans="1:6" ht="14.25" customHeight="1" x14ac:dyDescent="0.2">
      <c r="A41" s="328"/>
      <c r="B41" s="328" t="s">
        <v>1438</v>
      </c>
      <c r="C41" s="1262" t="s">
        <v>383</v>
      </c>
      <c r="D41" s="1874"/>
      <c r="E41" s="1256"/>
    </row>
    <row r="42" spans="1:6" ht="14.25" customHeight="1" x14ac:dyDescent="0.2">
      <c r="A42" s="328" t="s">
        <v>1439</v>
      </c>
      <c r="B42" s="328"/>
      <c r="C42" s="1872" t="s">
        <v>383</v>
      </c>
      <c r="D42" s="1874"/>
      <c r="E42" s="1256"/>
    </row>
    <row r="43" spans="1:6" ht="14.25" customHeight="1" x14ac:dyDescent="0.2">
      <c r="A43" s="328" t="s">
        <v>1440</v>
      </c>
      <c r="B43" s="328"/>
      <c r="C43" s="1263" t="s">
        <v>383</v>
      </c>
      <c r="D43" s="1874"/>
      <c r="E43" s="1256"/>
    </row>
    <row r="44" spans="1:6" ht="14.25" customHeight="1" x14ac:dyDescent="0.2">
      <c r="A44" s="328"/>
      <c r="B44" s="328"/>
      <c r="C44" s="1876" t="s">
        <v>1441</v>
      </c>
      <c r="D44" s="1874"/>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35" t="s">
        <v>1590</v>
      </c>
      <c r="C49" s="2535"/>
      <c r="D49" s="2535"/>
      <c r="E49" s="1367"/>
    </row>
    <row r="50" spans="1:5" s="1270" customFormat="1" ht="3.75" customHeight="1" x14ac:dyDescent="0.2">
      <c r="A50" s="1269"/>
      <c r="B50" s="1816"/>
      <c r="C50" s="1816"/>
      <c r="D50" s="1816"/>
      <c r="E50" s="1367"/>
    </row>
    <row r="51" spans="1:5" s="1270" customFormat="1" ht="20.25" customHeight="1" x14ac:dyDescent="0.2">
      <c r="A51" s="1271">
        <v>6</v>
      </c>
      <c r="B51" s="2531" t="s">
        <v>1551</v>
      </c>
      <c r="C51" s="2531"/>
      <c r="D51" s="2531"/>
    </row>
    <row r="52" spans="1:5" ht="14.25" customHeight="1" x14ac:dyDescent="0.2">
      <c r="A52" s="1271"/>
      <c r="B52" s="2531"/>
      <c r="C52" s="2531"/>
      <c r="D52" s="253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39997558519241921"/>
    <pageSetUpPr fitToPage="1"/>
  </sheetPr>
  <dimension ref="A1:J63"/>
  <sheetViews>
    <sheetView showGridLines="0" topLeftCell="A16" zoomScale="110" zoomScaleNormal="110" workbookViewId="0">
      <selection activeCell="G43" sqref="G43:I43"/>
    </sheetView>
  </sheetViews>
  <sheetFormatPr defaultColWidth="9.140625" defaultRowHeight="12.75" x14ac:dyDescent="0.2"/>
  <cols>
    <col min="1" max="1" width="1.42578125" style="1270" customWidth="1"/>
    <col min="2" max="2" width="24.42578125" style="1325"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7" t="str">
        <f>'Single Audit Cover'!A7</f>
        <v>NW Suburban Spec Educ Org</v>
      </c>
      <c r="C1" s="2538"/>
      <c r="D1" s="2538"/>
      <c r="E1" s="2538"/>
      <c r="F1" s="2538"/>
      <c r="G1" s="2538"/>
      <c r="H1" s="2538"/>
      <c r="I1" s="2538"/>
      <c r="J1" s="1377"/>
    </row>
    <row r="2" spans="2:10" s="317" customFormat="1" ht="12.75" customHeight="1" x14ac:dyDescent="0.2">
      <c r="B2" s="2539">
        <f>'Single Audit Cover'!E7</f>
        <v>5016805060</v>
      </c>
      <c r="C2" s="2540"/>
      <c r="D2" s="2540"/>
      <c r="E2" s="2540"/>
      <c r="F2" s="2540"/>
      <c r="G2" s="2540"/>
      <c r="H2" s="2540"/>
      <c r="I2" s="2540"/>
      <c r="J2" s="1377"/>
    </row>
    <row r="3" spans="2:10" s="317" customFormat="1" ht="12.75" customHeight="1" x14ac:dyDescent="0.2">
      <c r="B3" s="2541" t="s">
        <v>1285</v>
      </c>
      <c r="C3" s="2542"/>
      <c r="D3" s="2542"/>
      <c r="E3" s="2542"/>
      <c r="F3" s="2542"/>
      <c r="G3" s="2542"/>
      <c r="H3" s="2542"/>
      <c r="I3" s="2542"/>
      <c r="J3" s="1378"/>
    </row>
    <row r="4" spans="2:10" s="317" customFormat="1" ht="12.75" customHeight="1" x14ac:dyDescent="0.2">
      <c r="B4" s="2541" t="str">
        <f>'Single Audit Cover'!A4</f>
        <v>Year Ending June 30, 2019</v>
      </c>
      <c r="C4" s="2542"/>
      <c r="D4" s="2542"/>
      <c r="E4" s="2542"/>
      <c r="F4" s="2542"/>
      <c r="G4" s="2542"/>
      <c r="H4" s="2542"/>
      <c r="I4" s="2542"/>
    </row>
    <row r="5" spans="2:10" s="317" customFormat="1" ht="6.2" customHeight="1" x14ac:dyDescent="0.2">
      <c r="B5" s="1379" t="s">
        <v>1169</v>
      </c>
      <c r="C5" s="1264"/>
      <c r="D5" s="1264"/>
      <c r="E5" s="1351"/>
      <c r="F5" s="322"/>
      <c r="G5" s="322"/>
      <c r="H5" s="322"/>
      <c r="I5" s="322"/>
    </row>
    <row r="6" spans="2:10" s="317" customFormat="1" ht="6.2" customHeight="1" x14ac:dyDescent="0.2">
      <c r="B6" s="1380"/>
      <c r="C6" s="1347"/>
      <c r="D6" s="1347"/>
      <c r="E6" s="1348"/>
      <c r="F6" s="1347"/>
      <c r="G6" s="1347"/>
      <c r="H6" s="1347"/>
      <c r="I6" s="1347"/>
    </row>
    <row r="7" spans="2:10" s="317" customFormat="1" ht="13.5" customHeight="1" x14ac:dyDescent="0.2">
      <c r="B7" s="2541" t="s">
        <v>1284</v>
      </c>
      <c r="C7" s="2542"/>
      <c r="D7" s="2542"/>
      <c r="E7" s="2542"/>
      <c r="F7" s="2542"/>
      <c r="G7" s="2542"/>
      <c r="H7" s="2542"/>
      <c r="I7" s="2542"/>
    </row>
    <row r="8" spans="2:10" s="317" customFormat="1" ht="6.2" customHeight="1" x14ac:dyDescent="0.2">
      <c r="B8" s="1381" t="s">
        <v>1169</v>
      </c>
      <c r="C8" s="1382"/>
      <c r="D8" s="1382"/>
      <c r="E8" s="1383"/>
      <c r="F8" s="1382"/>
      <c r="G8" s="1382"/>
      <c r="H8" s="1382"/>
      <c r="I8" s="1382"/>
    </row>
    <row r="9" spans="2:10" s="317" customFormat="1" ht="9" customHeight="1" x14ac:dyDescent="0.2">
      <c r="B9" s="1384"/>
      <c r="C9" s="322"/>
      <c r="D9" s="322"/>
      <c r="E9" s="1351"/>
      <c r="F9" s="322"/>
      <c r="G9" s="322"/>
      <c r="H9" s="322"/>
      <c r="I9" s="322"/>
    </row>
    <row r="10" spans="2:10" s="317" customFormat="1" ht="12.75" customHeight="1" x14ac:dyDescent="0.2">
      <c r="B10" s="1385" t="s">
        <v>1283</v>
      </c>
      <c r="C10" s="1386"/>
      <c r="D10" s="1386"/>
      <c r="E10" s="1228"/>
    </row>
    <row r="11" spans="2:10" s="317" customFormat="1" ht="13.5" customHeight="1" x14ac:dyDescent="0.2">
      <c r="B11" s="1317" t="s">
        <v>1282</v>
      </c>
      <c r="C11" s="2543" t="s">
        <v>2168</v>
      </c>
      <c r="D11" s="2543"/>
      <c r="E11" s="1387"/>
      <c r="F11" s="1387"/>
      <c r="G11" s="1387"/>
    </row>
    <row r="12" spans="2:10" s="317" customFormat="1" ht="11.45" customHeight="1" x14ac:dyDescent="0.2">
      <c r="B12" s="1325"/>
      <c r="C12" s="1388" t="s">
        <v>1442</v>
      </c>
      <c r="D12" s="1389"/>
      <c r="E12" s="1228"/>
    </row>
    <row r="13" spans="2:10" s="317" customFormat="1" ht="12.75" customHeight="1" x14ac:dyDescent="0.2">
      <c r="B13" s="1390"/>
      <c r="C13" s="1355"/>
      <c r="D13" s="1355"/>
      <c r="E13" s="1228"/>
    </row>
    <row r="14" spans="2:10" s="317" customFormat="1" ht="12.75" customHeight="1" x14ac:dyDescent="0.2">
      <c r="B14" s="1336" t="s">
        <v>1281</v>
      </c>
      <c r="C14" s="1252"/>
      <c r="E14" s="1228"/>
    </row>
    <row r="15" spans="2:10" s="317" customFormat="1" ht="13.5" customHeight="1" x14ac:dyDescent="0.2">
      <c r="B15" s="1391" t="s">
        <v>1278</v>
      </c>
      <c r="C15" s="1392"/>
      <c r="D15" s="1366"/>
      <c r="E15" s="1393"/>
      <c r="F15" s="1270" t="s">
        <v>885</v>
      </c>
      <c r="G15" s="1393" t="s">
        <v>2095</v>
      </c>
      <c r="H15" s="1270" t="s">
        <v>1276</v>
      </c>
      <c r="I15" s="1270"/>
    </row>
    <row r="16" spans="2:10" s="317" customFormat="1" ht="8.4499999999999993" customHeight="1" x14ac:dyDescent="0.2">
      <c r="B16" s="1336"/>
      <c r="C16" s="1252"/>
      <c r="E16" s="1351"/>
      <c r="F16" s="1270"/>
      <c r="G16" s="322"/>
      <c r="H16" s="1270"/>
      <c r="I16" s="1270"/>
    </row>
    <row r="17" spans="2:9" s="317" customFormat="1" ht="13.5" customHeight="1" x14ac:dyDescent="0.2">
      <c r="B17" s="1391" t="s">
        <v>1277</v>
      </c>
      <c r="C17" s="1392"/>
      <c r="D17" s="1366"/>
      <c r="E17" s="1394"/>
      <c r="F17" s="1227"/>
      <c r="G17" s="1394"/>
      <c r="H17" s="1270"/>
      <c r="I17" s="1270"/>
    </row>
    <row r="18" spans="2:9" s="317" customFormat="1" ht="12.75" customHeight="1" x14ac:dyDescent="0.2">
      <c r="B18" s="1391" t="s">
        <v>1443</v>
      </c>
      <c r="C18" s="1392"/>
      <c r="D18" s="1366"/>
      <c r="E18" s="1393"/>
      <c r="F18" s="1270" t="s">
        <v>885</v>
      </c>
      <c r="G18" s="1393" t="s">
        <v>2095</v>
      </c>
      <c r="H18" s="1270" t="s">
        <v>1276</v>
      </c>
      <c r="I18" s="1270"/>
    </row>
    <row r="19" spans="2:9" s="317" customFormat="1" ht="8.4499999999999993" customHeight="1" x14ac:dyDescent="0.2">
      <c r="B19" s="1336"/>
      <c r="C19" s="1252"/>
      <c r="E19" s="1351"/>
      <c r="F19" s="1270"/>
      <c r="G19" s="322"/>
      <c r="H19" s="1270"/>
      <c r="I19" s="1270"/>
    </row>
    <row r="20" spans="2:9" s="317" customFormat="1" ht="13.5" customHeight="1" x14ac:dyDescent="0.2">
      <c r="B20" s="1391" t="s">
        <v>1591</v>
      </c>
      <c r="C20" s="1392"/>
      <c r="D20" s="1366"/>
      <c r="E20" s="1393"/>
      <c r="F20" s="1270" t="s">
        <v>885</v>
      </c>
      <c r="G20" s="1393" t="s">
        <v>2095</v>
      </c>
      <c r="H20" s="1270" t="s">
        <v>99</v>
      </c>
      <c r="I20" s="1270"/>
    </row>
    <row r="21" spans="2:9" s="317" customFormat="1" ht="12.75" customHeight="1" x14ac:dyDescent="0.2">
      <c r="B21" s="1336"/>
      <c r="C21" s="1252"/>
      <c r="E21" s="1351"/>
      <c r="F21" s="1270"/>
      <c r="G21" s="322"/>
      <c r="H21" s="1270"/>
      <c r="I21" s="1270"/>
    </row>
    <row r="22" spans="2:9" s="317" customFormat="1" ht="12.75" customHeight="1" x14ac:dyDescent="0.2">
      <c r="B22" s="1385" t="s">
        <v>1280</v>
      </c>
      <c r="C22" s="1395"/>
      <c r="D22" s="1386"/>
      <c r="E22" s="1351"/>
      <c r="F22" s="1270"/>
      <c r="G22" s="322"/>
      <c r="H22" s="1270"/>
      <c r="I22" s="1270"/>
    </row>
    <row r="23" spans="2:9" s="317" customFormat="1" ht="12.75" customHeight="1" x14ac:dyDescent="0.2">
      <c r="B23" s="1336" t="s">
        <v>1279</v>
      </c>
      <c r="C23" s="1252"/>
      <c r="E23" s="1351"/>
      <c r="F23" s="1270"/>
      <c r="G23" s="322"/>
      <c r="H23" s="1270"/>
      <c r="I23" s="1270"/>
    </row>
    <row r="24" spans="2:9" s="317" customFormat="1" ht="13.5" customHeight="1" x14ac:dyDescent="0.2">
      <c r="B24" s="1391" t="s">
        <v>1278</v>
      </c>
      <c r="C24" s="1392"/>
      <c r="D24" s="1366"/>
      <c r="E24" s="1393"/>
      <c r="F24" s="1270" t="s">
        <v>885</v>
      </c>
      <c r="G24" s="1393" t="s">
        <v>2095</v>
      </c>
      <c r="H24" s="1270" t="s">
        <v>1276</v>
      </c>
      <c r="I24" s="1270"/>
    </row>
    <row r="25" spans="2:9" s="317" customFormat="1" ht="8.4499999999999993" customHeight="1" x14ac:dyDescent="0.2">
      <c r="B25" s="1336"/>
      <c r="C25" s="1252"/>
      <c r="E25" s="1351"/>
      <c r="F25" s="1270"/>
      <c r="G25" s="322"/>
      <c r="H25" s="1270"/>
      <c r="I25" s="1270"/>
    </row>
    <row r="26" spans="2:9" s="317" customFormat="1" ht="13.5" customHeight="1" x14ac:dyDescent="0.2">
      <c r="B26" s="1391" t="s">
        <v>1277</v>
      </c>
      <c r="C26" s="1392"/>
      <c r="D26" s="1366"/>
      <c r="E26" s="1394"/>
      <c r="F26" s="1227"/>
      <c r="G26" s="1394"/>
      <c r="H26" s="1270"/>
      <c r="I26" s="1270"/>
    </row>
    <row r="27" spans="2:9" s="317" customFormat="1" ht="12.75" customHeight="1" x14ac:dyDescent="0.2">
      <c r="B27" s="1391" t="s">
        <v>1443</v>
      </c>
      <c r="C27" s="1392"/>
      <c r="D27" s="1366"/>
      <c r="E27" s="1393"/>
      <c r="F27" s="1270" t="s">
        <v>885</v>
      </c>
      <c r="G27" s="1393" t="s">
        <v>2095</v>
      </c>
      <c r="H27" s="1270" t="s">
        <v>1276</v>
      </c>
      <c r="I27" s="1270"/>
    </row>
    <row r="28" spans="2:9" s="317" customFormat="1" ht="12.75" customHeight="1" x14ac:dyDescent="0.2">
      <c r="B28" s="1336"/>
      <c r="C28" s="1252"/>
      <c r="E28" s="1228"/>
    </row>
    <row r="29" spans="2:9" s="317" customFormat="1" ht="12.75" customHeight="1" x14ac:dyDescent="0.2">
      <c r="B29" s="1336" t="s">
        <v>1275</v>
      </c>
      <c r="C29" s="1252"/>
      <c r="D29" s="2544"/>
      <c r="E29" s="2544"/>
      <c r="F29" s="2544"/>
      <c r="G29" s="2544"/>
      <c r="H29" s="2544"/>
      <c r="I29" s="2544"/>
    </row>
    <row r="30" spans="2:9" s="317" customFormat="1" x14ac:dyDescent="0.2">
      <c r="B30" s="1336"/>
      <c r="C30" s="322"/>
      <c r="D30" s="1388" t="s">
        <v>1745</v>
      </c>
      <c r="E30" s="1389"/>
      <c r="F30" s="1389"/>
      <c r="G30" s="1389"/>
      <c r="H30" s="1389"/>
      <c r="I30" s="1389"/>
    </row>
    <row r="31" spans="2:9" s="317" customFormat="1" ht="9.9499999999999993" customHeight="1" x14ac:dyDescent="0.2">
      <c r="B31" s="1336"/>
      <c r="E31" s="1228"/>
    </row>
    <row r="32" spans="2:9" s="317" customFormat="1" x14ac:dyDescent="0.2">
      <c r="B32" s="1336" t="s">
        <v>1274</v>
      </c>
      <c r="C32" s="1252"/>
      <c r="E32" s="1228"/>
    </row>
    <row r="33" spans="2:9" ht="13.5" customHeight="1" x14ac:dyDescent="0.2">
      <c r="B33" s="1336" t="s">
        <v>1552</v>
      </c>
      <c r="C33" s="1252"/>
      <c r="E33" s="1393"/>
      <c r="F33" s="1270" t="s">
        <v>885</v>
      </c>
      <c r="G33" s="1393" t="s">
        <v>2095</v>
      </c>
      <c r="H33" s="1270" t="s">
        <v>99</v>
      </c>
    </row>
    <row r="35" spans="2:9" x14ac:dyDescent="0.2">
      <c r="B35" s="1396" t="s">
        <v>1746</v>
      </c>
      <c r="C35" s="1397"/>
      <c r="D35" s="1237"/>
    </row>
    <row r="36" spans="2:9" ht="6" customHeight="1" x14ac:dyDescent="0.2">
      <c r="B36" s="1396"/>
      <c r="C36" s="1397"/>
      <c r="D36" s="1237"/>
    </row>
    <row r="37" spans="2:9" ht="17.25" customHeight="1" x14ac:dyDescent="0.2">
      <c r="B37" s="1398" t="s">
        <v>1747</v>
      </c>
      <c r="C37" s="2545" t="s">
        <v>1748</v>
      </c>
      <c r="D37" s="2546"/>
      <c r="E37" s="2546"/>
      <c r="F37" s="2547"/>
      <c r="G37" s="2545" t="s">
        <v>1592</v>
      </c>
      <c r="H37" s="2546"/>
      <c r="I37" s="2547"/>
    </row>
    <row r="38" spans="2:9" ht="16.5" customHeight="1" x14ac:dyDescent="0.2">
      <c r="B38" s="2027">
        <v>84.027000000000001</v>
      </c>
      <c r="C38" s="2551" t="s">
        <v>2169</v>
      </c>
      <c r="D38" s="2552"/>
      <c r="E38" s="2552"/>
      <c r="F38" s="2553"/>
      <c r="G38" s="2548">
        <v>10256241</v>
      </c>
      <c r="H38" s="2549"/>
      <c r="I38" s="2550"/>
    </row>
    <row r="39" spans="2:9" ht="16.5" customHeight="1" x14ac:dyDescent="0.2">
      <c r="B39" s="2027">
        <v>84.173000000000002</v>
      </c>
      <c r="C39" s="2551" t="s">
        <v>2170</v>
      </c>
      <c r="D39" s="2552"/>
      <c r="E39" s="2552"/>
      <c r="F39" s="2553"/>
      <c r="G39" s="2536">
        <v>212131</v>
      </c>
      <c r="H39" s="2536"/>
      <c r="I39" s="2536"/>
    </row>
    <row r="40" spans="2:9" ht="16.5" customHeight="1" x14ac:dyDescent="0.2">
      <c r="B40" s="1399"/>
      <c r="C40" s="2551"/>
      <c r="D40" s="2552"/>
      <c r="E40" s="2552"/>
      <c r="F40" s="2553"/>
      <c r="G40" s="2536"/>
      <c r="H40" s="2536"/>
      <c r="I40" s="2536"/>
    </row>
    <row r="41" spans="2:9" ht="16.5" customHeight="1" x14ac:dyDescent="0.2">
      <c r="B41" s="1399"/>
      <c r="C41" s="2551"/>
      <c r="D41" s="2552"/>
      <c r="E41" s="2552"/>
      <c r="F41" s="2553"/>
      <c r="G41" s="2536"/>
      <c r="H41" s="2536"/>
      <c r="I41" s="2536"/>
    </row>
    <row r="42" spans="2:9" ht="16.5" customHeight="1" x14ac:dyDescent="0.2">
      <c r="B42" s="1399"/>
      <c r="C42" s="2551"/>
      <c r="D42" s="2552"/>
      <c r="E42" s="2552"/>
      <c r="F42" s="2553"/>
      <c r="G42" s="2536"/>
      <c r="H42" s="2536"/>
      <c r="I42" s="2536"/>
    </row>
    <row r="43" spans="2:9" ht="16.5" customHeight="1" x14ac:dyDescent="0.2">
      <c r="B43" s="1399"/>
      <c r="C43" s="2554" t="s">
        <v>1593</v>
      </c>
      <c r="D43" s="2555"/>
      <c r="E43" s="2555"/>
      <c r="F43" s="2556"/>
      <c r="G43" s="2557">
        <f>SUM(G38:I42)</f>
        <v>10468372</v>
      </c>
      <c r="H43" s="2557"/>
      <c r="I43" s="2557"/>
    </row>
    <row r="44" spans="2:9" ht="12.75" customHeight="1" x14ac:dyDescent="0.2"/>
    <row r="45" spans="2:9" ht="12.75" customHeight="1" x14ac:dyDescent="0.2">
      <c r="B45" s="1390" t="s">
        <v>1838</v>
      </c>
      <c r="D45" s="2558">
        <f>+' SEFA (2)'!I16</f>
        <v>10792708</v>
      </c>
      <c r="E45" s="2559"/>
    </row>
    <row r="46" spans="2:9" ht="5.25" customHeight="1" x14ac:dyDescent="0.2">
      <c r="B46" s="1400"/>
      <c r="D46" s="1401"/>
      <c r="E46" s="1402"/>
    </row>
    <row r="47" spans="2:9" ht="12.75" customHeight="1" x14ac:dyDescent="0.2">
      <c r="B47" s="1270" t="s">
        <v>1594</v>
      </c>
      <c r="C47" s="1270"/>
      <c r="D47" s="1403">
        <f>+G43/D45</f>
        <v>0.9699485986278884</v>
      </c>
      <c r="E47" s="1404"/>
      <c r="F47" s="1405"/>
      <c r="I47" s="1406"/>
    </row>
    <row r="48" spans="2:9" ht="9.9499999999999993" customHeight="1" x14ac:dyDescent="0.2"/>
    <row r="49" spans="1:9" x14ac:dyDescent="0.2">
      <c r="B49" s="1336" t="s">
        <v>1273</v>
      </c>
      <c r="C49" s="1252"/>
      <c r="D49" s="1252"/>
      <c r="E49" s="2560">
        <v>750000</v>
      </c>
      <c r="F49" s="2560"/>
      <c r="G49" s="2560"/>
      <c r="H49" s="322"/>
    </row>
    <row r="51" spans="1:9" ht="13.5" customHeight="1" x14ac:dyDescent="0.2">
      <c r="B51" s="1336" t="s">
        <v>1272</v>
      </c>
      <c r="C51" s="1252"/>
      <c r="E51" s="1393" t="s">
        <v>2095</v>
      </c>
      <c r="F51" s="1270" t="s">
        <v>885</v>
      </c>
      <c r="G51" s="1393"/>
      <c r="H51" s="1270" t="s">
        <v>99</v>
      </c>
    </row>
    <row r="52" spans="1:9" x14ac:dyDescent="0.2">
      <c r="B52" s="1328"/>
      <c r="C52" s="1267"/>
      <c r="D52" s="1407"/>
      <c r="E52" s="1408"/>
      <c r="F52" s="1409"/>
      <c r="G52" s="1409"/>
      <c r="H52" s="1409"/>
      <c r="I52" s="1409"/>
    </row>
    <row r="53" spans="1:9" ht="6" customHeight="1" x14ac:dyDescent="0.2">
      <c r="B53" s="1384"/>
      <c r="C53" s="322"/>
      <c r="D53" s="1410"/>
      <c r="E53" s="1411"/>
      <c r="F53" s="1412"/>
      <c r="G53" s="1412"/>
      <c r="H53" s="1412"/>
      <c r="I53" s="1412"/>
    </row>
    <row r="54" spans="1:9" s="1416" customFormat="1" ht="14.25" x14ac:dyDescent="0.2">
      <c r="A54" s="1413"/>
      <c r="B54" s="1414" t="s">
        <v>1749</v>
      </c>
      <c r="C54" s="1415"/>
      <c r="D54" s="1415"/>
    </row>
    <row r="55" spans="1:9" s="1416" customFormat="1" ht="12.75" customHeight="1" x14ac:dyDescent="0.2">
      <c r="A55" s="1413"/>
      <c r="B55" s="1417" t="s">
        <v>1595</v>
      </c>
      <c r="C55" s="1413"/>
      <c r="D55" s="1413"/>
    </row>
    <row r="56" spans="1:9" s="1416" customFormat="1" ht="12.75" customHeight="1" x14ac:dyDescent="0.2">
      <c r="A56" s="1413"/>
      <c r="B56" s="1417" t="s">
        <v>1596</v>
      </c>
      <c r="C56" s="1413"/>
      <c r="D56" s="1413"/>
    </row>
    <row r="57" spans="1:9" s="1416" customFormat="1" ht="3.95" customHeight="1" x14ac:dyDescent="0.2">
      <c r="A57" s="1413"/>
      <c r="B57" s="1417"/>
      <c r="C57" s="1413"/>
      <c r="D57" s="1413"/>
    </row>
    <row r="58" spans="1:9" s="1416" customFormat="1" ht="13.5" customHeight="1" x14ac:dyDescent="0.2">
      <c r="A58" s="1413"/>
      <c r="B58" s="1418" t="s">
        <v>1750</v>
      </c>
      <c r="C58" s="1419"/>
      <c r="D58" s="1419"/>
    </row>
    <row r="59" spans="1:9" s="1416" customFormat="1" ht="3.95" customHeight="1" x14ac:dyDescent="0.2">
      <c r="A59" s="1413"/>
      <c r="B59" s="1418"/>
      <c r="C59" s="1419"/>
      <c r="D59" s="1419"/>
    </row>
    <row r="60" spans="1:9" s="1416" customFormat="1" ht="13.5" customHeight="1" x14ac:dyDescent="0.2">
      <c r="A60" s="1413"/>
      <c r="B60" s="1418" t="s">
        <v>1751</v>
      </c>
      <c r="C60" s="1419"/>
      <c r="D60" s="1419"/>
    </row>
    <row r="61" spans="1:9" s="1416" customFormat="1" ht="3.95" customHeight="1" x14ac:dyDescent="0.2">
      <c r="A61" s="1413"/>
      <c r="B61" s="1418"/>
      <c r="C61" s="1419"/>
      <c r="D61" s="1419"/>
    </row>
    <row r="62" spans="1:9" s="1416" customFormat="1" ht="12.75" customHeight="1" x14ac:dyDescent="0.2">
      <c r="A62" s="1413"/>
      <c r="B62" s="1418" t="s">
        <v>1752</v>
      </c>
      <c r="C62" s="1419"/>
      <c r="D62" s="1419"/>
    </row>
    <row r="63" spans="1:9" s="1416" customFormat="1" ht="13.5" customHeight="1" x14ac:dyDescent="0.2">
      <c r="A63" s="1413"/>
      <c r="B63" s="1417" t="s">
        <v>1597</v>
      </c>
      <c r="C63" s="1413"/>
      <c r="D63" s="1413"/>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G39:I39"/>
    <mergeCell ref="B1:I1"/>
    <mergeCell ref="B2:I2"/>
    <mergeCell ref="B3:I3"/>
    <mergeCell ref="B4:I4"/>
    <mergeCell ref="B7:I7"/>
    <mergeCell ref="C11:D11"/>
    <mergeCell ref="D29:I29"/>
    <mergeCell ref="C37:F37"/>
    <mergeCell ref="G37:I37"/>
    <mergeCell ref="G38:I38"/>
    <mergeCell ref="C39:F39"/>
    <mergeCell ref="C38:F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39997558519241921"/>
  </sheetPr>
  <dimension ref="A1:M41"/>
  <sheetViews>
    <sheetView showGridLines="0" view="pageBreakPreview" zoomScale="6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7" t="str">
        <f>'Single Audit Cover'!A7</f>
        <v>NW Suburban Spec Educ Org</v>
      </c>
      <c r="C1" s="2537"/>
      <c r="D1" s="2537"/>
      <c r="E1" s="2537"/>
      <c r="F1" s="2537"/>
      <c r="G1" s="2537"/>
      <c r="H1" s="2537"/>
      <c r="I1" s="2537"/>
      <c r="J1" s="2537"/>
      <c r="K1" s="2537"/>
      <c r="L1" s="1342"/>
      <c r="M1" s="1342"/>
    </row>
    <row r="2" spans="1:13" ht="12" customHeight="1" x14ac:dyDescent="0.2">
      <c r="B2" s="2539">
        <f>'Single Audit Cover'!E7</f>
        <v>5016805060</v>
      </c>
      <c r="C2" s="2539"/>
      <c r="D2" s="2539"/>
      <c r="E2" s="2539"/>
      <c r="F2" s="2539"/>
      <c r="G2" s="2539"/>
      <c r="H2" s="2539"/>
      <c r="I2" s="2539"/>
      <c r="J2" s="2539"/>
      <c r="K2" s="2539"/>
      <c r="L2" s="1343"/>
      <c r="M2" s="1344"/>
    </row>
    <row r="3" spans="1:13" ht="10.35" customHeight="1" x14ac:dyDescent="0.2">
      <c r="B3" s="2563" t="s">
        <v>1285</v>
      </c>
      <c r="C3" s="2563"/>
      <c r="D3" s="2563"/>
      <c r="E3" s="2563"/>
      <c r="F3" s="2563"/>
      <c r="G3" s="2563"/>
      <c r="H3" s="2563"/>
      <c r="I3" s="2563"/>
      <c r="J3" s="2563"/>
      <c r="K3" s="2563"/>
      <c r="L3" s="1345"/>
      <c r="M3" s="1345"/>
    </row>
    <row r="4" spans="1:13" ht="14.25" customHeight="1" x14ac:dyDescent="0.2">
      <c r="B4" s="2564" t="str">
        <f>'Single Audit Cover'!A4</f>
        <v>Year Ending June 30, 2019</v>
      </c>
      <c r="C4" s="2564"/>
      <c r="D4" s="2564"/>
      <c r="E4" s="2564"/>
      <c r="F4" s="2564"/>
      <c r="G4" s="2564"/>
      <c r="H4" s="2564"/>
      <c r="I4" s="2564"/>
      <c r="J4" s="2564"/>
      <c r="K4" s="2564"/>
      <c r="L4" s="313"/>
      <c r="M4" s="313"/>
    </row>
    <row r="5" spans="1:13" ht="7.5" customHeight="1" x14ac:dyDescent="0.2">
      <c r="B5" s="1230" t="s">
        <v>1169</v>
      </c>
      <c r="C5" s="1230"/>
    </row>
    <row r="6" spans="1:13" ht="7.5" customHeight="1" x14ac:dyDescent="0.2">
      <c r="B6" s="1346"/>
      <c r="C6" s="1346"/>
      <c r="D6" s="1347"/>
      <c r="E6" s="1347"/>
      <c r="F6" s="1347"/>
      <c r="G6" s="1348"/>
      <c r="H6" s="1347"/>
      <c r="I6" s="1348"/>
      <c r="J6" s="1347"/>
      <c r="K6" s="1347"/>
      <c r="L6" s="1349"/>
    </row>
    <row r="7" spans="1:13" ht="12.75" customHeight="1" x14ac:dyDescent="0.2">
      <c r="A7" s="1252"/>
      <c r="B7" s="2564" t="s">
        <v>1296</v>
      </c>
      <c r="C7" s="2564"/>
      <c r="D7" s="2565"/>
      <c r="E7" s="2565"/>
      <c r="F7" s="2565"/>
      <c r="G7" s="2565"/>
      <c r="H7" s="2565"/>
      <c r="I7" s="2565"/>
      <c r="J7" s="2565"/>
      <c r="K7" s="2565"/>
      <c r="L7" s="1350"/>
    </row>
    <row r="8" spans="1:13" ht="7.5" customHeight="1" x14ac:dyDescent="0.2">
      <c r="B8" s="322"/>
      <c r="C8" s="322"/>
      <c r="D8" s="322"/>
      <c r="E8" s="322"/>
      <c r="F8" s="322"/>
      <c r="G8" s="1351"/>
      <c r="H8" s="322"/>
      <c r="I8" s="1351"/>
      <c r="J8" s="322"/>
      <c r="K8" s="322"/>
      <c r="L8" s="1349"/>
    </row>
    <row r="9" spans="1:13" ht="9.6" customHeight="1" x14ac:dyDescent="0.2">
      <c r="B9" s="1347"/>
      <c r="C9" s="1347"/>
      <c r="D9" s="1347"/>
      <c r="E9" s="1347"/>
      <c r="F9" s="1347"/>
      <c r="G9" s="1348"/>
      <c r="H9" s="1347"/>
      <c r="I9" s="1348"/>
      <c r="J9" s="1347"/>
      <c r="K9" s="1347"/>
      <c r="L9" s="1349"/>
    </row>
    <row r="10" spans="1:13" ht="16.5" customHeight="1" x14ac:dyDescent="0.2">
      <c r="B10" s="1352" t="s">
        <v>1739</v>
      </c>
      <c r="C10" s="1353" t="s">
        <v>1988</v>
      </c>
      <c r="D10" s="1354" t="s">
        <v>2171</v>
      </c>
      <c r="E10" s="322"/>
      <c r="F10" s="1355" t="s">
        <v>1295</v>
      </c>
      <c r="G10" s="1356"/>
      <c r="H10" s="1357" t="s">
        <v>1294</v>
      </c>
      <c r="I10" s="1356"/>
      <c r="J10" s="1358" t="s">
        <v>1293</v>
      </c>
      <c r="K10" s="322"/>
      <c r="L10" s="1349"/>
    </row>
    <row r="11" spans="1:13" ht="13.5" customHeight="1" x14ac:dyDescent="0.2">
      <c r="B11" s="322"/>
      <c r="C11" s="322"/>
      <c r="D11" s="322"/>
      <c r="E11" s="322"/>
      <c r="F11" s="322"/>
      <c r="G11" s="1351"/>
      <c r="H11" s="322"/>
      <c r="I11" s="1359" t="s">
        <v>1292</v>
      </c>
      <c r="J11" s="322"/>
      <c r="K11" s="1360"/>
      <c r="L11" s="1349"/>
    </row>
    <row r="12" spans="1:13" ht="13.5" customHeight="1" x14ac:dyDescent="0.2">
      <c r="B12" s="1264"/>
      <c r="C12" s="1264"/>
      <c r="D12" s="322"/>
      <c r="E12" s="322"/>
      <c r="F12" s="322"/>
      <c r="G12" s="1351"/>
      <c r="H12" s="322"/>
      <c r="I12" s="1351"/>
      <c r="J12" s="322"/>
      <c r="L12" s="1349"/>
    </row>
    <row r="13" spans="1:13" s="1252" customFormat="1" ht="13.5" customHeight="1" x14ac:dyDescent="0.2">
      <c r="B13" s="1361" t="s">
        <v>1291</v>
      </c>
      <c r="C13" s="1361"/>
      <c r="D13" s="1362"/>
      <c r="E13" s="1362"/>
      <c r="F13" s="1362"/>
      <c r="G13" s="1363"/>
      <c r="H13" s="1362"/>
      <c r="I13" s="1363"/>
      <c r="J13" s="1362"/>
      <c r="K13" s="1362"/>
      <c r="L13" s="1364"/>
    </row>
    <row r="14" spans="1:13" ht="45.75" customHeight="1" x14ac:dyDescent="0.2">
      <c r="B14" s="2562"/>
      <c r="C14" s="2562"/>
      <c r="D14" s="2562"/>
      <c r="E14" s="2562"/>
      <c r="F14" s="2562"/>
      <c r="G14" s="2562"/>
      <c r="H14" s="2562"/>
      <c r="I14" s="2562"/>
      <c r="J14" s="2562"/>
      <c r="K14" s="2562"/>
      <c r="L14" s="1365"/>
    </row>
    <row r="15" spans="1:13" ht="4.5" customHeight="1" x14ac:dyDescent="0.2">
      <c r="B15" s="1366"/>
      <c r="C15" s="1366"/>
      <c r="D15" s="1367"/>
      <c r="E15" s="1367"/>
      <c r="F15" s="1367"/>
      <c r="H15" s="1367"/>
      <c r="J15" s="1367"/>
      <c r="K15" s="1367"/>
      <c r="L15" s="1365"/>
    </row>
    <row r="16" spans="1:13" s="1252" customFormat="1" ht="13.5" customHeight="1" x14ac:dyDescent="0.2">
      <c r="B16" s="1361" t="s">
        <v>1290</v>
      </c>
      <c r="C16" s="1361"/>
      <c r="D16" s="1362"/>
      <c r="E16" s="1362"/>
      <c r="F16" s="1362"/>
      <c r="G16" s="1363"/>
      <c r="H16" s="1362"/>
      <c r="I16" s="1363"/>
      <c r="J16" s="1362"/>
      <c r="K16" s="1362"/>
      <c r="L16" s="1364"/>
    </row>
    <row r="17" spans="2:12" ht="45.75" customHeight="1" x14ac:dyDescent="0.2">
      <c r="B17" s="2562"/>
      <c r="C17" s="2562"/>
      <c r="D17" s="2562"/>
      <c r="E17" s="2562"/>
      <c r="F17" s="2562"/>
      <c r="G17" s="2562"/>
      <c r="H17" s="2562"/>
      <c r="I17" s="2562"/>
      <c r="J17" s="2562"/>
      <c r="K17" s="2562"/>
      <c r="L17" s="1349"/>
    </row>
    <row r="18" spans="2:12" ht="4.5" customHeight="1" x14ac:dyDescent="0.2">
      <c r="B18" s="1366"/>
      <c r="C18" s="1366"/>
      <c r="L18" s="1349"/>
    </row>
    <row r="19" spans="2:12" s="1252" customFormat="1" ht="13.5" customHeight="1" x14ac:dyDescent="0.2">
      <c r="B19" s="1361" t="s">
        <v>1740</v>
      </c>
      <c r="C19" s="1361"/>
      <c r="D19" s="1362"/>
      <c r="E19" s="1362"/>
      <c r="F19" s="1362"/>
      <c r="G19" s="1363"/>
      <c r="H19" s="1362"/>
      <c r="I19" s="1363"/>
      <c r="J19" s="1362"/>
      <c r="K19" s="1362"/>
      <c r="L19" s="1364"/>
    </row>
    <row r="20" spans="2:12" ht="45.75" customHeight="1" x14ac:dyDescent="0.2">
      <c r="B20" s="2566"/>
      <c r="C20" s="2566"/>
      <c r="D20" s="2562"/>
      <c r="E20" s="2562"/>
      <c r="F20" s="2562"/>
      <c r="G20" s="2562"/>
      <c r="H20" s="2562"/>
      <c r="I20" s="2562"/>
      <c r="J20" s="2562"/>
      <c r="K20" s="2562"/>
      <c r="L20" s="1349"/>
    </row>
    <row r="21" spans="2:12" ht="4.5" customHeight="1" x14ac:dyDescent="0.2">
      <c r="B21" s="1368"/>
      <c r="C21" s="1368"/>
      <c r="L21" s="1349"/>
    </row>
    <row r="22" spans="2:12" ht="13.5" customHeight="1" x14ac:dyDescent="0.2">
      <c r="B22" s="1361" t="s">
        <v>1289</v>
      </c>
      <c r="C22" s="1361"/>
      <c r="D22" s="1347"/>
      <c r="E22" s="1347"/>
      <c r="F22" s="1347"/>
      <c r="G22" s="1348"/>
      <c r="H22" s="1347"/>
      <c r="I22" s="1348"/>
      <c r="J22" s="1347"/>
      <c r="K22" s="1347"/>
      <c r="L22" s="1349"/>
    </row>
    <row r="23" spans="2:12" ht="45" customHeight="1" x14ac:dyDescent="0.2">
      <c r="B23" s="2562"/>
      <c r="C23" s="2562"/>
      <c r="D23" s="2562"/>
      <c r="E23" s="2562"/>
      <c r="F23" s="2562"/>
      <c r="G23" s="2562"/>
      <c r="H23" s="2562"/>
      <c r="I23" s="2562"/>
      <c r="J23" s="2562"/>
      <c r="K23" s="2562"/>
      <c r="L23" s="1349"/>
    </row>
    <row r="24" spans="2:12" ht="4.5" customHeight="1" x14ac:dyDescent="0.2">
      <c r="B24" s="1366"/>
      <c r="C24" s="1366"/>
      <c r="L24" s="1349"/>
    </row>
    <row r="25" spans="2:12" ht="13.5" customHeight="1" x14ac:dyDescent="0.2">
      <c r="B25" s="1361" t="s">
        <v>1288</v>
      </c>
      <c r="C25" s="1361"/>
      <c r="D25" s="1347"/>
      <c r="E25" s="1347"/>
      <c r="F25" s="1347"/>
      <c r="G25" s="1348"/>
      <c r="H25" s="1347"/>
      <c r="I25" s="1348"/>
      <c r="J25" s="1347"/>
      <c r="K25" s="1347"/>
      <c r="L25" s="1349"/>
    </row>
    <row r="26" spans="2:12" ht="45.75" customHeight="1" x14ac:dyDescent="0.2">
      <c r="B26" s="2562"/>
      <c r="C26" s="2562"/>
      <c r="D26" s="2562"/>
      <c r="E26" s="2562"/>
      <c r="F26" s="2562"/>
      <c r="G26" s="2562"/>
      <c r="H26" s="2562"/>
      <c r="I26" s="2562"/>
      <c r="J26" s="2562"/>
      <c r="K26" s="2562"/>
      <c r="L26" s="1349"/>
    </row>
    <row r="27" spans="2:12" ht="4.5" customHeight="1" x14ac:dyDescent="0.2">
      <c r="B27" s="1366"/>
      <c r="C27" s="1366"/>
      <c r="L27" s="1349"/>
    </row>
    <row r="28" spans="2:12" ht="13.5" customHeight="1" x14ac:dyDescent="0.2">
      <c r="B28" s="1369" t="s">
        <v>1287</v>
      </c>
      <c r="C28" s="1369"/>
      <c r="D28" s="1347"/>
      <c r="E28" s="1347"/>
      <c r="F28" s="1347"/>
      <c r="G28" s="1348"/>
      <c r="H28" s="1347"/>
      <c r="I28" s="1348"/>
      <c r="J28" s="1347"/>
      <c r="K28" s="1347"/>
      <c r="L28" s="1349"/>
    </row>
    <row r="29" spans="2:12" ht="45.75" customHeight="1" x14ac:dyDescent="0.2">
      <c r="B29" s="2561"/>
      <c r="C29" s="2561"/>
      <c r="D29" s="2562"/>
      <c r="E29" s="2562"/>
      <c r="F29" s="2562"/>
      <c r="G29" s="2562"/>
      <c r="H29" s="2562"/>
      <c r="I29" s="2562"/>
      <c r="J29" s="2562"/>
      <c r="K29" s="2562"/>
      <c r="L29" s="1349"/>
    </row>
    <row r="30" spans="2:12" ht="4.5" customHeight="1" x14ac:dyDescent="0.2">
      <c r="B30" s="1370"/>
      <c r="C30" s="1370"/>
      <c r="D30" s="322"/>
      <c r="E30" s="322"/>
      <c r="F30" s="322"/>
      <c r="G30" s="1351"/>
      <c r="H30" s="322"/>
      <c r="I30" s="1351"/>
      <c r="J30" s="322"/>
      <c r="K30" s="322"/>
      <c r="L30" s="1349"/>
    </row>
    <row r="31" spans="2:12" s="322" customFormat="1" ht="13.5" customHeight="1" x14ac:dyDescent="0.2">
      <c r="B31" s="1371" t="s">
        <v>1741</v>
      </c>
      <c r="C31" s="1371"/>
      <c r="D31" s="1346"/>
      <c r="E31" s="1347"/>
      <c r="F31" s="1347"/>
      <c r="G31" s="1348"/>
      <c r="H31" s="1347"/>
      <c r="I31" s="1348"/>
      <c r="J31" s="1347"/>
      <c r="K31" s="1347"/>
      <c r="L31" s="1349"/>
    </row>
    <row r="32" spans="2:12" s="322" customFormat="1" ht="44.25" customHeight="1" x14ac:dyDescent="0.2">
      <c r="B32" s="2561"/>
      <c r="C32" s="2561"/>
      <c r="D32" s="2562"/>
      <c r="E32" s="2562"/>
      <c r="F32" s="2562"/>
      <c r="G32" s="2562"/>
      <c r="H32" s="2562"/>
      <c r="I32" s="2562"/>
      <c r="J32" s="2562"/>
      <c r="K32" s="2562"/>
      <c r="L32" s="1349"/>
    </row>
    <row r="33" spans="1:13" s="322" customFormat="1" ht="4.5" customHeight="1" x14ac:dyDescent="0.2">
      <c r="B33" s="1370"/>
      <c r="C33" s="1370"/>
      <c r="G33" s="1351"/>
      <c r="I33" s="1351"/>
      <c r="L33" s="1349"/>
    </row>
    <row r="34" spans="1:13" s="322" customFormat="1" x14ac:dyDescent="0.2">
      <c r="A34" s="1267"/>
      <c r="B34" s="1372"/>
      <c r="C34" s="1372"/>
      <c r="D34" s="1372"/>
      <c r="E34" s="1372"/>
      <c r="F34" s="1372"/>
      <c r="G34" s="1373"/>
      <c r="H34" s="1372"/>
      <c r="I34" s="1373"/>
      <c r="J34" s="1372"/>
      <c r="K34" s="1372"/>
      <c r="L34" s="1349"/>
    </row>
    <row r="35" spans="1:13" ht="11.85" customHeight="1" x14ac:dyDescent="0.2">
      <c r="B35" s="1374" t="s">
        <v>1742</v>
      </c>
      <c r="C35" s="1374"/>
      <c r="D35" s="322"/>
      <c r="E35" s="322"/>
      <c r="F35" s="322"/>
      <c r="L35" s="1349"/>
    </row>
    <row r="36" spans="1:13" ht="9.6" customHeight="1" x14ac:dyDescent="0.2">
      <c r="B36" s="1270" t="s">
        <v>1839</v>
      </c>
      <c r="C36" s="1270"/>
      <c r="L36" s="1349"/>
    </row>
    <row r="37" spans="1:13" ht="9.6" customHeight="1" x14ac:dyDescent="0.2">
      <c r="B37" s="1270" t="s">
        <v>1840</v>
      </c>
      <c r="C37" s="1270"/>
    </row>
    <row r="38" spans="1:13" ht="11.85" customHeight="1" x14ac:dyDescent="0.2">
      <c r="B38" s="1375" t="s">
        <v>1743</v>
      </c>
      <c r="C38" s="1375"/>
    </row>
    <row r="39" spans="1:13" ht="9.6" customHeight="1" x14ac:dyDescent="0.2">
      <c r="B39" s="1270" t="s">
        <v>1286</v>
      </c>
      <c r="C39" s="1270"/>
      <c r="M39" s="1376"/>
    </row>
    <row r="40" spans="1:13" ht="12.6" customHeight="1" x14ac:dyDescent="0.2">
      <c r="B40" s="1375" t="s">
        <v>1744</v>
      </c>
      <c r="C40" s="1375"/>
      <c r="M40" s="1376"/>
    </row>
    <row r="41" spans="1:13" ht="9.6" customHeight="1" x14ac:dyDescent="0.2">
      <c r="B41" s="1270"/>
      <c r="C41" s="1270"/>
      <c r="M41" s="1376"/>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39997558519241921"/>
  </sheetPr>
  <dimension ref="A1:L48"/>
  <sheetViews>
    <sheetView showGridLines="0" view="pageBreakPreview" zoomScale="6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7" t="str">
        <f>'Single Audit Cover'!A7</f>
        <v>NW Suburban Spec Educ Org</v>
      </c>
      <c r="C1" s="2567"/>
      <c r="D1" s="2567"/>
      <c r="E1" s="2567"/>
      <c r="F1" s="2567"/>
      <c r="G1" s="2567"/>
      <c r="H1" s="2567"/>
      <c r="I1" s="2567"/>
      <c r="J1" s="2567"/>
      <c r="K1" s="2567"/>
      <c r="L1" s="1420"/>
    </row>
    <row r="2" spans="1:12" ht="12.75" customHeight="1" x14ac:dyDescent="0.2">
      <c r="B2" s="2568">
        <f>'Single Audit Cover'!E7</f>
        <v>5016805060</v>
      </c>
      <c r="C2" s="2568"/>
      <c r="D2" s="2568"/>
      <c r="E2" s="2568"/>
      <c r="F2" s="2568"/>
      <c r="G2" s="2568"/>
      <c r="H2" s="2568"/>
      <c r="I2" s="2568"/>
      <c r="J2" s="2568"/>
      <c r="K2" s="2568"/>
      <c r="L2" s="1421"/>
    </row>
    <row r="3" spans="1:12" ht="12.75" customHeight="1" x14ac:dyDescent="0.2">
      <c r="B3" s="2563" t="s">
        <v>1285</v>
      </c>
      <c r="C3" s="2563"/>
      <c r="D3" s="2563"/>
      <c r="E3" s="2563"/>
      <c r="F3" s="2563"/>
      <c r="G3" s="2563"/>
      <c r="H3" s="2563"/>
      <c r="I3" s="2563"/>
      <c r="J3" s="2563"/>
      <c r="K3" s="2563"/>
      <c r="L3" s="1345"/>
    </row>
    <row r="4" spans="1:12" ht="12.75" customHeight="1" x14ac:dyDescent="0.2">
      <c r="B4" s="2563" t="str">
        <f>'Single Audit Cover'!A4</f>
        <v>Year Ending June 30, 2019</v>
      </c>
      <c r="C4" s="2563"/>
      <c r="D4" s="2563"/>
      <c r="E4" s="2563"/>
      <c r="F4" s="2563"/>
      <c r="G4" s="2563"/>
      <c r="H4" s="2563"/>
      <c r="I4" s="2563"/>
      <c r="J4" s="2563"/>
      <c r="K4" s="2563"/>
      <c r="L4" s="1345"/>
    </row>
    <row r="5" spans="1:12" ht="5.25" customHeight="1" x14ac:dyDescent="0.2">
      <c r="B5" s="1230" t="s">
        <v>1169</v>
      </c>
      <c r="C5" s="1230"/>
      <c r="L5" s="322"/>
    </row>
    <row r="6" spans="1:12" ht="30.75" customHeight="1" x14ac:dyDescent="0.2">
      <c r="A6" s="322"/>
      <c r="B6" s="2569" t="s">
        <v>1308</v>
      </c>
      <c r="C6" s="2569"/>
      <c r="D6" s="2569"/>
      <c r="E6" s="2569"/>
      <c r="F6" s="2569"/>
      <c r="G6" s="2569"/>
      <c r="H6" s="2569"/>
      <c r="I6" s="2569"/>
      <c r="J6" s="2569"/>
      <c r="K6" s="2569"/>
      <c r="L6" s="322"/>
    </row>
    <row r="7" spans="1:12" ht="4.5" customHeight="1" x14ac:dyDescent="0.2">
      <c r="B7" s="1347"/>
      <c r="C7" s="1347"/>
      <c r="D7" s="1347"/>
      <c r="E7" s="1347"/>
      <c r="F7" s="1347"/>
      <c r="G7" s="1348"/>
      <c r="H7" s="1347"/>
      <c r="I7" s="1348"/>
      <c r="J7" s="1347"/>
      <c r="K7" s="1347"/>
      <c r="L7" s="322"/>
    </row>
    <row r="8" spans="1:12" ht="13.5" customHeight="1" x14ac:dyDescent="0.2">
      <c r="B8" s="1355" t="s">
        <v>1753</v>
      </c>
      <c r="C8" s="1422" t="s">
        <v>1988</v>
      </c>
      <c r="D8" s="1423" t="s">
        <v>2171</v>
      </c>
      <c r="E8" s="322"/>
      <c r="F8" s="1352" t="s">
        <v>1295</v>
      </c>
      <c r="G8" s="1424"/>
      <c r="H8" s="1425" t="s">
        <v>1307</v>
      </c>
      <c r="I8" s="1424"/>
      <c r="J8" s="1426" t="s">
        <v>1306</v>
      </c>
      <c r="L8" s="322"/>
    </row>
    <row r="9" spans="1:12" ht="13.5" customHeight="1" x14ac:dyDescent="0.2">
      <c r="D9" s="322"/>
      <c r="E9" s="322"/>
      <c r="F9" s="322"/>
      <c r="G9" s="1351"/>
      <c r="H9" s="322"/>
      <c r="I9" s="1427" t="s">
        <v>1292</v>
      </c>
      <c r="J9" s="322"/>
      <c r="K9" s="1428"/>
      <c r="L9" s="322"/>
    </row>
    <row r="10" spans="1:12" ht="4.5" customHeight="1" x14ac:dyDescent="0.2">
      <c r="B10" s="1429"/>
      <c r="C10" s="1429"/>
      <c r="D10" s="1382"/>
      <c r="E10" s="1382"/>
      <c r="F10" s="1382"/>
      <c r="G10" s="1383"/>
      <c r="H10" s="1382"/>
      <c r="I10" s="1383"/>
      <c r="J10" s="1382"/>
      <c r="K10" s="1382"/>
      <c r="L10" s="322"/>
    </row>
    <row r="11" spans="1:12" ht="5.25" customHeight="1" x14ac:dyDescent="0.2">
      <c r="B11" s="322"/>
      <c r="C11" s="322"/>
      <c r="D11" s="304"/>
      <c r="E11" s="322"/>
      <c r="F11" s="322"/>
      <c r="G11" s="1351"/>
      <c r="H11" s="322"/>
      <c r="I11" s="1351"/>
      <c r="J11" s="322"/>
      <c r="K11" s="1387"/>
      <c r="L11" s="322"/>
    </row>
    <row r="12" spans="1:12" ht="13.5" customHeight="1" x14ac:dyDescent="0.2">
      <c r="B12" s="1352" t="s">
        <v>1305</v>
      </c>
      <c r="C12" s="1352"/>
      <c r="D12" s="304"/>
      <c r="E12" s="322"/>
      <c r="F12" s="2544"/>
      <c r="G12" s="2544"/>
      <c r="H12" s="2544"/>
      <c r="I12" s="2544"/>
      <c r="J12" s="2544"/>
      <c r="K12" s="2544"/>
      <c r="L12" s="322"/>
    </row>
    <row r="13" spans="1:12" ht="9.6" customHeight="1" x14ac:dyDescent="0.2">
      <c r="B13" s="1227"/>
      <c r="C13" s="1227"/>
      <c r="D13" s="304"/>
      <c r="E13" s="322"/>
      <c r="F13" s="322"/>
      <c r="G13" s="1351"/>
      <c r="H13" s="322"/>
      <c r="I13" s="1351"/>
      <c r="J13" s="322"/>
      <c r="K13" s="1387"/>
      <c r="L13" s="322"/>
    </row>
    <row r="14" spans="1:12" ht="13.5" customHeight="1" x14ac:dyDescent="0.2">
      <c r="B14" s="1355" t="s">
        <v>1304</v>
      </c>
      <c r="C14" s="1355"/>
      <c r="D14" s="2570"/>
      <c r="E14" s="2570"/>
      <c r="F14" s="2570"/>
      <c r="H14" s="1430" t="s">
        <v>1303</v>
      </c>
      <c r="I14" s="2571"/>
      <c r="J14" s="2571"/>
      <c r="K14" s="2571"/>
      <c r="L14" s="322"/>
    </row>
    <row r="15" spans="1:12" ht="9.4" customHeight="1" x14ac:dyDescent="0.2">
      <c r="B15" s="1355"/>
      <c r="C15" s="1355"/>
      <c r="D15" s="1341"/>
      <c r="E15" s="1230"/>
      <c r="F15" s="1230"/>
      <c r="G15" s="1256"/>
      <c r="H15" s="1230"/>
      <c r="I15" s="1431"/>
      <c r="J15" s="1264"/>
      <c r="K15" s="1261"/>
      <c r="L15" s="322"/>
    </row>
    <row r="16" spans="1:12" ht="13.5" customHeight="1" x14ac:dyDescent="0.2">
      <c r="B16" s="1355" t="s">
        <v>1302</v>
      </c>
      <c r="C16" s="1355"/>
      <c r="D16" s="2571"/>
      <c r="E16" s="2571"/>
      <c r="F16" s="2571"/>
      <c r="G16" s="2571"/>
      <c r="H16" s="2571"/>
      <c r="I16" s="2571"/>
      <c r="J16" s="2571"/>
      <c r="K16" s="2571"/>
      <c r="L16" s="322"/>
    </row>
    <row r="17" spans="2:12" ht="13.5" customHeight="1" x14ac:dyDescent="0.2">
      <c r="B17" s="1355" t="s">
        <v>1301</v>
      </c>
      <c r="C17" s="1355"/>
      <c r="D17" s="2572"/>
      <c r="E17" s="2572"/>
      <c r="F17" s="2572"/>
      <c r="G17" s="2572"/>
      <c r="H17" s="2572"/>
      <c r="I17" s="2572"/>
      <c r="J17" s="2572"/>
      <c r="K17" s="2572"/>
      <c r="L17" s="322"/>
    </row>
    <row r="18" spans="2:12" ht="9.4" customHeight="1" x14ac:dyDescent="0.2">
      <c r="B18" s="1382"/>
      <c r="C18" s="1382"/>
      <c r="D18" s="1382"/>
      <c r="E18" s="1382"/>
      <c r="F18" s="1382"/>
      <c r="G18" s="1383"/>
      <c r="H18" s="1382"/>
      <c r="I18" s="1383"/>
      <c r="J18" s="1382"/>
      <c r="K18" s="1382"/>
      <c r="L18" s="322"/>
    </row>
    <row r="19" spans="2:12" ht="13.5" customHeight="1" x14ac:dyDescent="0.2">
      <c r="B19" s="1432" t="s">
        <v>1300</v>
      </c>
      <c r="C19" s="1432"/>
      <c r="D19" s="328"/>
      <c r="E19" s="328"/>
      <c r="F19" s="328"/>
      <c r="G19" s="1433"/>
      <c r="H19" s="328"/>
      <c r="I19" s="1433"/>
      <c r="J19" s="322"/>
      <c r="K19" s="322"/>
      <c r="L19" s="322"/>
    </row>
    <row r="20" spans="2:12" ht="35.25" customHeight="1" x14ac:dyDescent="0.2">
      <c r="B20" s="2562"/>
      <c r="C20" s="2562"/>
      <c r="D20" s="2562"/>
      <c r="E20" s="2562"/>
      <c r="F20" s="2562"/>
      <c r="G20" s="2562"/>
      <c r="H20" s="2562"/>
      <c r="I20" s="2562"/>
      <c r="J20" s="2562"/>
      <c r="K20" s="2562"/>
      <c r="L20" s="1387"/>
    </row>
    <row r="21" spans="2:12" ht="4.5" customHeight="1" x14ac:dyDescent="0.2">
      <c r="B21" s="1434"/>
      <c r="C21" s="1434"/>
      <c r="D21" s="1435"/>
      <c r="E21" s="1435"/>
      <c r="F21" s="1435"/>
      <c r="G21" s="1383"/>
      <c r="H21" s="1435"/>
      <c r="I21" s="1383"/>
      <c r="J21" s="1435"/>
      <c r="K21" s="1435"/>
      <c r="L21" s="1387"/>
    </row>
    <row r="22" spans="2:12" ht="13.35" customHeight="1" x14ac:dyDescent="0.2">
      <c r="B22" s="1432" t="s">
        <v>1754</v>
      </c>
      <c r="C22" s="1432"/>
      <c r="D22" s="322"/>
      <c r="E22" s="322"/>
      <c r="F22" s="322"/>
      <c r="G22" s="1351"/>
      <c r="H22" s="322"/>
      <c r="I22" s="1351"/>
      <c r="J22" s="322"/>
      <c r="K22" s="322"/>
      <c r="L22" s="322"/>
    </row>
    <row r="23" spans="2:12" ht="37.5" customHeight="1" x14ac:dyDescent="0.2">
      <c r="B23" s="2562"/>
      <c r="C23" s="2562"/>
      <c r="D23" s="2562"/>
      <c r="E23" s="2562"/>
      <c r="F23" s="2562"/>
      <c r="G23" s="2562"/>
      <c r="H23" s="2562"/>
      <c r="I23" s="2562"/>
      <c r="J23" s="2562"/>
      <c r="K23" s="2562"/>
      <c r="L23" s="322"/>
    </row>
    <row r="24" spans="2:12" ht="4.5" customHeight="1" x14ac:dyDescent="0.2">
      <c r="B24" s="1434"/>
      <c r="C24" s="1434"/>
      <c r="D24" s="1382"/>
      <c r="E24" s="1382"/>
      <c r="F24" s="1382"/>
      <c r="G24" s="1383"/>
      <c r="H24" s="1382"/>
      <c r="I24" s="1383"/>
      <c r="J24" s="1382"/>
      <c r="K24" s="1382"/>
      <c r="L24" s="322"/>
    </row>
    <row r="25" spans="2:12" ht="13.5" customHeight="1" x14ac:dyDescent="0.2">
      <c r="B25" s="1432" t="s">
        <v>1755</v>
      </c>
      <c r="C25" s="1432"/>
      <c r="D25" s="322"/>
      <c r="E25" s="322"/>
      <c r="F25" s="322"/>
      <c r="G25" s="1351"/>
      <c r="H25" s="322"/>
      <c r="I25" s="1351"/>
      <c r="J25" s="322"/>
      <c r="K25" s="322"/>
      <c r="L25" s="322"/>
    </row>
    <row r="26" spans="2:12" ht="37.5" customHeight="1" x14ac:dyDescent="0.2">
      <c r="B26" s="2562"/>
      <c r="C26" s="2562"/>
      <c r="D26" s="2562"/>
      <c r="E26" s="2562"/>
      <c r="F26" s="2562"/>
      <c r="G26" s="2562"/>
      <c r="H26" s="2562"/>
      <c r="I26" s="2562"/>
      <c r="J26" s="2562"/>
      <c r="K26" s="2562"/>
      <c r="L26" s="322"/>
    </row>
    <row r="27" spans="2:12" ht="4.5" customHeight="1" x14ac:dyDescent="0.2">
      <c r="B27" s="1436"/>
      <c r="C27" s="1436"/>
      <c r="D27" s="1436"/>
      <c r="E27" s="1382"/>
      <c r="F27" s="1382"/>
      <c r="G27" s="1383"/>
      <c r="H27" s="1382"/>
      <c r="I27" s="1383"/>
      <c r="J27" s="1382"/>
      <c r="K27" s="1382"/>
      <c r="L27" s="322"/>
    </row>
    <row r="28" spans="2:12" ht="13.5" customHeight="1" x14ac:dyDescent="0.2">
      <c r="B28" s="1432" t="s">
        <v>1756</v>
      </c>
      <c r="C28" s="1432"/>
      <c r="D28" s="322"/>
      <c r="E28" s="322"/>
      <c r="F28" s="322"/>
      <c r="G28" s="1351"/>
      <c r="H28" s="322"/>
      <c r="I28" s="1351"/>
      <c r="J28" s="322"/>
      <c r="K28" s="322"/>
      <c r="L28" s="322"/>
    </row>
    <row r="29" spans="2:12" ht="37.5" customHeight="1" x14ac:dyDescent="0.2">
      <c r="B29" s="2562"/>
      <c r="C29" s="2562"/>
      <c r="D29" s="2562"/>
      <c r="E29" s="2562"/>
      <c r="F29" s="2562"/>
      <c r="G29" s="2562"/>
      <c r="H29" s="2562"/>
      <c r="I29" s="2562"/>
      <c r="J29" s="2562"/>
      <c r="K29" s="2562"/>
      <c r="L29" s="322"/>
    </row>
    <row r="30" spans="2:12" ht="4.5" customHeight="1" x14ac:dyDescent="0.2">
      <c r="B30" s="1434"/>
      <c r="C30" s="1434"/>
      <c r="D30" s="1382"/>
      <c r="E30" s="1382"/>
      <c r="F30" s="1382"/>
      <c r="G30" s="1383"/>
      <c r="H30" s="1382"/>
      <c r="I30" s="1383"/>
      <c r="J30" s="1382"/>
      <c r="K30" s="1382"/>
      <c r="L30" s="322"/>
    </row>
    <row r="31" spans="2:12" ht="13.5" customHeight="1" x14ac:dyDescent="0.2">
      <c r="B31" s="1432" t="s">
        <v>1299</v>
      </c>
      <c r="C31" s="1432"/>
      <c r="D31" s="322"/>
      <c r="E31" s="322"/>
      <c r="F31" s="322"/>
      <c r="G31" s="1351"/>
      <c r="H31" s="322"/>
      <c r="I31" s="1351"/>
      <c r="J31" s="322"/>
      <c r="K31" s="322"/>
      <c r="L31" s="322"/>
    </row>
    <row r="32" spans="2:12" ht="37.5" customHeight="1" x14ac:dyDescent="0.2">
      <c r="B32" s="2562"/>
      <c r="C32" s="2562"/>
      <c r="D32" s="2562"/>
      <c r="E32" s="2562"/>
      <c r="F32" s="2562"/>
      <c r="G32" s="2562"/>
      <c r="H32" s="2562"/>
      <c r="I32" s="2562"/>
      <c r="J32" s="2562"/>
      <c r="K32" s="2562"/>
      <c r="L32" s="322"/>
    </row>
    <row r="33" spans="2:12" ht="4.5" customHeight="1" x14ac:dyDescent="0.2">
      <c r="B33" s="1434"/>
      <c r="C33" s="1434"/>
      <c r="D33" s="1382"/>
      <c r="E33" s="1382"/>
      <c r="F33" s="1382"/>
      <c r="G33" s="1383"/>
      <c r="H33" s="1382"/>
      <c r="I33" s="1383"/>
      <c r="J33" s="1382"/>
      <c r="K33" s="1382"/>
      <c r="L33" s="322"/>
    </row>
    <row r="34" spans="2:12" ht="13.5" customHeight="1" x14ac:dyDescent="0.2">
      <c r="B34" s="1352" t="s">
        <v>1298</v>
      </c>
      <c r="C34" s="1352"/>
      <c r="D34" s="322"/>
      <c r="E34" s="322"/>
      <c r="F34" s="322"/>
      <c r="G34" s="1351"/>
      <c r="H34" s="322"/>
      <c r="I34" s="1351"/>
      <c r="J34" s="322"/>
      <c r="K34" s="322"/>
      <c r="L34" s="322"/>
    </row>
    <row r="35" spans="2:12" ht="37.5" customHeight="1" x14ac:dyDescent="0.2">
      <c r="B35" s="2562"/>
      <c r="C35" s="2562"/>
      <c r="D35" s="2562"/>
      <c r="E35" s="2562"/>
      <c r="F35" s="2562"/>
      <c r="G35" s="2562"/>
      <c r="H35" s="2562"/>
      <c r="I35" s="2562"/>
      <c r="J35" s="2562"/>
      <c r="K35" s="2562"/>
      <c r="L35" s="322"/>
    </row>
    <row r="36" spans="2:12" ht="4.5" customHeight="1" x14ac:dyDescent="0.2">
      <c r="B36" s="1434"/>
      <c r="C36" s="1434"/>
      <c r="D36" s="1382"/>
      <c r="E36" s="1382"/>
      <c r="F36" s="1382"/>
      <c r="G36" s="1383"/>
      <c r="H36" s="1382"/>
      <c r="I36" s="1383"/>
      <c r="J36" s="1382"/>
      <c r="K36" s="1382"/>
      <c r="L36" s="322"/>
    </row>
    <row r="37" spans="2:12" ht="13.5" customHeight="1" x14ac:dyDescent="0.2">
      <c r="B37" s="1352" t="s">
        <v>1297</v>
      </c>
      <c r="C37" s="1352"/>
      <c r="D37" s="322"/>
      <c r="E37" s="322"/>
      <c r="F37" s="322"/>
      <c r="G37" s="1351"/>
      <c r="H37" s="322"/>
      <c r="I37" s="1351"/>
      <c r="J37" s="322"/>
      <c r="K37" s="322"/>
      <c r="L37" s="322"/>
    </row>
    <row r="38" spans="2:12" ht="35.25" customHeight="1" x14ac:dyDescent="0.2">
      <c r="B38" s="2562"/>
      <c r="C38" s="2562"/>
      <c r="D38" s="2562"/>
      <c r="E38" s="2562"/>
      <c r="F38" s="2562"/>
      <c r="G38" s="2562"/>
      <c r="H38" s="2562"/>
      <c r="I38" s="2562"/>
      <c r="J38" s="2562"/>
      <c r="K38" s="2562"/>
      <c r="L38" s="322"/>
    </row>
    <row r="39" spans="2:12" ht="4.5" customHeight="1" x14ac:dyDescent="0.2">
      <c r="B39" s="1370"/>
      <c r="C39" s="1370"/>
      <c r="D39" s="322"/>
      <c r="E39" s="322"/>
      <c r="F39" s="322"/>
      <c r="G39" s="1351"/>
      <c r="H39" s="322"/>
      <c r="I39" s="1351"/>
      <c r="J39" s="322"/>
      <c r="K39" s="322"/>
      <c r="L39" s="322"/>
    </row>
    <row r="40" spans="2:12" s="322" customFormat="1" ht="13.5" customHeight="1" x14ac:dyDescent="0.2">
      <c r="B40" s="1371" t="s">
        <v>1757</v>
      </c>
      <c r="C40" s="1371"/>
      <c r="D40" s="1346"/>
      <c r="E40" s="1347"/>
      <c r="F40" s="1347"/>
      <c r="G40" s="1348"/>
      <c r="H40" s="1347"/>
      <c r="I40" s="1348"/>
      <c r="J40" s="1347"/>
      <c r="K40" s="1347"/>
    </row>
    <row r="41" spans="2:12" s="322" customFormat="1" ht="33.75" customHeight="1" x14ac:dyDescent="0.2">
      <c r="B41" s="2562"/>
      <c r="C41" s="2562"/>
      <c r="D41" s="2562"/>
      <c r="E41" s="2562"/>
      <c r="F41" s="2562"/>
      <c r="G41" s="2562"/>
      <c r="H41" s="2562"/>
      <c r="I41" s="2562"/>
      <c r="J41" s="2562"/>
      <c r="K41" s="2562"/>
    </row>
    <row r="42" spans="2:12" s="322" customFormat="1" ht="4.5" customHeight="1" x14ac:dyDescent="0.2">
      <c r="B42" s="1370"/>
      <c r="C42" s="1370"/>
      <c r="G42" s="1351"/>
      <c r="I42" s="1351"/>
    </row>
    <row r="43" spans="2:12" ht="7.5" customHeight="1" x14ac:dyDescent="0.25">
      <c r="B43" s="1437"/>
      <c r="C43" s="1437"/>
      <c r="D43" s="1438"/>
      <c r="E43" s="1438"/>
      <c r="F43" s="1438"/>
      <c r="G43" s="1439"/>
      <c r="H43" s="1438"/>
      <c r="I43" s="1439"/>
      <c r="J43" s="1438"/>
      <c r="K43" s="1438"/>
    </row>
    <row r="44" spans="2:12" ht="13.5" customHeight="1" x14ac:dyDescent="0.2">
      <c r="B44" s="1374" t="s">
        <v>1758</v>
      </c>
      <c r="C44" s="1374"/>
      <c r="D44" s="322"/>
      <c r="E44" s="322"/>
      <c r="F44" s="322"/>
    </row>
    <row r="45" spans="2:12" ht="10.5" customHeight="1" x14ac:dyDescent="0.2">
      <c r="B45" s="1375" t="s">
        <v>1759</v>
      </c>
      <c r="C45" s="1375"/>
      <c r="G45" s="317"/>
      <c r="I45" s="317"/>
    </row>
    <row r="46" spans="2:12" ht="11.1" customHeight="1" x14ac:dyDescent="0.2">
      <c r="B46" s="1375" t="s">
        <v>1760</v>
      </c>
      <c r="C46" s="1375"/>
      <c r="G46" s="317"/>
      <c r="I46" s="317"/>
    </row>
    <row r="47" spans="2:12" ht="11.1" customHeight="1" x14ac:dyDescent="0.2">
      <c r="B47" s="1375" t="s">
        <v>1761</v>
      </c>
      <c r="C47" s="1375"/>
      <c r="G47" s="317"/>
      <c r="I47" s="317"/>
    </row>
    <row r="48" spans="2:12" ht="11.1" customHeight="1" x14ac:dyDescent="0.2">
      <c r="B48" s="1375" t="s">
        <v>1762</v>
      </c>
      <c r="C48" s="1375"/>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39997558519241921"/>
  </sheetPr>
  <dimension ref="B1:E73"/>
  <sheetViews>
    <sheetView showGridLines="0" view="pageBreakPreview" zoomScale="6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37" t="str">
        <f>'Single Audit Cover'!A7</f>
        <v>NW Suburban Spec Educ Org</v>
      </c>
      <c r="C1" s="2537"/>
      <c r="D1" s="2537"/>
      <c r="E1" s="1440"/>
    </row>
    <row r="2" spans="2:5" s="1252" customFormat="1" ht="12.75" customHeight="1" x14ac:dyDescent="0.2">
      <c r="B2" s="2539">
        <f>'Single Audit Cover'!E7</f>
        <v>5016805060</v>
      </c>
      <c r="C2" s="2539"/>
      <c r="D2" s="2539"/>
      <c r="E2" s="1441"/>
    </row>
    <row r="3" spans="2:5" ht="12.75" customHeight="1" x14ac:dyDescent="0.2">
      <c r="B3" s="2563" t="s">
        <v>1763</v>
      </c>
      <c r="C3" s="2563"/>
      <c r="D3" s="2563"/>
      <c r="E3" s="1244"/>
    </row>
    <row r="4" spans="2:5" s="1252" customFormat="1" ht="12.75" customHeight="1" x14ac:dyDescent="0.2">
      <c r="B4" s="2573" t="str">
        <f>'Single Audit Cover'!A4</f>
        <v>Year Ending June 30, 2019</v>
      </c>
      <c r="C4" s="2573"/>
      <c r="D4" s="2573"/>
      <c r="E4" s="1442"/>
    </row>
    <row r="5" spans="2:5" s="1252" customFormat="1" ht="40.15" customHeight="1" x14ac:dyDescent="0.2">
      <c r="B5" s="1443" t="s">
        <v>1764</v>
      </c>
      <c r="C5" s="328"/>
      <c r="D5" s="328"/>
      <c r="E5" s="328"/>
    </row>
    <row r="6" spans="2:5" s="1252" customFormat="1" ht="13.5" customHeight="1" x14ac:dyDescent="0.2">
      <c r="B6" s="1444" t="s">
        <v>1315</v>
      </c>
      <c r="C6" s="1444" t="s">
        <v>1314</v>
      </c>
      <c r="D6" s="1444" t="s">
        <v>1765</v>
      </c>
    </row>
    <row r="7" spans="2:5" ht="13.5" customHeight="1" x14ac:dyDescent="0.2">
      <c r="B7" s="1445"/>
      <c r="C7" s="324"/>
      <c r="D7" s="324"/>
      <c r="E7" s="324"/>
    </row>
    <row r="8" spans="2:5" ht="13.5" customHeight="1" x14ac:dyDescent="0.2">
      <c r="B8" s="1445" t="s">
        <v>2172</v>
      </c>
      <c r="C8" s="324"/>
      <c r="D8" s="324"/>
      <c r="E8" s="324"/>
    </row>
    <row r="9" spans="2:5" ht="13.5" customHeight="1" x14ac:dyDescent="0.2">
      <c r="B9" s="1446"/>
      <c r="C9" s="323"/>
      <c r="D9" s="323"/>
      <c r="E9" s="323"/>
    </row>
    <row r="10" spans="2:5" ht="13.5" customHeight="1" x14ac:dyDescent="0.2">
      <c r="B10" s="1445"/>
      <c r="C10" s="323"/>
      <c r="D10" s="323"/>
      <c r="E10" s="323"/>
    </row>
    <row r="11" spans="2:5" ht="13.5" customHeight="1" x14ac:dyDescent="0.2">
      <c r="B11" s="1445"/>
      <c r="C11" s="323"/>
      <c r="D11" s="323"/>
      <c r="E11" s="323"/>
    </row>
    <row r="12" spans="2:5" ht="13.5" customHeight="1" x14ac:dyDescent="0.2">
      <c r="B12" s="1445"/>
      <c r="C12" s="323"/>
      <c r="D12" s="323"/>
      <c r="E12" s="323"/>
    </row>
    <row r="13" spans="2:5" ht="13.5" customHeight="1" x14ac:dyDescent="0.2">
      <c r="B13" s="1445"/>
      <c r="C13" s="323"/>
      <c r="D13" s="323"/>
      <c r="E13" s="323"/>
    </row>
    <row r="14" spans="2:5" ht="13.5" customHeight="1" x14ac:dyDescent="0.2">
      <c r="B14" s="1445"/>
      <c r="C14" s="323"/>
      <c r="D14" s="323"/>
      <c r="E14" s="323"/>
    </row>
    <row r="15" spans="2:5" ht="13.5" customHeight="1" x14ac:dyDescent="0.2">
      <c r="B15" s="1445"/>
      <c r="C15" s="323"/>
      <c r="D15" s="323"/>
      <c r="E15" s="323"/>
    </row>
    <row r="16" spans="2:5" ht="13.5" customHeight="1" x14ac:dyDescent="0.2">
      <c r="B16" s="1445"/>
      <c r="C16" s="323"/>
      <c r="D16" s="323"/>
      <c r="E16" s="323"/>
    </row>
    <row r="17" spans="2:5" ht="13.5" customHeight="1" x14ac:dyDescent="0.2">
      <c r="B17" s="1445"/>
      <c r="C17" s="323"/>
      <c r="D17" s="323"/>
      <c r="E17" s="323"/>
    </row>
    <row r="18" spans="2:5" ht="13.5" customHeight="1" x14ac:dyDescent="0.2">
      <c r="B18" s="1445"/>
      <c r="C18" s="323"/>
      <c r="D18" s="323"/>
      <c r="E18" s="323"/>
    </row>
    <row r="19" spans="2:5" ht="13.5" customHeight="1" x14ac:dyDescent="0.2">
      <c r="B19" s="1445"/>
      <c r="C19" s="323"/>
      <c r="D19" s="323"/>
      <c r="E19" s="323"/>
    </row>
    <row r="20" spans="2:5" ht="13.5" customHeight="1" x14ac:dyDescent="0.2">
      <c r="B20" s="1445"/>
      <c r="C20" s="323"/>
      <c r="D20" s="323"/>
      <c r="E20" s="323"/>
    </row>
    <row r="21" spans="2:5" ht="13.5" customHeight="1" x14ac:dyDescent="0.2">
      <c r="B21" s="1445"/>
      <c r="C21" s="323"/>
      <c r="D21" s="323"/>
      <c r="E21" s="323"/>
    </row>
    <row r="22" spans="2:5" ht="13.5" customHeight="1" x14ac:dyDescent="0.2">
      <c r="B22" s="1445"/>
      <c r="C22" s="323"/>
      <c r="D22" s="323"/>
      <c r="E22" s="323"/>
    </row>
    <row r="23" spans="2:5" ht="13.5" customHeight="1" x14ac:dyDescent="0.2">
      <c r="B23" s="1445"/>
      <c r="C23" s="323"/>
      <c r="D23" s="323"/>
      <c r="E23" s="323"/>
    </row>
    <row r="24" spans="2:5" ht="13.5" customHeight="1" x14ac:dyDescent="0.2">
      <c r="B24" s="1445"/>
      <c r="C24" s="323"/>
      <c r="D24" s="323"/>
      <c r="E24" s="323"/>
    </row>
    <row r="25" spans="2:5" ht="13.5" customHeight="1" x14ac:dyDescent="0.2">
      <c r="B25" s="1445"/>
      <c r="C25" s="323"/>
      <c r="D25" s="323"/>
      <c r="E25" s="323"/>
    </row>
    <row r="26" spans="2:5" ht="13.5" customHeight="1" x14ac:dyDescent="0.2">
      <c r="B26" s="1445"/>
      <c r="C26" s="323"/>
      <c r="D26" s="323"/>
      <c r="E26" s="323"/>
    </row>
    <row r="27" spans="2:5" ht="13.5" customHeight="1" x14ac:dyDescent="0.2">
      <c r="B27" s="1445"/>
      <c r="C27" s="323"/>
      <c r="D27" s="323"/>
      <c r="E27" s="323"/>
    </row>
    <row r="28" spans="2:5" ht="13.5" customHeight="1" x14ac:dyDescent="0.2">
      <c r="B28" s="1445"/>
      <c r="C28" s="323"/>
      <c r="D28" s="323"/>
      <c r="E28" s="323"/>
    </row>
    <row r="29" spans="2:5" ht="13.5" customHeight="1" x14ac:dyDescent="0.2">
      <c r="B29" s="1445"/>
      <c r="C29" s="323"/>
      <c r="D29" s="323"/>
      <c r="E29" s="323"/>
    </row>
    <row r="30" spans="2:5" ht="13.5" customHeight="1" x14ac:dyDescent="0.2">
      <c r="B30" s="1445"/>
      <c r="C30" s="323"/>
      <c r="D30" s="323"/>
      <c r="E30" s="323"/>
    </row>
    <row r="31" spans="2:5" ht="13.5" customHeight="1" x14ac:dyDescent="0.2">
      <c r="B31" s="1445"/>
      <c r="C31" s="323"/>
      <c r="D31" s="323"/>
      <c r="E31" s="323"/>
    </row>
    <row r="32" spans="2:5" ht="13.5" customHeight="1" x14ac:dyDescent="0.2">
      <c r="B32" s="1447"/>
      <c r="C32" s="323"/>
      <c r="D32" s="323"/>
      <c r="E32" s="323"/>
    </row>
    <row r="33" spans="2:5" ht="13.5" customHeight="1" x14ac:dyDescent="0.2">
      <c r="B33" s="1448"/>
      <c r="C33" s="323"/>
      <c r="D33" s="323"/>
      <c r="E33" s="323"/>
    </row>
    <row r="34" spans="2:5" ht="13.5" customHeight="1" x14ac:dyDescent="0.2">
      <c r="B34" s="1449"/>
      <c r="C34" s="323"/>
      <c r="D34" s="323"/>
      <c r="E34" s="323"/>
    </row>
    <row r="35" spans="2:5" ht="13.5" customHeight="1" x14ac:dyDescent="0.2">
      <c r="B35" s="1448"/>
      <c r="C35" s="323"/>
      <c r="D35" s="323"/>
      <c r="E35" s="323"/>
    </row>
    <row r="36" spans="2:5" ht="13.5" customHeight="1" x14ac:dyDescent="0.2">
      <c r="B36" s="1449"/>
      <c r="C36" s="323"/>
      <c r="D36" s="323"/>
      <c r="E36" s="323"/>
    </row>
    <row r="37" spans="2:5" ht="13.5" customHeight="1" x14ac:dyDescent="0.2">
      <c r="B37" s="1449"/>
      <c r="C37" s="323"/>
      <c r="D37" s="323"/>
      <c r="E37" s="323"/>
    </row>
    <row r="38" spans="2:5" ht="13.5" customHeight="1" x14ac:dyDescent="0.2">
      <c r="B38" s="1448"/>
      <c r="C38" s="323"/>
      <c r="D38" s="323"/>
      <c r="E38" s="323"/>
    </row>
    <row r="39" spans="2:5" ht="13.5" customHeight="1" x14ac:dyDescent="0.2">
      <c r="B39" s="1449"/>
      <c r="C39" s="323"/>
      <c r="D39" s="323"/>
      <c r="E39" s="323"/>
    </row>
    <row r="40" spans="2:5" ht="13.5" customHeight="1" x14ac:dyDescent="0.2">
      <c r="B40" s="1448"/>
      <c r="C40" s="323"/>
      <c r="D40" s="323"/>
      <c r="E40" s="323"/>
    </row>
    <row r="41" spans="2:5" ht="13.5" customHeight="1" x14ac:dyDescent="0.2">
      <c r="B41" s="1450"/>
      <c r="C41" s="323"/>
      <c r="D41" s="323"/>
      <c r="E41" s="323"/>
    </row>
    <row r="42" spans="2:5" ht="13.5" customHeight="1" x14ac:dyDescent="0.2">
      <c r="B42" s="1451"/>
      <c r="C42" s="323"/>
      <c r="D42" s="323"/>
      <c r="E42" s="323"/>
    </row>
    <row r="43" spans="2:5" ht="12.75" customHeight="1" x14ac:dyDescent="0.2">
      <c r="B43" s="1452"/>
      <c r="C43" s="1453"/>
      <c r="D43" s="1453"/>
      <c r="E43" s="323"/>
    </row>
    <row r="44" spans="2:5" ht="12.2" customHeight="1" x14ac:dyDescent="0.2">
      <c r="B44" s="1227" t="s">
        <v>1313</v>
      </c>
      <c r="C44" s="322"/>
    </row>
    <row r="45" spans="2:5" ht="12.2" customHeight="1" x14ac:dyDescent="0.2">
      <c r="B45" s="1454" t="s">
        <v>1766</v>
      </c>
    </row>
    <row r="46" spans="2:5" ht="12.2" customHeight="1" x14ac:dyDescent="0.2">
      <c r="B46" s="1454" t="s">
        <v>1767</v>
      </c>
    </row>
    <row r="47" spans="2:5" ht="12.2" customHeight="1" x14ac:dyDescent="0.2">
      <c r="B47" s="1455" t="s">
        <v>1312</v>
      </c>
    </row>
    <row r="48" spans="2:5" ht="12.2" customHeight="1" x14ac:dyDescent="0.2">
      <c r="B48" s="1455" t="s">
        <v>1311</v>
      </c>
    </row>
    <row r="49" spans="2:5" ht="12.2" customHeight="1" x14ac:dyDescent="0.2">
      <c r="B49" s="1455" t="s">
        <v>1310</v>
      </c>
    </row>
    <row r="50" spans="2:5" ht="12.2" customHeight="1" x14ac:dyDescent="0.2">
      <c r="B50" s="1455"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4"/>
    </row>
    <row r="68" spans="2:2" x14ac:dyDescent="0.2">
      <c r="B68" s="1270"/>
    </row>
    <row r="69" spans="2:2" x14ac:dyDescent="0.2">
      <c r="B69" s="1270"/>
    </row>
    <row r="70" spans="2:2" x14ac:dyDescent="0.2">
      <c r="B70" s="1375"/>
    </row>
    <row r="71" spans="2:2" x14ac:dyDescent="0.2">
      <c r="B71" s="1375"/>
    </row>
    <row r="72" spans="2:2" x14ac:dyDescent="0.2">
      <c r="B72" s="1375"/>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39997558519241921"/>
  </sheetPr>
  <dimension ref="A1:N72"/>
  <sheetViews>
    <sheetView showGridLines="0" defaultGridColor="0" colorId="8" zoomScale="110" zoomScaleNormal="110" workbookViewId="0">
      <selection activeCell="T16" sqref="T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1" t="s">
        <v>386</v>
      </c>
      <c r="B1" s="2171"/>
      <c r="C1" s="2171"/>
      <c r="D1" s="2171"/>
      <c r="E1" s="2171"/>
      <c r="F1" s="2171"/>
      <c r="G1" s="2171"/>
      <c r="H1" s="2171"/>
      <c r="I1" s="2171"/>
      <c r="J1" s="2171"/>
      <c r="K1" s="2171"/>
      <c r="L1" s="2171"/>
      <c r="M1" s="217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03">
        <f>ROUND(D10+F10+H10,5)</f>
        <v>0</v>
      </c>
      <c r="K10" s="222"/>
      <c r="L10" s="355"/>
      <c r="M10" s="222"/>
    </row>
    <row r="11" spans="1:14" ht="7.5" customHeight="1" x14ac:dyDescent="0.2">
      <c r="B11" s="222"/>
      <c r="C11" s="222"/>
      <c r="D11" s="2181" t="str">
        <f>IF(SUM(J10)&lt;=0.0999999,"","Enter the Tax Rates by moving the decimal two places to the left.")</f>
        <v/>
      </c>
      <c r="E11" s="2182"/>
      <c r="F11" s="2182"/>
      <c r="G11" s="2182"/>
      <c r="H11" s="2182"/>
      <c r="I11" s="2182"/>
      <c r="J11" s="218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4">
        <f>SUM('Acct Summary 7-8'!C8,'Acct Summary 7-8'!D8,'Acct Summary 7-8'!F8,'Acct Summary 7-8'!I8)</f>
        <v>48520045</v>
      </c>
      <c r="E16" s="356"/>
      <c r="F16" s="1704">
        <f>SUM('Acct Summary 7-8'!C17,'Acct Summary 7-8'!D17,'Acct Summary 7-8'!F17)</f>
        <v>49129750</v>
      </c>
      <c r="G16" s="356"/>
      <c r="H16" s="1704">
        <f>SUM(D16-F16)</f>
        <v>-609705</v>
      </c>
      <c r="I16" s="222"/>
      <c r="J16" s="1704">
        <f>SUM('Acct Summary 7-8'!C81,'Acct Summary 7-8'!D81,'Acct Summary 7-8'!F81,'Acct Summary 7-8'!I81)</f>
        <v>19699285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4">
        <f>'Short-Term Long-Term Debt 24'!F4</f>
        <v>0</v>
      </c>
      <c r="E22" s="356" t="s">
        <v>1005</v>
      </c>
      <c r="F22" s="1704">
        <f>'Short-Term Long-Term Debt 24'!F15</f>
        <v>0</v>
      </c>
      <c r="G22" s="356" t="s">
        <v>1005</v>
      </c>
      <c r="H22" s="1704">
        <f>'Short-Term Long-Term Debt 24'!F21</f>
        <v>0</v>
      </c>
      <c r="I22" s="356" t="s">
        <v>1005</v>
      </c>
      <c r="J22" s="1704">
        <f>'Short-Term Long-Term Debt 24'!F23</f>
        <v>0</v>
      </c>
      <c r="K22" s="356" t="s">
        <v>1005</v>
      </c>
      <c r="L22" s="1704">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4">
        <f>'Short-Term Long-Term Debt 24'!F27</f>
        <v>0</v>
      </c>
      <c r="E24" s="356" t="s">
        <v>1006</v>
      </c>
      <c r="F24" s="1705">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06"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72"/>
      <c r="C54" s="2173"/>
      <c r="D54" s="2173"/>
      <c r="E54" s="2173"/>
      <c r="F54" s="2173"/>
      <c r="G54" s="2173"/>
      <c r="H54" s="2173"/>
      <c r="I54" s="2173"/>
      <c r="J54" s="2173"/>
      <c r="K54" s="2173"/>
      <c r="L54" s="2174"/>
      <c r="M54" s="380"/>
    </row>
    <row r="55" spans="1:13" ht="12.75" customHeight="1" x14ac:dyDescent="0.2">
      <c r="B55" s="2175"/>
      <c r="C55" s="2176"/>
      <c r="D55" s="2176"/>
      <c r="E55" s="2176"/>
      <c r="F55" s="2176"/>
      <c r="G55" s="2176"/>
      <c r="H55" s="2176"/>
      <c r="I55" s="2176"/>
      <c r="J55" s="2176"/>
      <c r="K55" s="2176"/>
      <c r="L55" s="2177"/>
      <c r="M55" s="380"/>
    </row>
    <row r="56" spans="1:13" ht="12.75" customHeight="1" x14ac:dyDescent="0.2">
      <c r="B56" s="2175"/>
      <c r="C56" s="2176"/>
      <c r="D56" s="2176"/>
      <c r="E56" s="2176"/>
      <c r="F56" s="2176"/>
      <c r="G56" s="2176"/>
      <c r="H56" s="2176"/>
      <c r="I56" s="2176"/>
      <c r="J56" s="2176"/>
      <c r="K56" s="2176"/>
      <c r="L56" s="2177"/>
      <c r="M56" s="222"/>
    </row>
    <row r="57" spans="1:13" ht="12.75" customHeight="1" x14ac:dyDescent="0.2">
      <c r="B57" s="2175"/>
      <c r="C57" s="2176"/>
      <c r="D57" s="2176"/>
      <c r="E57" s="2176"/>
      <c r="F57" s="2176"/>
      <c r="G57" s="2176"/>
      <c r="H57" s="2176"/>
      <c r="I57" s="2176"/>
      <c r="J57" s="2176"/>
      <c r="K57" s="2176"/>
      <c r="L57" s="2177"/>
      <c r="M57" s="222"/>
    </row>
    <row r="58" spans="1:13" x14ac:dyDescent="0.2">
      <c r="B58" s="2178"/>
      <c r="C58" s="2179"/>
      <c r="D58" s="2179"/>
      <c r="E58" s="2179"/>
      <c r="F58" s="2179"/>
      <c r="G58" s="2179"/>
      <c r="H58" s="2179"/>
      <c r="I58" s="2179"/>
      <c r="J58" s="2179"/>
      <c r="K58" s="2179"/>
      <c r="L58" s="218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3"/>
      <c r="D61" s="218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39997558519241921"/>
  </sheetPr>
  <dimension ref="A1:R44"/>
  <sheetViews>
    <sheetView showGridLines="0" topLeftCell="E1" zoomScale="110" zoomScaleNormal="110" workbookViewId="0">
      <selection activeCell="T16" sqref="T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6"/>
      <c r="B1" s="2187"/>
      <c r="C1" s="2187"/>
      <c r="D1" s="384"/>
      <c r="E1" s="384"/>
      <c r="F1" s="384"/>
      <c r="G1" s="384"/>
      <c r="H1" s="384"/>
      <c r="I1" s="384"/>
      <c r="J1" s="384"/>
      <c r="K1" s="384"/>
      <c r="L1" s="384"/>
      <c r="M1" s="384"/>
      <c r="N1" s="384"/>
      <c r="O1" s="2186"/>
      <c r="P1" s="2187"/>
      <c r="Q1" s="2187"/>
    </row>
    <row r="2" spans="1:18" ht="15" x14ac:dyDescent="0.2">
      <c r="A2" s="2190" t="s">
        <v>556</v>
      </c>
      <c r="B2" s="2190"/>
      <c r="C2" s="2190"/>
      <c r="D2" s="2190"/>
      <c r="E2" s="2190"/>
      <c r="F2" s="2190"/>
      <c r="G2" s="2190"/>
      <c r="H2" s="2190"/>
      <c r="I2" s="2190"/>
      <c r="J2" s="2190"/>
      <c r="K2" s="2190"/>
      <c r="L2" s="2190"/>
      <c r="M2" s="2190"/>
      <c r="N2" s="2190"/>
      <c r="O2" s="2190"/>
      <c r="P2" s="2190"/>
      <c r="Q2" s="2190"/>
      <c r="R2" s="2190"/>
    </row>
    <row r="3" spans="1:18" ht="12.75" x14ac:dyDescent="0.2">
      <c r="A3" s="2191" t="s">
        <v>1413</v>
      </c>
      <c r="B3" s="2191"/>
      <c r="C3" s="2191"/>
      <c r="D3" s="2191"/>
      <c r="E3" s="2191"/>
      <c r="F3" s="2191"/>
      <c r="G3" s="2191"/>
      <c r="H3" s="2191"/>
      <c r="I3" s="2191"/>
      <c r="J3" s="2191"/>
      <c r="K3" s="2191"/>
      <c r="L3" s="2191"/>
      <c r="M3" s="2191"/>
      <c r="N3" s="2191"/>
      <c r="O3" s="2191"/>
      <c r="P3" s="2191"/>
      <c r="Q3" s="2191"/>
      <c r="R3" s="2191"/>
    </row>
    <row r="4" spans="1:18" x14ac:dyDescent="0.2">
      <c r="A4" s="2192" t="s">
        <v>1554</v>
      </c>
      <c r="B4" s="2192"/>
      <c r="C4" s="2192"/>
      <c r="D4" s="2192"/>
      <c r="E4" s="2192"/>
      <c r="F4" s="2192"/>
      <c r="G4" s="2192"/>
      <c r="H4" s="2192"/>
      <c r="I4" s="2192"/>
      <c r="J4" s="2192"/>
      <c r="K4" s="2192"/>
      <c r="L4" s="2192"/>
      <c r="M4" s="2192"/>
      <c r="N4" s="2192"/>
      <c r="O4" s="2192"/>
      <c r="P4" s="2192"/>
      <c r="Q4" s="2192"/>
      <c r="R4" s="219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NW Suburban Spec Educ Org</v>
      </c>
      <c r="E7" s="391"/>
      <c r="G7" s="252"/>
      <c r="H7" s="387"/>
      <c r="I7" s="387"/>
      <c r="J7" s="387"/>
      <c r="K7" s="387"/>
      <c r="L7" s="329"/>
      <c r="M7" s="329"/>
      <c r="N7" s="329"/>
      <c r="O7" s="329"/>
      <c r="P7" s="329"/>
    </row>
    <row r="8" spans="1:18" ht="12.75" x14ac:dyDescent="0.2">
      <c r="A8" s="329"/>
      <c r="B8" s="329"/>
      <c r="C8" s="389" t="s">
        <v>1125</v>
      </c>
      <c r="D8" s="392">
        <f>COVER!A13</f>
        <v>5016805060</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19699285</v>
      </c>
      <c r="I12" s="404"/>
      <c r="J12" s="404"/>
      <c r="K12" s="405">
        <f>TRUNC((H12/H13*100000),5)/100000</f>
        <v>0.40600302409999994</v>
      </c>
      <c r="L12" s="406"/>
      <c r="M12" s="360" t="s">
        <v>1144</v>
      </c>
      <c r="N12" s="360"/>
      <c r="O12" s="407">
        <v>0.35</v>
      </c>
      <c r="P12" s="218"/>
      <c r="Q12" s="218"/>
    </row>
    <row r="13" spans="1:18" s="408" customFormat="1" ht="12.75" x14ac:dyDescent="0.2">
      <c r="A13" s="218"/>
      <c r="B13" s="401"/>
      <c r="C13" s="2188" t="s">
        <v>1324</v>
      </c>
      <c r="D13" s="2189"/>
      <c r="E13" s="218"/>
      <c r="F13" s="409" t="s">
        <v>793</v>
      </c>
      <c r="G13" s="402"/>
      <c r="H13" s="403">
        <f>SUM('Acct Summary 7-8'!C8+'Acct Summary 7-8'!D8+'Acct Summary 7-8'!F8+'Acct Summary 7-8'!I8)+H14</f>
        <v>48520045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49129750</v>
      </c>
      <c r="I17" s="404"/>
      <c r="J17" s="416"/>
      <c r="K17" s="405">
        <f>TRUNC((H17/H18*100000),5)/100000</f>
        <v>1.0125660434999999</v>
      </c>
      <c r="L17" s="406"/>
      <c r="M17" s="417" t="s">
        <v>1171</v>
      </c>
      <c r="O17" s="418" t="str">
        <f>IF(AND(O16="2", J20 &gt; 2),"1",IF(AND(O16 = "1", J20 &gt; 2),"2",IF(AND(O16="1", J20 &gt;1),"1","0")))</f>
        <v>0</v>
      </c>
      <c r="P17" s="218"/>
    </row>
    <row r="18" spans="1:18" s="408" customFormat="1" ht="11.25" x14ac:dyDescent="0.2">
      <c r="A18" s="218"/>
      <c r="B18" s="401"/>
      <c r="C18" s="2188" t="s">
        <v>1317</v>
      </c>
      <c r="D18" s="2189"/>
      <c r="E18" s="218"/>
      <c r="F18" s="419" t="s">
        <v>794</v>
      </c>
      <c r="G18" s="402"/>
      <c r="H18" s="403">
        <f>SUM('Acct Summary 7-8'!C8+'Acct Summary 7-8'!D8+'Acct Summary 7-8'!F8+'Acct Summary 7-8'!I8)+H19</f>
        <v>48520045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24.351580800000001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85" t="s">
        <v>1412</v>
      </c>
      <c r="D24" s="2185"/>
      <c r="E24" s="218"/>
      <c r="F24" s="218" t="s">
        <v>445</v>
      </c>
      <c r="G24" s="402"/>
      <c r="H24" s="403">
        <f>SUM('Assets-Liab 5-6'!C4+'Assets-Liab 5-6'!D4+'Assets-Liab 5-6'!F4+'Assets-Liab 5-6'!I4+'Assets-Liab 5-6'!C5+'Assets-Liab 5-6'!D5+'Assets-Liab 5-6'!F5+'Assets-Liab 5-6'!I5)</f>
        <v>12315104</v>
      </c>
      <c r="I24" s="422"/>
      <c r="J24" s="422"/>
      <c r="K24" s="423">
        <f>TRUNC(((H24/H25*100000)/100000),2)</f>
        <v>90.23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136471.52778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39997558519241921"/>
    <pageSetUpPr fitToPage="1"/>
  </sheetPr>
  <dimension ref="A1:N44"/>
  <sheetViews>
    <sheetView showGridLines="0" defaultGridColor="0" colorId="8" zoomScaleNormal="100" workbookViewId="0">
      <pane ySplit="2" topLeftCell="A15" activePane="bottomLeft" state="frozen"/>
      <selection activeCell="T16" sqref="T16"/>
      <selection pane="bottomLeft" activeCell="T16" sqref="T16"/>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9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5" t="s">
        <v>973</v>
      </c>
      <c r="B3" s="2196"/>
      <c r="C3" s="1530"/>
      <c r="D3" s="1531"/>
      <c r="E3" s="1531"/>
      <c r="F3" s="1531"/>
      <c r="G3" s="1531"/>
      <c r="H3" s="1531"/>
      <c r="I3" s="1531"/>
      <c r="J3" s="1531"/>
      <c r="K3" s="1531"/>
      <c r="L3" s="1531"/>
      <c r="M3" s="1532"/>
      <c r="N3" s="1533"/>
    </row>
    <row r="4" spans="1:14" ht="13.5" customHeight="1" x14ac:dyDescent="0.2">
      <c r="A4" s="463" t="s">
        <v>1651</v>
      </c>
      <c r="B4" s="464"/>
      <c r="C4" s="1906">
        <v>12315104</v>
      </c>
      <c r="D4" s="1907">
        <v>0</v>
      </c>
      <c r="E4" s="1907">
        <v>0</v>
      </c>
      <c r="F4" s="1907">
        <v>0</v>
      </c>
      <c r="G4" s="1907">
        <v>0</v>
      </c>
      <c r="H4" s="1907">
        <v>0</v>
      </c>
      <c r="I4" s="1907">
        <v>0</v>
      </c>
      <c r="J4" s="1908">
        <v>0</v>
      </c>
      <c r="K4" s="1987">
        <v>0</v>
      </c>
      <c r="L4" s="1907">
        <v>46333</v>
      </c>
      <c r="M4" s="467"/>
      <c r="N4" s="468"/>
    </row>
    <row r="5" spans="1:14" x14ac:dyDescent="0.2">
      <c r="A5" s="463" t="s">
        <v>992</v>
      </c>
      <c r="B5" s="469">
        <v>120</v>
      </c>
      <c r="C5" s="1906"/>
      <c r="D5" s="1907"/>
      <c r="E5" s="1907"/>
      <c r="F5" s="1907"/>
      <c r="G5" s="1907"/>
      <c r="H5" s="1907"/>
      <c r="I5" s="1907"/>
      <c r="J5" s="1908"/>
      <c r="K5" s="1909"/>
      <c r="L5" s="470"/>
      <c r="M5" s="467"/>
      <c r="N5" s="468"/>
    </row>
    <row r="6" spans="1:14" ht="13.5" customHeight="1" x14ac:dyDescent="0.2">
      <c r="A6" s="471" t="s">
        <v>417</v>
      </c>
      <c r="B6" s="469">
        <v>130</v>
      </c>
      <c r="C6" s="1906">
        <v>0</v>
      </c>
      <c r="D6" s="1907">
        <v>0</v>
      </c>
      <c r="E6" s="1907">
        <v>0</v>
      </c>
      <c r="F6" s="1907">
        <v>0</v>
      </c>
      <c r="G6" s="1909">
        <v>0</v>
      </c>
      <c r="H6" s="1909">
        <v>0</v>
      </c>
      <c r="I6" s="1907">
        <v>0</v>
      </c>
      <c r="J6" s="1910">
        <v>0</v>
      </c>
      <c r="K6" s="1909">
        <v>0</v>
      </c>
      <c r="L6" s="472"/>
      <c r="M6" s="467"/>
      <c r="N6" s="468"/>
    </row>
    <row r="7" spans="1:14" ht="13.5" customHeight="1" x14ac:dyDescent="0.2">
      <c r="A7" s="471" t="s">
        <v>418</v>
      </c>
      <c r="B7" s="469">
        <v>140</v>
      </c>
      <c r="C7" s="1911">
        <v>1382012</v>
      </c>
      <c r="D7" s="1908">
        <v>0</v>
      </c>
      <c r="E7" s="1911">
        <v>0</v>
      </c>
      <c r="F7" s="1908">
        <v>0</v>
      </c>
      <c r="G7" s="1908">
        <v>0</v>
      </c>
      <c r="H7" s="1908">
        <v>0</v>
      </c>
      <c r="I7" s="1908">
        <v>0</v>
      </c>
      <c r="J7" s="1908">
        <v>0</v>
      </c>
      <c r="K7" s="1908">
        <v>0</v>
      </c>
      <c r="L7" s="473"/>
      <c r="M7" s="467"/>
      <c r="N7" s="468"/>
    </row>
    <row r="8" spans="1:14" ht="13.5" customHeight="1" x14ac:dyDescent="0.2">
      <c r="A8" s="471" t="s">
        <v>269</v>
      </c>
      <c r="B8" s="469">
        <v>150</v>
      </c>
      <c r="C8" s="1911">
        <v>4258494</v>
      </c>
      <c r="D8" s="1908">
        <v>0</v>
      </c>
      <c r="E8" s="1911">
        <v>0</v>
      </c>
      <c r="F8" s="1908">
        <v>1446007</v>
      </c>
      <c r="G8" s="1912">
        <v>0</v>
      </c>
      <c r="H8" s="1908">
        <v>0</v>
      </c>
      <c r="I8" s="1910">
        <v>0</v>
      </c>
      <c r="J8" s="1910">
        <v>0</v>
      </c>
      <c r="K8" s="1913">
        <v>0</v>
      </c>
      <c r="L8" s="476"/>
      <c r="M8" s="467"/>
      <c r="N8" s="468"/>
    </row>
    <row r="9" spans="1:14" ht="13.5" customHeight="1" x14ac:dyDescent="0.2">
      <c r="A9" s="471" t="s">
        <v>270</v>
      </c>
      <c r="B9" s="469">
        <v>160</v>
      </c>
      <c r="C9" s="1911">
        <v>3494031</v>
      </c>
      <c r="D9" s="1908">
        <v>0</v>
      </c>
      <c r="E9" s="1911">
        <v>0</v>
      </c>
      <c r="F9" s="1908">
        <v>0</v>
      </c>
      <c r="G9" s="1908">
        <v>0</v>
      </c>
      <c r="H9" s="1912">
        <v>0</v>
      </c>
      <c r="I9" s="1908">
        <v>0</v>
      </c>
      <c r="J9" s="1908">
        <v>0</v>
      </c>
      <c r="K9" s="1908">
        <v>0</v>
      </c>
      <c r="L9" s="466"/>
      <c r="M9" s="467"/>
      <c r="N9" s="468"/>
    </row>
    <row r="10" spans="1:14" ht="13.5" customHeight="1" x14ac:dyDescent="0.2">
      <c r="A10" s="471" t="s">
        <v>991</v>
      </c>
      <c r="B10" s="469">
        <v>170</v>
      </c>
      <c r="C10" s="1906">
        <v>0</v>
      </c>
      <c r="D10" s="1907">
        <v>0</v>
      </c>
      <c r="E10" s="1908">
        <v>0</v>
      </c>
      <c r="F10" s="1907">
        <v>0</v>
      </c>
      <c r="G10" s="1912">
        <v>0</v>
      </c>
      <c r="H10" s="1914">
        <v>0</v>
      </c>
      <c r="I10" s="1908">
        <v>0</v>
      </c>
      <c r="J10" s="1908">
        <v>0</v>
      </c>
      <c r="K10" s="1914">
        <v>0</v>
      </c>
      <c r="L10" s="477"/>
      <c r="M10" s="468"/>
      <c r="N10" s="468"/>
    </row>
    <row r="11" spans="1:14" ht="13.5" customHeight="1" x14ac:dyDescent="0.2">
      <c r="A11" s="471" t="s">
        <v>271</v>
      </c>
      <c r="B11" s="469">
        <v>180</v>
      </c>
      <c r="C11" s="1911">
        <v>813880</v>
      </c>
      <c r="D11" s="1908">
        <v>0</v>
      </c>
      <c r="E11" s="1908">
        <v>0</v>
      </c>
      <c r="F11" s="1908">
        <v>39409</v>
      </c>
      <c r="G11" s="1908">
        <v>0</v>
      </c>
      <c r="H11" s="1908">
        <v>0</v>
      </c>
      <c r="I11" s="1912">
        <v>0</v>
      </c>
      <c r="J11" s="1912">
        <v>0</v>
      </c>
      <c r="K11" s="1908">
        <v>0</v>
      </c>
      <c r="L11" s="466"/>
      <c r="M11" s="468"/>
      <c r="N11" s="468"/>
    </row>
    <row r="12" spans="1:14" ht="13.5" customHeight="1" x14ac:dyDescent="0.2">
      <c r="A12" s="471" t="s">
        <v>419</v>
      </c>
      <c r="B12" s="469">
        <v>190</v>
      </c>
      <c r="C12" s="1906">
        <v>0</v>
      </c>
      <c r="D12" s="1907">
        <v>0</v>
      </c>
      <c r="E12" s="1907">
        <v>0</v>
      </c>
      <c r="F12" s="1907">
        <v>0</v>
      </c>
      <c r="G12" s="1907">
        <v>0</v>
      </c>
      <c r="H12" s="1907">
        <v>0</v>
      </c>
      <c r="I12" s="1907">
        <v>0</v>
      </c>
      <c r="J12" s="1908">
        <v>0</v>
      </c>
      <c r="K12" s="1907">
        <v>0</v>
      </c>
      <c r="L12" s="465"/>
      <c r="M12" s="468"/>
      <c r="N12" s="468"/>
    </row>
    <row r="13" spans="1:14" ht="13.5" customHeight="1" thickBot="1" x14ac:dyDescent="0.25">
      <c r="A13" s="1707" t="s">
        <v>644</v>
      </c>
      <c r="B13" s="1680"/>
      <c r="C13" s="1708">
        <f>SUM(C4:C12)</f>
        <v>22263521</v>
      </c>
      <c r="D13" s="1708">
        <f t="shared" ref="D13:L13" si="0">SUM(D4:D12)</f>
        <v>0</v>
      </c>
      <c r="E13" s="1708">
        <f t="shared" si="0"/>
        <v>0</v>
      </c>
      <c r="F13" s="1708">
        <f t="shared" si="0"/>
        <v>1485416</v>
      </c>
      <c r="G13" s="1708">
        <f t="shared" si="0"/>
        <v>0</v>
      </c>
      <c r="H13" s="1708">
        <f t="shared" si="0"/>
        <v>0</v>
      </c>
      <c r="I13" s="1708">
        <f t="shared" si="0"/>
        <v>0</v>
      </c>
      <c r="J13" s="1708">
        <f t="shared" si="0"/>
        <v>0</v>
      </c>
      <c r="K13" s="1708">
        <f t="shared" si="0"/>
        <v>0</v>
      </c>
      <c r="L13" s="1708">
        <f t="shared" si="0"/>
        <v>46333</v>
      </c>
      <c r="M13" s="467"/>
      <c r="N13" s="468"/>
    </row>
    <row r="14" spans="1:14" ht="18" customHeight="1" thickTop="1" x14ac:dyDescent="0.2">
      <c r="A14" s="2197" t="s">
        <v>147</v>
      </c>
      <c r="B14" s="2198"/>
      <c r="C14" s="1534"/>
      <c r="D14" s="1535"/>
      <c r="E14" s="1535"/>
      <c r="F14" s="1535"/>
      <c r="G14" s="1535"/>
      <c r="H14" s="1535"/>
      <c r="I14" s="1535"/>
      <c r="J14" s="1535"/>
      <c r="K14" s="1535"/>
      <c r="L14" s="1535"/>
      <c r="M14" s="1536"/>
      <c r="N14" s="1537"/>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08">
        <v>165000</v>
      </c>
      <c r="N16" s="480"/>
    </row>
    <row r="17" spans="1:14" s="481" customFormat="1" ht="12.75" customHeight="1" x14ac:dyDescent="0.2">
      <c r="A17" s="478" t="s">
        <v>1403</v>
      </c>
      <c r="B17" s="479">
        <v>230</v>
      </c>
      <c r="C17" s="473"/>
      <c r="D17" s="473"/>
      <c r="E17" s="473"/>
      <c r="F17" s="473"/>
      <c r="G17" s="473"/>
      <c r="H17" s="473"/>
      <c r="I17" s="473"/>
      <c r="J17" s="473"/>
      <c r="K17" s="473"/>
      <c r="L17" s="473"/>
      <c r="M17" s="1908">
        <v>14834692</v>
      </c>
      <c r="N17" s="480"/>
    </row>
    <row r="18" spans="1:14" s="481" customFormat="1" ht="12.75" customHeight="1" x14ac:dyDescent="0.2">
      <c r="A18" s="478" t="s">
        <v>1404</v>
      </c>
      <c r="B18" s="479">
        <v>240</v>
      </c>
      <c r="C18" s="473"/>
      <c r="D18" s="473"/>
      <c r="E18" s="473"/>
      <c r="F18" s="473"/>
      <c r="G18" s="473"/>
      <c r="H18" s="473"/>
      <c r="I18" s="473"/>
      <c r="J18" s="473"/>
      <c r="K18" s="473"/>
      <c r="L18" s="473"/>
      <c r="M18" s="1908">
        <v>1047616</v>
      </c>
      <c r="N18" s="480"/>
    </row>
    <row r="19" spans="1:14" s="481" customFormat="1" ht="12.75" customHeight="1" x14ac:dyDescent="0.2">
      <c r="A19" s="478" t="s">
        <v>1405</v>
      </c>
      <c r="B19" s="479">
        <v>250</v>
      </c>
      <c r="C19" s="473"/>
      <c r="D19" s="473"/>
      <c r="E19" s="473"/>
      <c r="F19" s="473"/>
      <c r="G19" s="473"/>
      <c r="H19" s="473"/>
      <c r="I19" s="473"/>
      <c r="J19" s="473"/>
      <c r="K19" s="473"/>
      <c r="L19" s="473"/>
      <c r="M19" s="1908">
        <v>3717566</v>
      </c>
      <c r="N19" s="480"/>
    </row>
    <row r="20" spans="1:14" s="481" customFormat="1" ht="12.75" customHeight="1" x14ac:dyDescent="0.2">
      <c r="A20" s="478" t="s">
        <v>1406</v>
      </c>
      <c r="B20" s="479">
        <v>260</v>
      </c>
      <c r="C20" s="473"/>
      <c r="D20" s="473"/>
      <c r="E20" s="473"/>
      <c r="F20" s="473"/>
      <c r="G20" s="473"/>
      <c r="H20" s="473"/>
      <c r="I20" s="473"/>
      <c r="J20" s="473"/>
      <c r="K20" s="473"/>
      <c r="L20" s="473"/>
      <c r="M20" s="1908">
        <v>777358</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08">
        <f>+E39</f>
        <v>0</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0</v>
      </c>
    </row>
    <row r="23" spans="1:14" ht="13.5" customHeight="1" thickBot="1" x14ac:dyDescent="0.25">
      <c r="A23" s="1707" t="s">
        <v>643</v>
      </c>
      <c r="B23" s="1712"/>
      <c r="C23" s="467"/>
      <c r="D23" s="467"/>
      <c r="E23" s="467"/>
      <c r="F23" s="467"/>
      <c r="G23" s="467"/>
      <c r="H23" s="467"/>
      <c r="I23" s="467"/>
      <c r="J23" s="467"/>
      <c r="K23" s="467"/>
      <c r="L23" s="467"/>
      <c r="M23" s="1659">
        <f>SUM(M15:M22)</f>
        <v>20542232</v>
      </c>
      <c r="N23" s="1659">
        <f>SUM(N21:N22)</f>
        <v>0</v>
      </c>
    </row>
    <row r="24" spans="1:14" ht="18" customHeight="1" thickTop="1" x14ac:dyDescent="0.2">
      <c r="A24" s="2199" t="s">
        <v>598</v>
      </c>
      <c r="B24" s="2200"/>
      <c r="C24" s="1539"/>
      <c r="D24" s="1536"/>
      <c r="E24" s="1536"/>
      <c r="F24" s="1536"/>
      <c r="G24" s="1536"/>
      <c r="H24" s="1536"/>
      <c r="I24" s="1536"/>
      <c r="J24" s="1536"/>
      <c r="K24" s="1536"/>
      <c r="L24" s="1536"/>
      <c r="M24" s="1535"/>
      <c r="N24" s="1540"/>
    </row>
    <row r="25" spans="1:14" x14ac:dyDescent="0.2">
      <c r="A25" s="471" t="s">
        <v>645</v>
      </c>
      <c r="B25" s="469">
        <v>410</v>
      </c>
      <c r="C25" s="474">
        <v>0</v>
      </c>
      <c r="D25" s="474">
        <v>0</v>
      </c>
      <c r="E25" s="474">
        <v>0</v>
      </c>
      <c r="F25" s="474">
        <v>1382012</v>
      </c>
      <c r="G25" s="474">
        <v>0</v>
      </c>
      <c r="H25" s="1913">
        <v>0</v>
      </c>
      <c r="I25" s="467"/>
      <c r="J25" s="474">
        <v>0</v>
      </c>
      <c r="K25" s="474">
        <v>0</v>
      </c>
      <c r="L25" s="467"/>
      <c r="M25" s="467"/>
      <c r="N25" s="467"/>
    </row>
    <row r="26" spans="1:14" x14ac:dyDescent="0.2">
      <c r="A26" s="471" t="s">
        <v>646</v>
      </c>
      <c r="B26" s="469">
        <v>420</v>
      </c>
      <c r="C26" s="1908">
        <v>0</v>
      </c>
      <c r="D26" s="1908">
        <v>0</v>
      </c>
      <c r="E26" s="1908">
        <v>0</v>
      </c>
      <c r="F26" s="1908">
        <v>0</v>
      </c>
      <c r="G26" s="1908">
        <v>0</v>
      </c>
      <c r="H26" s="1908">
        <v>0</v>
      </c>
      <c r="I26" s="1908">
        <v>0</v>
      </c>
      <c r="J26" s="1910">
        <v>0</v>
      </c>
      <c r="K26" s="1908">
        <v>0</v>
      </c>
      <c r="L26" s="467"/>
      <c r="M26" s="467"/>
      <c r="N26" s="467"/>
    </row>
    <row r="27" spans="1:14" ht="13.5" customHeight="1" x14ac:dyDescent="0.2">
      <c r="A27" s="471" t="s">
        <v>647</v>
      </c>
      <c r="B27" s="469">
        <v>430</v>
      </c>
      <c r="C27" s="1908">
        <v>2625196</v>
      </c>
      <c r="D27" s="1908">
        <v>0</v>
      </c>
      <c r="E27" s="1908">
        <v>0</v>
      </c>
      <c r="F27" s="1908">
        <v>24676</v>
      </c>
      <c r="G27" s="1908">
        <v>0</v>
      </c>
      <c r="H27" s="1908">
        <v>0</v>
      </c>
      <c r="I27" s="1908">
        <v>0</v>
      </c>
      <c r="J27" s="1908">
        <v>0</v>
      </c>
      <c r="K27" s="1908">
        <v>0</v>
      </c>
      <c r="L27" s="467"/>
      <c r="M27" s="467"/>
      <c r="N27" s="467"/>
    </row>
    <row r="28" spans="1:14" ht="13.5" customHeight="1" x14ac:dyDescent="0.2">
      <c r="A28" s="471" t="s">
        <v>648</v>
      </c>
      <c r="B28" s="469">
        <v>440</v>
      </c>
      <c r="C28" s="1908">
        <v>0</v>
      </c>
      <c r="D28" s="1908">
        <v>0</v>
      </c>
      <c r="E28" s="1910">
        <v>0</v>
      </c>
      <c r="F28" s="1908">
        <v>0</v>
      </c>
      <c r="G28" s="1910">
        <v>0</v>
      </c>
      <c r="H28" s="1910">
        <v>0</v>
      </c>
      <c r="I28" s="1908">
        <v>0</v>
      </c>
      <c r="J28" s="1908">
        <v>0</v>
      </c>
      <c r="K28" s="1913">
        <v>0</v>
      </c>
      <c r="L28" s="467"/>
      <c r="M28" s="467"/>
      <c r="N28" s="467"/>
    </row>
    <row r="29" spans="1:14" ht="13.5" customHeight="1" x14ac:dyDescent="0.2">
      <c r="A29" s="471" t="s">
        <v>649</v>
      </c>
      <c r="B29" s="469">
        <v>460</v>
      </c>
      <c r="C29" s="1915">
        <v>0</v>
      </c>
      <c r="D29" s="1916">
        <v>0</v>
      </c>
      <c r="E29" s="1910">
        <v>0</v>
      </c>
      <c r="F29" s="1908">
        <v>0</v>
      </c>
      <c r="G29" s="1910">
        <v>0</v>
      </c>
      <c r="H29" s="1910">
        <v>0</v>
      </c>
      <c r="I29" s="1910">
        <v>0</v>
      </c>
      <c r="J29" s="1910">
        <v>0</v>
      </c>
      <c r="K29" s="1908">
        <v>0</v>
      </c>
      <c r="L29" s="467"/>
      <c r="M29" s="467"/>
      <c r="N29" s="467"/>
    </row>
    <row r="30" spans="1:14" ht="13.5" customHeight="1" x14ac:dyDescent="0.2">
      <c r="A30" s="471" t="s">
        <v>650</v>
      </c>
      <c r="B30" s="469">
        <v>470</v>
      </c>
      <c r="C30" s="1908">
        <v>17703</v>
      </c>
      <c r="D30" s="1910">
        <v>0</v>
      </c>
      <c r="E30" s="1908">
        <v>0</v>
      </c>
      <c r="F30" s="1908">
        <v>65</v>
      </c>
      <c r="G30" s="1908">
        <v>0</v>
      </c>
      <c r="H30" s="1908">
        <v>0</v>
      </c>
      <c r="I30" s="1908">
        <v>0</v>
      </c>
      <c r="J30" s="1908">
        <v>0</v>
      </c>
      <c r="K30" s="474">
        <v>0</v>
      </c>
      <c r="L30" s="467"/>
      <c r="M30" s="467"/>
      <c r="N30" s="467"/>
    </row>
    <row r="31" spans="1:14" ht="13.5" customHeight="1" x14ac:dyDescent="0.2">
      <c r="A31" s="471" t="s">
        <v>651</v>
      </c>
      <c r="B31" s="469">
        <v>480</v>
      </c>
      <c r="C31" s="1907">
        <v>0</v>
      </c>
      <c r="D31" s="1908">
        <v>0</v>
      </c>
      <c r="E31" s="1908">
        <v>0</v>
      </c>
      <c r="F31" s="1907">
        <v>0</v>
      </c>
      <c r="G31" s="1908">
        <v>0</v>
      </c>
      <c r="H31" s="1908">
        <v>0</v>
      </c>
      <c r="I31" s="1908">
        <v>0</v>
      </c>
      <c r="J31" s="1908">
        <v>0</v>
      </c>
      <c r="K31" s="1908">
        <v>0</v>
      </c>
      <c r="L31" s="467"/>
      <c r="M31" s="467"/>
      <c r="N31" s="467"/>
    </row>
    <row r="32" spans="1:14" ht="13.5" customHeight="1" x14ac:dyDescent="0.2">
      <c r="A32" s="484" t="s">
        <v>652</v>
      </c>
      <c r="B32" s="485">
        <v>490</v>
      </c>
      <c r="C32" s="1917">
        <v>0</v>
      </c>
      <c r="D32" s="1917">
        <v>0</v>
      </c>
      <c r="E32" s="1910">
        <v>0</v>
      </c>
      <c r="F32" s="1910">
        <v>0</v>
      </c>
      <c r="G32" s="1910">
        <v>0</v>
      </c>
      <c r="H32" s="1910">
        <v>0</v>
      </c>
      <c r="I32" s="1910">
        <v>0</v>
      </c>
      <c r="J32" s="1910">
        <v>0</v>
      </c>
      <c r="K32" s="1913">
        <v>0</v>
      </c>
      <c r="L32" s="467"/>
      <c r="M32" s="467"/>
      <c r="N32" s="467"/>
    </row>
    <row r="33" spans="1:14" ht="13.5" customHeight="1" x14ac:dyDescent="0.2">
      <c r="A33" s="486" t="s">
        <v>303</v>
      </c>
      <c r="B33" s="485">
        <v>493</v>
      </c>
      <c r="C33" s="1908">
        <v>0</v>
      </c>
      <c r="D33" s="1908">
        <v>0</v>
      </c>
      <c r="E33" s="1908">
        <v>0</v>
      </c>
      <c r="F33" s="1908">
        <v>0</v>
      </c>
      <c r="G33" s="1908">
        <v>0</v>
      </c>
      <c r="H33" s="1908">
        <v>0</v>
      </c>
      <c r="I33" s="1908">
        <v>0</v>
      </c>
      <c r="J33" s="1908">
        <v>0</v>
      </c>
      <c r="K33" s="1908">
        <v>0</v>
      </c>
      <c r="L33" s="1908">
        <v>46333</v>
      </c>
      <c r="M33" s="467"/>
      <c r="N33" s="468"/>
    </row>
    <row r="34" spans="1:14" ht="13.5" customHeight="1" thickBot="1" x14ac:dyDescent="0.25">
      <c r="A34" s="1709" t="s">
        <v>654</v>
      </c>
      <c r="B34" s="1710"/>
      <c r="C34" s="1711">
        <f>SUM(C25:C33)</f>
        <v>2642899</v>
      </c>
      <c r="D34" s="1711">
        <f t="shared" ref="D34:K34" si="1">SUM(D25:D33)</f>
        <v>0</v>
      </c>
      <c r="E34" s="1711">
        <f t="shared" si="1"/>
        <v>0</v>
      </c>
      <c r="F34" s="1711">
        <f t="shared" si="1"/>
        <v>1406753</v>
      </c>
      <c r="G34" s="1711">
        <f t="shared" si="1"/>
        <v>0</v>
      </c>
      <c r="H34" s="1711">
        <f t="shared" si="1"/>
        <v>0</v>
      </c>
      <c r="I34" s="1711">
        <f t="shared" si="1"/>
        <v>0</v>
      </c>
      <c r="J34" s="1711">
        <f t="shared" si="1"/>
        <v>0</v>
      </c>
      <c r="K34" s="1711">
        <f t="shared" si="1"/>
        <v>0</v>
      </c>
      <c r="L34" s="1692">
        <f>SUM(L33)</f>
        <v>46333</v>
      </c>
      <c r="M34" s="467"/>
      <c r="N34" s="476"/>
    </row>
    <row r="35" spans="1:14" ht="18" customHeight="1" thickTop="1" x14ac:dyDescent="0.2">
      <c r="A35" s="2201" t="s">
        <v>529</v>
      </c>
      <c r="B35" s="2202"/>
      <c r="C35" s="1541"/>
      <c r="D35" s="1542"/>
      <c r="E35" s="1542"/>
      <c r="F35" s="1542"/>
      <c r="G35" s="1542"/>
      <c r="H35" s="1542"/>
      <c r="I35" s="1542"/>
      <c r="J35" s="1542"/>
      <c r="K35" s="1542"/>
      <c r="L35" s="1542"/>
      <c r="M35" s="1536"/>
      <c r="N35" s="1540"/>
    </row>
    <row r="36" spans="1:14" x14ac:dyDescent="0.2">
      <c r="A36" s="487" t="s">
        <v>1</v>
      </c>
      <c r="B36" s="469">
        <v>511</v>
      </c>
      <c r="C36" s="473"/>
      <c r="D36" s="473"/>
      <c r="E36" s="473"/>
      <c r="F36" s="473"/>
      <c r="G36" s="473"/>
      <c r="H36" s="473"/>
      <c r="I36" s="473"/>
      <c r="J36" s="473"/>
      <c r="K36" s="473"/>
      <c r="L36" s="467"/>
      <c r="M36" s="467"/>
      <c r="N36" s="488">
        <f>'Short-Term Long-Term Debt 24'!I49</f>
        <v>0</v>
      </c>
    </row>
    <row r="37" spans="1:14" ht="13.5" thickBot="1" x14ac:dyDescent="0.25">
      <c r="A37" s="1707" t="s">
        <v>653</v>
      </c>
      <c r="B37" s="1712"/>
      <c r="C37" s="473"/>
      <c r="D37" s="473"/>
      <c r="E37" s="473"/>
      <c r="F37" s="473"/>
      <c r="G37" s="473"/>
      <c r="H37" s="473"/>
      <c r="I37" s="473"/>
      <c r="J37" s="473"/>
      <c r="K37" s="473"/>
      <c r="L37" s="476"/>
      <c r="M37" s="467"/>
      <c r="N37" s="1659">
        <f>SUM(N36:N36)</f>
        <v>0</v>
      </c>
    </row>
    <row r="38" spans="1:14" s="329" customFormat="1" ht="13.5" customHeight="1" thickTop="1" x14ac:dyDescent="0.2">
      <c r="A38" s="489" t="s">
        <v>420</v>
      </c>
      <c r="B38" s="479">
        <v>714</v>
      </c>
      <c r="C38" s="1907"/>
      <c r="D38" s="1907"/>
      <c r="E38" s="1907"/>
      <c r="F38" s="1907"/>
      <c r="G38" s="1907"/>
      <c r="H38" s="1907"/>
      <c r="I38" s="1907"/>
      <c r="J38" s="1908"/>
      <c r="K38" s="1907"/>
      <c r="L38" s="477"/>
      <c r="M38" s="490"/>
      <c r="N38" s="490"/>
    </row>
    <row r="39" spans="1:14" s="329" customFormat="1" ht="13.5" customHeight="1" x14ac:dyDescent="0.2">
      <c r="A39" s="489" t="s">
        <v>342</v>
      </c>
      <c r="B39" s="479">
        <v>730</v>
      </c>
      <c r="C39" s="1907">
        <v>19620622</v>
      </c>
      <c r="D39" s="1907">
        <v>0</v>
      </c>
      <c r="E39" s="1907">
        <v>0</v>
      </c>
      <c r="F39" s="1907">
        <v>78663</v>
      </c>
      <c r="G39" s="1907">
        <v>0</v>
      </c>
      <c r="H39" s="1907">
        <v>0</v>
      </c>
      <c r="I39" s="1907">
        <v>0</v>
      </c>
      <c r="J39" s="1908">
        <v>0</v>
      </c>
      <c r="K39" s="1907">
        <v>0</v>
      </c>
      <c r="L39" s="1907">
        <v>0</v>
      </c>
      <c r="M39" s="490"/>
      <c r="N39" s="490"/>
    </row>
    <row r="40" spans="1:14" s="329" customFormat="1" ht="13.5" customHeight="1" x14ac:dyDescent="0.2">
      <c r="A40" s="491" t="s">
        <v>148</v>
      </c>
      <c r="B40" s="492"/>
      <c r="C40" s="493"/>
      <c r="D40" s="493"/>
      <c r="E40" s="493"/>
      <c r="F40" s="493"/>
      <c r="G40" s="493"/>
      <c r="H40" s="493"/>
      <c r="I40" s="493"/>
      <c r="J40" s="493"/>
      <c r="K40" s="493"/>
      <c r="L40" s="493"/>
      <c r="M40" s="1918">
        <v>20542232</v>
      </c>
      <c r="N40" s="490"/>
    </row>
    <row r="41" spans="1:14" ht="13.5" customHeight="1" thickBot="1" x14ac:dyDescent="0.25">
      <c r="A41" s="1707" t="s">
        <v>655</v>
      </c>
      <c r="B41" s="1677"/>
      <c r="C41" s="1659">
        <f>(SUM(C34,C37,C38,C39))</f>
        <v>22263521</v>
      </c>
      <c r="D41" s="1659">
        <f t="shared" ref="D41:L41" si="2">SUM(D34,D37,D38:D39)</f>
        <v>0</v>
      </c>
      <c r="E41" s="1659">
        <f t="shared" si="2"/>
        <v>0</v>
      </c>
      <c r="F41" s="1659">
        <f t="shared" si="2"/>
        <v>1485416</v>
      </c>
      <c r="G41" s="1659">
        <f t="shared" si="2"/>
        <v>0</v>
      </c>
      <c r="H41" s="1659">
        <f t="shared" si="2"/>
        <v>0</v>
      </c>
      <c r="I41" s="1659">
        <f t="shared" si="2"/>
        <v>0</v>
      </c>
      <c r="J41" s="1659">
        <f t="shared" si="2"/>
        <v>0</v>
      </c>
      <c r="K41" s="1659">
        <f t="shared" si="2"/>
        <v>0</v>
      </c>
      <c r="L41" s="1659">
        <f t="shared" si="2"/>
        <v>46333</v>
      </c>
      <c r="M41" s="1659">
        <f>SUM(M40)</f>
        <v>20542232</v>
      </c>
      <c r="N41" s="1659">
        <f>SUM(N37)</f>
        <v>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5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39997558519241921"/>
  </sheetPr>
  <dimension ref="A1:M87"/>
  <sheetViews>
    <sheetView showGridLines="0" defaultGridColor="0" view="pageBreakPreview" colorId="8" zoomScaleNormal="110" zoomScaleSheetLayoutView="100" workbookViewId="0">
      <pane ySplit="2" topLeftCell="A66" activePane="bottomLeft" state="frozen"/>
      <selection activeCell="T16" sqref="T16"/>
      <selection pane="bottomLeft" activeCell="T16" sqref="T16"/>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11"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212"/>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23" t="s">
        <v>1175</v>
      </c>
      <c r="B3" s="2224"/>
      <c r="C3" s="1544"/>
      <c r="D3" s="1545"/>
      <c r="E3" s="1545"/>
      <c r="F3" s="1545"/>
      <c r="G3" s="1545"/>
      <c r="H3" s="1545"/>
      <c r="I3" s="1545"/>
      <c r="J3" s="1545"/>
      <c r="K3" s="1546"/>
      <c r="L3" s="499"/>
    </row>
    <row r="4" spans="1:13" ht="15.75" customHeight="1" x14ac:dyDescent="0.2">
      <c r="A4" s="1899" t="s">
        <v>1499</v>
      </c>
      <c r="B4" s="1900">
        <v>1000</v>
      </c>
      <c r="C4" s="1713">
        <f>'Revenues 9-14'!C109</f>
        <v>31342799</v>
      </c>
      <c r="D4" s="1713">
        <f>'Revenues 9-14'!D109</f>
        <v>0</v>
      </c>
      <c r="E4" s="1713">
        <f>'Revenues 9-14'!E109</f>
        <v>0</v>
      </c>
      <c r="F4" s="1713">
        <f>'Revenues 9-14'!F109</f>
        <v>2913432</v>
      </c>
      <c r="G4" s="1713">
        <f>'Revenues 9-14'!G109</f>
        <v>0</v>
      </c>
      <c r="H4" s="1713">
        <f>'Revenues 9-14'!H109</f>
        <v>0</v>
      </c>
      <c r="I4" s="1713">
        <f>'Revenues 9-14'!I109</f>
        <v>0</v>
      </c>
      <c r="J4" s="1713">
        <f>'Revenues 9-14'!J109</f>
        <v>0</v>
      </c>
      <c r="K4" s="1713">
        <f>'Revenues 9-14'!K109</f>
        <v>0</v>
      </c>
      <c r="L4" s="347"/>
    </row>
    <row r="5" spans="1:13" ht="15.75" customHeight="1" x14ac:dyDescent="0.2">
      <c r="A5" s="1547" t="s">
        <v>1500</v>
      </c>
      <c r="B5" s="1548">
        <v>2000</v>
      </c>
      <c r="C5" s="1714">
        <f>'Revenues 9-14'!C114</f>
        <v>9048990</v>
      </c>
      <c r="D5" s="1714">
        <f>'Revenues 9-14'!D114</f>
        <v>0</v>
      </c>
      <c r="E5" s="501"/>
      <c r="F5" s="1714">
        <f>'Revenues 9-14'!F114</f>
        <v>0</v>
      </c>
      <c r="G5" s="1714">
        <f>'Revenues 9-14'!G114</f>
        <v>0</v>
      </c>
      <c r="H5" s="502" t="s">
        <v>1169</v>
      </c>
      <c r="I5" s="503" t="s">
        <v>1169</v>
      </c>
      <c r="J5" s="504" t="s">
        <v>1169</v>
      </c>
      <c r="K5" s="505" t="s">
        <v>1169</v>
      </c>
      <c r="L5" s="347"/>
    </row>
    <row r="6" spans="1:13" ht="15.75" customHeight="1" x14ac:dyDescent="0.2">
      <c r="A6" s="1547" t="s">
        <v>1501</v>
      </c>
      <c r="B6" s="1549">
        <v>3000</v>
      </c>
      <c r="C6" s="1714">
        <f>'Revenues 9-14'!C170</f>
        <v>3019792</v>
      </c>
      <c r="D6" s="1714">
        <f>'Revenues 9-14'!D170</f>
        <v>0</v>
      </c>
      <c r="E6" s="1714">
        <f>'Revenues 9-14'!E170</f>
        <v>0</v>
      </c>
      <c r="F6" s="1714">
        <f>'Revenues 9-14'!F170</f>
        <v>34054</v>
      </c>
      <c r="G6" s="1714">
        <f>'Revenues 9-14'!G170</f>
        <v>0</v>
      </c>
      <c r="H6" s="1714">
        <f>'Revenues 9-14'!H170</f>
        <v>0</v>
      </c>
      <c r="I6" s="1714">
        <f>'Revenues 9-14'!I170</f>
        <v>0</v>
      </c>
      <c r="J6" s="1714">
        <f>'Revenues 9-14'!J170</f>
        <v>0</v>
      </c>
      <c r="K6" s="1714">
        <f>'Revenues 9-14'!K170</f>
        <v>0</v>
      </c>
      <c r="L6" s="347"/>
      <c r="M6" s="506"/>
    </row>
    <row r="7" spans="1:13" ht="15.75" customHeight="1" x14ac:dyDescent="0.2">
      <c r="A7" s="1547" t="s">
        <v>1502</v>
      </c>
      <c r="B7" s="1549">
        <v>4000</v>
      </c>
      <c r="C7" s="1714">
        <f>'Revenues 9-14'!C267</f>
        <v>2160978</v>
      </c>
      <c r="D7" s="1714">
        <f>'Revenues 9-14'!D267</f>
        <v>0</v>
      </c>
      <c r="E7" s="1714">
        <f>'Revenues 9-14'!E267</f>
        <v>0</v>
      </c>
      <c r="F7" s="1714">
        <f>'Revenues 9-14'!F267</f>
        <v>0</v>
      </c>
      <c r="G7" s="1714">
        <f>'Revenues 9-14'!G267</f>
        <v>0</v>
      </c>
      <c r="H7" s="1714">
        <f>'Revenues 9-14'!H267</f>
        <v>0</v>
      </c>
      <c r="I7" s="1714">
        <f>'Revenues 9-14'!I267</f>
        <v>0</v>
      </c>
      <c r="J7" s="1714">
        <f>'Revenues 9-14'!J267</f>
        <v>0</v>
      </c>
      <c r="K7" s="1714">
        <f>'Revenues 9-14'!K267</f>
        <v>0</v>
      </c>
      <c r="L7" s="347"/>
      <c r="M7" s="506"/>
    </row>
    <row r="8" spans="1:13" ht="13.5" thickBot="1" x14ac:dyDescent="0.25">
      <c r="A8" s="1707" t="s">
        <v>1172</v>
      </c>
      <c r="B8" s="1680"/>
      <c r="C8" s="1659">
        <f>SUM(C4:C7)</f>
        <v>45572559</v>
      </c>
      <c r="D8" s="1659">
        <f t="shared" ref="D8:K8" si="0">SUM(D4:D7)</f>
        <v>0</v>
      </c>
      <c r="E8" s="1659">
        <f t="shared" si="0"/>
        <v>0</v>
      </c>
      <c r="F8" s="1659">
        <f t="shared" si="0"/>
        <v>2947486</v>
      </c>
      <c r="G8" s="1659">
        <f t="shared" si="0"/>
        <v>0</v>
      </c>
      <c r="H8" s="1659">
        <f t="shared" si="0"/>
        <v>0</v>
      </c>
      <c r="I8" s="1659">
        <f t="shared" si="0"/>
        <v>0</v>
      </c>
      <c r="J8" s="1659">
        <f t="shared" si="0"/>
        <v>0</v>
      </c>
      <c r="K8" s="1659">
        <f t="shared" si="0"/>
        <v>0</v>
      </c>
      <c r="L8" s="347"/>
    </row>
    <row r="9" spans="1:13" ht="15.75" thickTop="1" x14ac:dyDescent="0.2">
      <c r="A9" s="507" t="s">
        <v>1653</v>
      </c>
      <c r="B9" s="508">
        <v>3998</v>
      </c>
      <c r="C9" s="477">
        <v>8180277</v>
      </c>
      <c r="D9" s="509">
        <v>0</v>
      </c>
      <c r="E9" s="477">
        <v>0</v>
      </c>
      <c r="F9" s="477">
        <v>0</v>
      </c>
      <c r="G9" s="510">
        <v>0</v>
      </c>
      <c r="H9" s="477">
        <v>0</v>
      </c>
      <c r="I9" s="502" t="s">
        <v>1169</v>
      </c>
      <c r="J9" s="474">
        <v>0</v>
      </c>
      <c r="K9" s="477">
        <v>0</v>
      </c>
      <c r="L9" s="347"/>
    </row>
    <row r="10" spans="1:13" s="512" customFormat="1" ht="13.5" thickBot="1" x14ac:dyDescent="0.25">
      <c r="A10" s="1707" t="s">
        <v>1173</v>
      </c>
      <c r="B10" s="1680"/>
      <c r="C10" s="1659">
        <f>SUM(C8:C9)</f>
        <v>53752836</v>
      </c>
      <c r="D10" s="1659">
        <f t="shared" ref="D10:K10" si="1">SUM(D8:D9)</f>
        <v>0</v>
      </c>
      <c r="E10" s="1659">
        <f t="shared" si="1"/>
        <v>0</v>
      </c>
      <c r="F10" s="1659">
        <f t="shared" si="1"/>
        <v>2947486</v>
      </c>
      <c r="G10" s="1659">
        <f t="shared" si="1"/>
        <v>0</v>
      </c>
      <c r="H10" s="1659">
        <f t="shared" si="1"/>
        <v>0</v>
      </c>
      <c r="I10" s="1659">
        <f t="shared" si="1"/>
        <v>0</v>
      </c>
      <c r="J10" s="1659">
        <f t="shared" si="1"/>
        <v>0</v>
      </c>
      <c r="K10" s="1659">
        <f t="shared" si="1"/>
        <v>0</v>
      </c>
      <c r="L10" s="511"/>
    </row>
    <row r="11" spans="1:13" s="512" customFormat="1" ht="16.7" customHeight="1" thickTop="1" x14ac:dyDescent="0.2">
      <c r="A11" s="2197" t="s">
        <v>1176</v>
      </c>
      <c r="B11" s="2198"/>
      <c r="C11" s="1541"/>
      <c r="D11" s="1542"/>
      <c r="E11" s="1542"/>
      <c r="F11" s="1542"/>
      <c r="G11" s="1542"/>
      <c r="H11" s="1542"/>
      <c r="I11" s="1542"/>
      <c r="J11" s="1542"/>
      <c r="K11" s="1543"/>
      <c r="L11" s="511"/>
    </row>
    <row r="12" spans="1:13" ht="15.75" customHeight="1" x14ac:dyDescent="0.2">
      <c r="A12" s="1547" t="s">
        <v>456</v>
      </c>
      <c r="B12" s="1549">
        <v>1000</v>
      </c>
      <c r="C12" s="1713">
        <f>'Expenditures 15-22'!K33</f>
        <v>25142165</v>
      </c>
      <c r="D12" s="513" t="s">
        <v>1169</v>
      </c>
      <c r="E12" s="467" t="s">
        <v>1169</v>
      </c>
      <c r="F12" s="467" t="s">
        <v>1169</v>
      </c>
      <c r="G12" s="1713">
        <f>'Expenditures 15-22'!K229</f>
        <v>0</v>
      </c>
      <c r="H12" s="514"/>
      <c r="I12" s="467" t="s">
        <v>1169</v>
      </c>
      <c r="J12" s="467" t="s">
        <v>1169</v>
      </c>
      <c r="K12" s="514" t="s">
        <v>1169</v>
      </c>
      <c r="L12" s="347"/>
    </row>
    <row r="13" spans="1:13" ht="15.75" customHeight="1" x14ac:dyDescent="0.2">
      <c r="A13" s="1547" t="s">
        <v>457</v>
      </c>
      <c r="B13" s="1549">
        <v>2000</v>
      </c>
      <c r="C13" s="1714">
        <f>'Expenditures 15-22'!K74</f>
        <v>10099473</v>
      </c>
      <c r="D13" s="1714">
        <f>'Expenditures 15-22'!K129</f>
        <v>0</v>
      </c>
      <c r="E13" s="468" t="s">
        <v>1169</v>
      </c>
      <c r="F13" s="1714">
        <f>'Expenditures 15-22'!K184</f>
        <v>2887809</v>
      </c>
      <c r="G13" s="1714">
        <f>'Expenditures 15-22'!K279</f>
        <v>0</v>
      </c>
      <c r="H13" s="1714">
        <f>'Expenditures 15-22'!K303</f>
        <v>0</v>
      </c>
      <c r="I13" s="467" t="s">
        <v>1169</v>
      </c>
      <c r="J13" s="1714">
        <f>'Expenditures 15-22'!K330</f>
        <v>0</v>
      </c>
      <c r="K13" s="1718">
        <f>'Expenditures 15-22'!K352</f>
        <v>0</v>
      </c>
      <c r="L13" s="347"/>
    </row>
    <row r="14" spans="1:13" ht="15.75" customHeight="1" x14ac:dyDescent="0.2">
      <c r="A14" s="1547" t="s">
        <v>449</v>
      </c>
      <c r="B14" s="1549">
        <v>3000</v>
      </c>
      <c r="C14" s="1714">
        <f>'Expenditures 15-22'!K75</f>
        <v>0</v>
      </c>
      <c r="D14" s="1714">
        <f>'Expenditures 15-22'!K130</f>
        <v>0</v>
      </c>
      <c r="E14" s="513" t="s">
        <v>1169</v>
      </c>
      <c r="F14" s="1714">
        <f>'Expenditures 15-22'!K185</f>
        <v>0</v>
      </c>
      <c r="G14" s="1714">
        <f>'Expenditures 15-22'!K280</f>
        <v>0</v>
      </c>
      <c r="H14" s="505"/>
      <c r="I14" s="467" t="s">
        <v>1169</v>
      </c>
      <c r="J14" s="467" t="s">
        <v>1169</v>
      </c>
      <c r="K14" s="505" t="s">
        <v>1169</v>
      </c>
      <c r="L14" s="347"/>
    </row>
    <row r="15" spans="1:13" ht="15.75" customHeight="1" x14ac:dyDescent="0.2">
      <c r="A15" s="1547" t="s">
        <v>107</v>
      </c>
      <c r="B15" s="1549">
        <v>4000</v>
      </c>
      <c r="C15" s="1714">
        <f>'Expenditures 15-22'!K102</f>
        <v>11000303</v>
      </c>
      <c r="D15" s="1714">
        <f>'Expenditures 15-22'!K139</f>
        <v>0</v>
      </c>
      <c r="E15" s="1714">
        <f>'Expenditures 15-22'!K160</f>
        <v>0</v>
      </c>
      <c r="F15" s="1714">
        <f>'Expenditures 15-22'!K196</f>
        <v>0</v>
      </c>
      <c r="G15" s="1714">
        <f>'Expenditures 15-22'!K285</f>
        <v>0</v>
      </c>
      <c r="H15" s="1714">
        <f>'Expenditures 15-22'!K310</f>
        <v>0</v>
      </c>
      <c r="I15" s="467" t="s">
        <v>1169</v>
      </c>
      <c r="J15" s="1806">
        <f>'Expenditures 15-22'!K334</f>
        <v>0</v>
      </c>
      <c r="K15" s="1714">
        <f>'Expenditures 15-22'!K357</f>
        <v>0</v>
      </c>
      <c r="L15" s="347"/>
    </row>
    <row r="16" spans="1:13" ht="15.75" customHeight="1" x14ac:dyDescent="0.2">
      <c r="A16" s="1547" t="s">
        <v>450</v>
      </c>
      <c r="B16" s="1549">
        <v>5000</v>
      </c>
      <c r="C16" s="1714">
        <f>'Expenditures 15-22'!K112</f>
        <v>0</v>
      </c>
      <c r="D16" s="1714">
        <f>'Expenditures 15-22'!K149</f>
        <v>0</v>
      </c>
      <c r="E16" s="1714">
        <f>'Expenditures 15-22'!K172</f>
        <v>0</v>
      </c>
      <c r="F16" s="1714">
        <f>'Expenditures 15-22'!K208</f>
        <v>0</v>
      </c>
      <c r="G16" s="1714">
        <f>'Expenditures 15-22'!K293</f>
        <v>0</v>
      </c>
      <c r="H16" s="516"/>
      <c r="I16" s="467" t="s">
        <v>1169</v>
      </c>
      <c r="J16" s="1719">
        <f>'Expenditures 15-22'!K340</f>
        <v>0</v>
      </c>
      <c r="K16" s="1714">
        <f>'Expenditures 15-22'!K365</f>
        <v>0</v>
      </c>
      <c r="L16" s="347"/>
    </row>
    <row r="17" spans="1:12" ht="13.5" thickBot="1" x14ac:dyDescent="0.25">
      <c r="A17" s="1679" t="s">
        <v>48</v>
      </c>
      <c r="B17" s="1680"/>
      <c r="C17" s="1659">
        <f t="shared" ref="C17:H17" si="2">SUM(C12:C16)</f>
        <v>46241941</v>
      </c>
      <c r="D17" s="1659">
        <f t="shared" si="2"/>
        <v>0</v>
      </c>
      <c r="E17" s="1659">
        <f t="shared" si="2"/>
        <v>0</v>
      </c>
      <c r="F17" s="1659">
        <f t="shared" si="2"/>
        <v>2887809</v>
      </c>
      <c r="G17" s="1659">
        <f t="shared" si="2"/>
        <v>0</v>
      </c>
      <c r="H17" s="1659">
        <f t="shared" si="2"/>
        <v>0</v>
      </c>
      <c r="I17" s="467"/>
      <c r="J17" s="1659">
        <f>SUM(J12:J16)</f>
        <v>0</v>
      </c>
      <c r="K17" s="1659">
        <f>SUM(K12:K16)</f>
        <v>0</v>
      </c>
      <c r="L17" s="347"/>
    </row>
    <row r="18" spans="1:12" ht="15" customHeight="1" thickTop="1" x14ac:dyDescent="0.2">
      <c r="A18" s="1715" t="s">
        <v>1654</v>
      </c>
      <c r="B18" s="1716">
        <v>4180</v>
      </c>
      <c r="C18" s="1713">
        <f t="shared" ref="C18:H18" si="3">C9</f>
        <v>8180277</v>
      </c>
      <c r="D18" s="1713">
        <f t="shared" si="3"/>
        <v>0</v>
      </c>
      <c r="E18" s="1713">
        <f t="shared" si="3"/>
        <v>0</v>
      </c>
      <c r="F18" s="1713">
        <f t="shared" si="3"/>
        <v>0</v>
      </c>
      <c r="G18" s="1713">
        <f t="shared" si="3"/>
        <v>0</v>
      </c>
      <c r="H18" s="1713">
        <f t="shared" si="3"/>
        <v>0</v>
      </c>
      <c r="I18" s="467"/>
      <c r="J18" s="1713">
        <f>J9</f>
        <v>0</v>
      </c>
      <c r="K18" s="1713">
        <f>K9</f>
        <v>0</v>
      </c>
      <c r="L18" s="347"/>
    </row>
    <row r="19" spans="1:12" ht="13.5" thickBot="1" x14ac:dyDescent="0.25">
      <c r="A19" s="1679" t="s">
        <v>505</v>
      </c>
      <c r="B19" s="1680"/>
      <c r="C19" s="1659">
        <f t="shared" ref="C19:H19" si="4">SUM(C17:C18)</f>
        <v>54422218</v>
      </c>
      <c r="D19" s="1659">
        <f t="shared" si="4"/>
        <v>0</v>
      </c>
      <c r="E19" s="1659">
        <f t="shared" si="4"/>
        <v>0</v>
      </c>
      <c r="F19" s="1659">
        <f t="shared" si="4"/>
        <v>2887809</v>
      </c>
      <c r="G19" s="1659">
        <f t="shared" si="4"/>
        <v>0</v>
      </c>
      <c r="H19" s="1659">
        <f t="shared" si="4"/>
        <v>0</v>
      </c>
      <c r="I19" s="467"/>
      <c r="J19" s="1659">
        <f>SUM(J17:J18)</f>
        <v>0</v>
      </c>
      <c r="K19" s="1659">
        <f>SUM(K17:K18)</f>
        <v>0</v>
      </c>
      <c r="L19" s="347"/>
    </row>
    <row r="20" spans="1:12" ht="16.5" thickTop="1" thickBot="1" x14ac:dyDescent="0.25">
      <c r="A20" s="2213" t="s">
        <v>1655</v>
      </c>
      <c r="B20" s="2214"/>
      <c r="C20" s="1717">
        <f>C8-C17</f>
        <v>-669382</v>
      </c>
      <c r="D20" s="1717">
        <f t="shared" ref="D20:K20" si="5">D8-D17</f>
        <v>0</v>
      </c>
      <c r="E20" s="1717">
        <f t="shared" si="5"/>
        <v>0</v>
      </c>
      <c r="F20" s="1717">
        <f t="shared" si="5"/>
        <v>59677</v>
      </c>
      <c r="G20" s="1717">
        <f t="shared" si="5"/>
        <v>0</v>
      </c>
      <c r="H20" s="1717">
        <f t="shared" si="5"/>
        <v>0</v>
      </c>
      <c r="I20" s="1717">
        <f t="shared" si="5"/>
        <v>0</v>
      </c>
      <c r="J20" s="1717">
        <f t="shared" si="5"/>
        <v>0</v>
      </c>
      <c r="K20" s="1717">
        <f t="shared" si="5"/>
        <v>0</v>
      </c>
      <c r="L20" s="347"/>
    </row>
    <row r="21" spans="1:12" ht="16.7" customHeight="1" thickTop="1" x14ac:dyDescent="0.2">
      <c r="A21" s="2225" t="s">
        <v>595</v>
      </c>
      <c r="B21" s="2226"/>
      <c r="C21" s="1541"/>
      <c r="D21" s="1542"/>
      <c r="E21" s="1542"/>
      <c r="F21" s="1542"/>
      <c r="G21" s="1542"/>
      <c r="H21" s="1542"/>
      <c r="I21" s="1542"/>
      <c r="J21" s="1542"/>
      <c r="K21" s="1543"/>
      <c r="L21" s="517"/>
    </row>
    <row r="22" spans="1:12" ht="15.75" customHeight="1" collapsed="1" x14ac:dyDescent="0.2">
      <c r="A22" s="2221" t="s">
        <v>596</v>
      </c>
      <c r="B22" s="2222"/>
      <c r="C22" s="473"/>
      <c r="D22" s="473"/>
      <c r="E22" s="473"/>
      <c r="F22" s="473"/>
      <c r="G22" s="473"/>
      <c r="H22" s="473"/>
      <c r="I22" s="473"/>
      <c r="J22" s="473"/>
      <c r="K22" s="473"/>
      <c r="L22" s="347"/>
    </row>
    <row r="23" spans="1:12" s="481" customFormat="1" ht="15.75" customHeight="1" x14ac:dyDescent="0.2">
      <c r="A23" s="2217" t="s">
        <v>293</v>
      </c>
      <c r="B23" s="2218"/>
      <c r="C23" s="476"/>
      <c r="D23" s="473"/>
      <c r="E23" s="473"/>
      <c r="F23" s="473"/>
      <c r="G23" s="473"/>
      <c r="H23" s="473"/>
      <c r="I23" s="473"/>
      <c r="J23" s="473"/>
      <c r="K23" s="473"/>
      <c r="L23" s="517"/>
    </row>
    <row r="24" spans="1:12" s="481" customFormat="1" ht="13.5" customHeight="1" x14ac:dyDescent="0.2">
      <c r="A24" s="1460" t="s">
        <v>1656</v>
      </c>
      <c r="B24" s="518">
        <v>7110</v>
      </c>
      <c r="C24" s="1918"/>
      <c r="D24" s="473"/>
      <c r="E24" s="473"/>
      <c r="F24" s="473"/>
      <c r="G24" s="473"/>
      <c r="H24" s="473"/>
      <c r="I24" s="473"/>
      <c r="J24" s="473"/>
      <c r="K24" s="473"/>
      <c r="L24" s="517"/>
    </row>
    <row r="25" spans="1:12" s="481" customFormat="1" ht="13.5" customHeight="1" x14ac:dyDescent="0.2">
      <c r="A25" s="1460" t="s">
        <v>1657</v>
      </c>
      <c r="B25" s="518">
        <v>7110</v>
      </c>
      <c r="C25" s="1918">
        <v>0</v>
      </c>
      <c r="D25" s="1918">
        <v>0</v>
      </c>
      <c r="E25" s="1918">
        <v>0</v>
      </c>
      <c r="F25" s="1918">
        <v>0</v>
      </c>
      <c r="G25" s="1918">
        <v>0</v>
      </c>
      <c r="H25" s="1918">
        <v>0</v>
      </c>
      <c r="I25" s="473"/>
      <c r="J25" s="1918">
        <v>0</v>
      </c>
      <c r="K25" s="1918">
        <v>0</v>
      </c>
      <c r="L25" s="517"/>
    </row>
    <row r="26" spans="1:12" s="481" customFormat="1" ht="13.5" customHeight="1" x14ac:dyDescent="0.2">
      <c r="A26" s="1460" t="s">
        <v>184</v>
      </c>
      <c r="B26" s="479">
        <v>7120</v>
      </c>
      <c r="C26" s="1918">
        <v>0</v>
      </c>
      <c r="D26" s="1918">
        <v>0</v>
      </c>
      <c r="E26" s="1918">
        <v>0</v>
      </c>
      <c r="F26" s="1918">
        <v>0</v>
      </c>
      <c r="G26" s="1918">
        <v>0</v>
      </c>
      <c r="H26" s="1918">
        <v>0</v>
      </c>
      <c r="I26" s="473"/>
      <c r="J26" s="1918">
        <v>0</v>
      </c>
      <c r="K26" s="1918">
        <v>0</v>
      </c>
      <c r="L26" s="517"/>
    </row>
    <row r="27" spans="1:12" s="481" customFormat="1" ht="13.5" customHeight="1" x14ac:dyDescent="0.2">
      <c r="A27" s="1460" t="s">
        <v>185</v>
      </c>
      <c r="B27" s="479">
        <v>7130</v>
      </c>
      <c r="C27" s="1918">
        <v>0</v>
      </c>
      <c r="D27" s="1918">
        <v>0</v>
      </c>
      <c r="E27" s="519"/>
      <c r="F27" s="1918">
        <v>0</v>
      </c>
      <c r="G27" s="476"/>
      <c r="H27" s="476"/>
      <c r="I27" s="476"/>
      <c r="J27" s="476"/>
      <c r="K27" s="476"/>
      <c r="L27" s="517"/>
    </row>
    <row r="28" spans="1:12" s="481" customFormat="1" ht="13.5" customHeight="1" x14ac:dyDescent="0.2">
      <c r="A28" s="1460" t="s">
        <v>1398</v>
      </c>
      <c r="B28" s="479">
        <v>7140</v>
      </c>
      <c r="C28" s="1918">
        <v>0</v>
      </c>
      <c r="D28" s="1918">
        <v>0</v>
      </c>
      <c r="E28" s="1918">
        <v>0</v>
      </c>
      <c r="F28" s="1918">
        <v>0</v>
      </c>
      <c r="G28" s="1918">
        <v>0</v>
      </c>
      <c r="H28" s="1918">
        <v>0</v>
      </c>
      <c r="I28" s="1918">
        <v>0</v>
      </c>
      <c r="J28" s="1918">
        <v>0</v>
      </c>
      <c r="K28" s="1918">
        <v>0</v>
      </c>
      <c r="L28" s="517"/>
    </row>
    <row r="29" spans="1:12" s="481" customFormat="1" ht="13.5" customHeight="1" x14ac:dyDescent="0.2">
      <c r="A29" s="1460" t="s">
        <v>294</v>
      </c>
      <c r="B29" s="479">
        <v>7150</v>
      </c>
      <c r="C29" s="472"/>
      <c r="D29" s="1918">
        <v>0</v>
      </c>
      <c r="E29" s="472"/>
      <c r="F29" s="472"/>
      <c r="G29" s="472"/>
      <c r="H29" s="472"/>
      <c r="I29" s="472"/>
      <c r="J29" s="472"/>
      <c r="K29" s="472"/>
      <c r="L29" s="517"/>
    </row>
    <row r="30" spans="1:12" s="481" customFormat="1" ht="26.25" x14ac:dyDescent="0.2">
      <c r="A30" s="1460" t="s">
        <v>1791</v>
      </c>
      <c r="B30" s="520">
        <v>7160</v>
      </c>
      <c r="C30" s="473"/>
      <c r="D30" s="1918">
        <v>0</v>
      </c>
      <c r="E30" s="473"/>
      <c r="F30" s="473"/>
      <c r="G30" s="473"/>
      <c r="H30" s="473"/>
      <c r="I30" s="473"/>
      <c r="J30" s="473"/>
      <c r="K30" s="473"/>
      <c r="L30" s="517"/>
    </row>
    <row r="31" spans="1:12" s="481" customFormat="1" ht="26.25" x14ac:dyDescent="0.2">
      <c r="A31" s="1460" t="s">
        <v>1795</v>
      </c>
      <c r="B31" s="520">
        <v>7170</v>
      </c>
      <c r="C31" s="473"/>
      <c r="D31" s="473"/>
      <c r="E31" s="1919">
        <v>0</v>
      </c>
      <c r="F31" s="473"/>
      <c r="G31" s="473"/>
      <c r="H31" s="473"/>
      <c r="I31" s="473"/>
      <c r="J31" s="473"/>
      <c r="K31" s="473"/>
      <c r="L31" s="517"/>
    </row>
    <row r="32" spans="1:12" s="481" customFormat="1" ht="15.75" customHeight="1" x14ac:dyDescent="0.2">
      <c r="A32" s="2219" t="s">
        <v>981</v>
      </c>
      <c r="B32" s="2220"/>
      <c r="C32" s="473"/>
      <c r="D32" s="473"/>
      <c r="E32" s="472"/>
      <c r="F32" s="473"/>
      <c r="G32" s="473"/>
      <c r="H32" s="473"/>
      <c r="I32" s="473"/>
      <c r="J32" s="473"/>
      <c r="K32" s="473"/>
      <c r="L32" s="517"/>
    </row>
    <row r="33" spans="1:12" s="481" customFormat="1" x14ac:dyDescent="0.2">
      <c r="A33" s="1460" t="s">
        <v>412</v>
      </c>
      <c r="B33" s="518">
        <v>7210</v>
      </c>
      <c r="C33" s="1918">
        <v>0</v>
      </c>
      <c r="D33" s="1918">
        <v>0</v>
      </c>
      <c r="E33" s="1918">
        <v>0</v>
      </c>
      <c r="F33" s="1918">
        <v>0</v>
      </c>
      <c r="G33" s="473"/>
      <c r="H33" s="1918">
        <v>0</v>
      </c>
      <c r="I33" s="1918">
        <v>0</v>
      </c>
      <c r="J33" s="1918">
        <v>0</v>
      </c>
      <c r="K33" s="1918">
        <v>0</v>
      </c>
      <c r="L33" s="517"/>
    </row>
    <row r="34" spans="1:12" s="481" customFormat="1" x14ac:dyDescent="0.2">
      <c r="A34" s="1460" t="s">
        <v>1001</v>
      </c>
      <c r="B34" s="518">
        <v>7220</v>
      </c>
      <c r="C34" s="1918">
        <v>0</v>
      </c>
      <c r="D34" s="1918">
        <v>0</v>
      </c>
      <c r="E34" s="1918">
        <v>0</v>
      </c>
      <c r="F34" s="1918">
        <v>0</v>
      </c>
      <c r="G34" s="473"/>
      <c r="H34" s="474">
        <v>0</v>
      </c>
      <c r="I34" s="474">
        <v>0</v>
      </c>
      <c r="J34" s="474">
        <v>0</v>
      </c>
      <c r="K34" s="474">
        <v>0</v>
      </c>
      <c r="L34" s="517"/>
    </row>
    <row r="35" spans="1:12" s="481" customFormat="1" x14ac:dyDescent="0.2">
      <c r="A35" s="1460" t="s">
        <v>990</v>
      </c>
      <c r="B35" s="518">
        <v>7230</v>
      </c>
      <c r="C35" s="1918">
        <v>0</v>
      </c>
      <c r="D35" s="1918">
        <v>0</v>
      </c>
      <c r="E35" s="1918">
        <v>0</v>
      </c>
      <c r="F35" s="1918">
        <v>0</v>
      </c>
      <c r="G35" s="476"/>
      <c r="H35" s="1918">
        <v>0</v>
      </c>
      <c r="I35" s="1918">
        <v>0</v>
      </c>
      <c r="J35" s="1918">
        <v>0</v>
      </c>
      <c r="K35" s="1918">
        <v>0</v>
      </c>
      <c r="L35" s="517"/>
    </row>
    <row r="36" spans="1:12" s="481" customFormat="1" ht="15" x14ac:dyDescent="0.2">
      <c r="A36" s="1460" t="s">
        <v>1658</v>
      </c>
      <c r="B36" s="518">
        <v>7300</v>
      </c>
      <c r="C36" s="1918">
        <v>0</v>
      </c>
      <c r="D36" s="1918">
        <v>0</v>
      </c>
      <c r="E36" s="1918">
        <v>0</v>
      </c>
      <c r="F36" s="1918">
        <v>0</v>
      </c>
      <c r="G36" s="1918">
        <v>0</v>
      </c>
      <c r="H36" s="1918">
        <v>0</v>
      </c>
      <c r="I36" s="472"/>
      <c r="J36" s="1918">
        <v>0</v>
      </c>
      <c r="K36" s="1918">
        <v>0</v>
      </c>
      <c r="L36" s="517"/>
    </row>
    <row r="37" spans="1:12" s="481" customFormat="1" x14ac:dyDescent="0.2">
      <c r="A37" s="1460" t="s">
        <v>441</v>
      </c>
      <c r="B37" s="518">
        <v>7400</v>
      </c>
      <c r="C37" s="472"/>
      <c r="D37" s="472"/>
      <c r="E37" s="1714">
        <f>SUM(C54:D57,H54:H57)</f>
        <v>0</v>
      </c>
      <c r="F37" s="472"/>
      <c r="G37" s="472"/>
      <c r="H37" s="472"/>
      <c r="I37" s="473"/>
      <c r="J37" s="472"/>
      <c r="K37" s="472"/>
      <c r="L37" s="517"/>
    </row>
    <row r="38" spans="1:12" s="481" customFormat="1" x14ac:dyDescent="0.2">
      <c r="A38" s="1460" t="s">
        <v>442</v>
      </c>
      <c r="B38" s="518">
        <v>7500</v>
      </c>
      <c r="C38" s="473"/>
      <c r="D38" s="473"/>
      <c r="E38" s="1714">
        <f>SUM(C58:D61,H58:H61)</f>
        <v>0</v>
      </c>
      <c r="F38" s="473"/>
      <c r="G38" s="473"/>
      <c r="H38" s="473"/>
      <c r="I38" s="473"/>
      <c r="J38" s="473"/>
      <c r="K38" s="473"/>
      <c r="L38" s="517"/>
    </row>
    <row r="39" spans="1:12" s="481" customFormat="1" x14ac:dyDescent="0.2">
      <c r="A39" s="1460" t="s">
        <v>443</v>
      </c>
      <c r="B39" s="518">
        <v>7600</v>
      </c>
      <c r="C39" s="473"/>
      <c r="D39" s="473"/>
      <c r="E39" s="1714">
        <f>SUM(C62:D65)</f>
        <v>0</v>
      </c>
      <c r="F39" s="473"/>
      <c r="G39" s="473"/>
      <c r="H39" s="473"/>
      <c r="I39" s="473"/>
      <c r="J39" s="473"/>
      <c r="K39" s="473"/>
      <c r="L39" s="517"/>
    </row>
    <row r="40" spans="1:12" s="481" customFormat="1" ht="13.5" customHeight="1" x14ac:dyDescent="0.2">
      <c r="A40" s="1460" t="s">
        <v>642</v>
      </c>
      <c r="B40" s="479">
        <v>7700</v>
      </c>
      <c r="C40" s="473"/>
      <c r="D40" s="473"/>
      <c r="E40" s="1714">
        <f>SUM(C66:D69)</f>
        <v>0</v>
      </c>
      <c r="F40" s="473"/>
      <c r="G40" s="473"/>
      <c r="H40" s="476"/>
      <c r="I40" s="473"/>
      <c r="J40" s="473"/>
      <c r="K40" s="473"/>
      <c r="L40" s="517"/>
    </row>
    <row r="41" spans="1:12" s="481" customFormat="1" ht="13.5" customHeight="1" x14ac:dyDescent="0.2">
      <c r="A41" s="1460" t="s">
        <v>640</v>
      </c>
      <c r="B41" s="479">
        <v>7800</v>
      </c>
      <c r="C41" s="476"/>
      <c r="D41" s="476"/>
      <c r="E41" s="519"/>
      <c r="F41" s="476"/>
      <c r="G41" s="476"/>
      <c r="H41" s="1714">
        <f>SUM(C70:D73)</f>
        <v>0</v>
      </c>
      <c r="I41" s="473"/>
      <c r="J41" s="473"/>
      <c r="K41" s="476"/>
      <c r="L41" s="517"/>
    </row>
    <row r="42" spans="1:12" s="481" customFormat="1" ht="13.5" customHeight="1" x14ac:dyDescent="0.2">
      <c r="A42" s="1460" t="s">
        <v>641</v>
      </c>
      <c r="B42" s="479">
        <v>7900</v>
      </c>
      <c r="C42" s="1918">
        <v>0</v>
      </c>
      <c r="D42" s="1918">
        <v>0</v>
      </c>
      <c r="E42" s="1918">
        <v>0</v>
      </c>
      <c r="F42" s="1918">
        <v>0</v>
      </c>
      <c r="G42" s="1918">
        <v>0</v>
      </c>
      <c r="H42" s="1918">
        <v>0</v>
      </c>
      <c r="I42" s="476"/>
      <c r="J42" s="476"/>
      <c r="K42" s="1918">
        <v>0</v>
      </c>
      <c r="L42" s="517"/>
    </row>
    <row r="43" spans="1:12" s="481" customFormat="1" ht="13.5" customHeight="1" x14ac:dyDescent="0.2">
      <c r="A43" s="1460" t="s">
        <v>373</v>
      </c>
      <c r="B43" s="479">
        <v>7990</v>
      </c>
      <c r="C43" s="1918">
        <v>0</v>
      </c>
      <c r="D43" s="1918">
        <v>0</v>
      </c>
      <c r="E43" s="1918">
        <v>0</v>
      </c>
      <c r="F43" s="1918">
        <v>0</v>
      </c>
      <c r="G43" s="1918">
        <v>0</v>
      </c>
      <c r="H43" s="1918">
        <v>0</v>
      </c>
      <c r="I43" s="1918">
        <v>0</v>
      </c>
      <c r="J43" s="1918">
        <v>0</v>
      </c>
      <c r="K43" s="1918">
        <v>0</v>
      </c>
      <c r="L43" s="517"/>
    </row>
    <row r="44" spans="1:12" s="481" customFormat="1" ht="13.5" customHeight="1" thickBot="1" x14ac:dyDescent="0.25">
      <c r="A44" s="2227" t="s">
        <v>374</v>
      </c>
      <c r="B44" s="2228"/>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517"/>
    </row>
    <row r="45" spans="1:12" ht="15.75" customHeight="1" thickTop="1" x14ac:dyDescent="0.2">
      <c r="A45" s="2221" t="s">
        <v>108</v>
      </c>
      <c r="B45" s="2222"/>
      <c r="C45" s="521"/>
      <c r="D45" s="521"/>
      <c r="E45" s="521"/>
      <c r="F45" s="521"/>
      <c r="G45" s="521"/>
      <c r="H45" s="521"/>
      <c r="I45" s="521"/>
      <c r="J45" s="521"/>
      <c r="K45" s="521"/>
      <c r="L45" s="347"/>
    </row>
    <row r="46" spans="1:12" s="481" customFormat="1" ht="15.75" customHeight="1" x14ac:dyDescent="0.2">
      <c r="A46" s="2229" t="s">
        <v>109</v>
      </c>
      <c r="B46" s="2230"/>
      <c r="C46" s="473"/>
      <c r="D46" s="473"/>
      <c r="E46" s="473"/>
      <c r="F46" s="473"/>
      <c r="G46" s="473"/>
      <c r="H46" s="473"/>
      <c r="I46" s="476"/>
      <c r="J46" s="473"/>
      <c r="K46" s="473"/>
      <c r="L46" s="522"/>
    </row>
    <row r="47" spans="1:12" s="481" customFormat="1" ht="15" x14ac:dyDescent="0.2">
      <c r="A47" s="1461" t="s">
        <v>1659</v>
      </c>
      <c r="B47" s="479">
        <v>8110</v>
      </c>
      <c r="C47" s="473"/>
      <c r="D47" s="473"/>
      <c r="E47" s="473"/>
      <c r="F47" s="473"/>
      <c r="G47" s="473"/>
      <c r="H47" s="473"/>
      <c r="I47" s="1714">
        <f>SUM(C24,C25:H25,J25:K25)</f>
        <v>0</v>
      </c>
      <c r="J47" s="473"/>
      <c r="K47" s="473"/>
      <c r="L47" s="522"/>
    </row>
    <row r="48" spans="1:12" s="481" customFormat="1" ht="15" x14ac:dyDescent="0.2">
      <c r="A48" s="1461" t="s">
        <v>1660</v>
      </c>
      <c r="B48" s="479">
        <v>8120</v>
      </c>
      <c r="C48" s="476"/>
      <c r="D48" s="476"/>
      <c r="E48" s="473"/>
      <c r="F48" s="476"/>
      <c r="G48" s="473"/>
      <c r="H48" s="473"/>
      <c r="I48" s="1714">
        <f>SUM(C26:H26,J26,K26)</f>
        <v>0</v>
      </c>
      <c r="J48" s="473"/>
      <c r="K48" s="473"/>
      <c r="L48" s="522"/>
    </row>
    <row r="49" spans="1:12" s="481" customFormat="1" x14ac:dyDescent="0.2">
      <c r="A49" s="1461" t="s">
        <v>185</v>
      </c>
      <c r="B49" s="479">
        <v>8130</v>
      </c>
      <c r="C49" s="1918">
        <v>0</v>
      </c>
      <c r="D49" s="1918">
        <v>0</v>
      </c>
      <c r="E49" s="476"/>
      <c r="F49" s="1918">
        <v>0</v>
      </c>
      <c r="G49" s="476"/>
      <c r="H49" s="476"/>
      <c r="I49" s="473"/>
      <c r="J49" s="476"/>
      <c r="K49" s="473"/>
      <c r="L49" s="517"/>
    </row>
    <row r="50" spans="1:12" s="481" customFormat="1" x14ac:dyDescent="0.2">
      <c r="A50" s="1461" t="s">
        <v>1398</v>
      </c>
      <c r="B50" s="479">
        <v>8140</v>
      </c>
      <c r="C50" s="1918">
        <v>0</v>
      </c>
      <c r="D50" s="1918">
        <v>0</v>
      </c>
      <c r="E50" s="1918">
        <v>0</v>
      </c>
      <c r="F50" s="1918">
        <v>0</v>
      </c>
      <c r="G50" s="1918">
        <v>0</v>
      </c>
      <c r="H50" s="1918">
        <v>0</v>
      </c>
      <c r="I50" s="473"/>
      <c r="J50" s="1918">
        <v>0</v>
      </c>
      <c r="K50" s="473"/>
      <c r="L50" s="517"/>
    </row>
    <row r="51" spans="1:12" s="481" customFormat="1" x14ac:dyDescent="0.2">
      <c r="A51" s="1461" t="s">
        <v>294</v>
      </c>
      <c r="B51" s="479">
        <v>8150</v>
      </c>
      <c r="C51" s="472"/>
      <c r="D51" s="472"/>
      <c r="E51" s="472"/>
      <c r="F51" s="472"/>
      <c r="G51" s="472"/>
      <c r="H51" s="1714">
        <f>SUM(D29)</f>
        <v>0</v>
      </c>
      <c r="I51" s="473"/>
      <c r="J51" s="472"/>
      <c r="K51" s="476"/>
      <c r="L51" s="517"/>
    </row>
    <row r="52" spans="1:12" s="481" customFormat="1" ht="26.25" x14ac:dyDescent="0.2">
      <c r="A52" s="1461" t="s">
        <v>1794</v>
      </c>
      <c r="B52" s="479">
        <v>8160</v>
      </c>
      <c r="C52" s="473"/>
      <c r="D52" s="473"/>
      <c r="E52" s="473"/>
      <c r="F52" s="473"/>
      <c r="G52" s="473"/>
      <c r="H52" s="473"/>
      <c r="I52" s="473"/>
      <c r="J52" s="473"/>
      <c r="K52" s="1714">
        <f>D30</f>
        <v>0</v>
      </c>
      <c r="L52" s="517"/>
    </row>
    <row r="53" spans="1:12" s="481" customFormat="1" ht="26.25" x14ac:dyDescent="0.2">
      <c r="A53" s="1461" t="s">
        <v>1793</v>
      </c>
      <c r="B53" s="479">
        <v>8170</v>
      </c>
      <c r="C53" s="476"/>
      <c r="D53" s="476"/>
      <c r="E53" s="473"/>
      <c r="F53" s="473"/>
      <c r="G53" s="473"/>
      <c r="H53" s="476"/>
      <c r="I53" s="473"/>
      <c r="J53" s="473"/>
      <c r="K53" s="1714">
        <f>E31</f>
        <v>0</v>
      </c>
      <c r="L53" s="517"/>
    </row>
    <row r="54" spans="1:12" s="481" customFormat="1" ht="13.5" thickBot="1" x14ac:dyDescent="0.25">
      <c r="A54" s="1461" t="s">
        <v>692</v>
      </c>
      <c r="B54" s="479">
        <v>8410</v>
      </c>
      <c r="C54" s="1920">
        <v>0</v>
      </c>
      <c r="D54" s="1920">
        <v>0</v>
      </c>
      <c r="E54" s="473"/>
      <c r="F54" s="473"/>
      <c r="G54" s="473"/>
      <c r="H54" s="1924">
        <v>0</v>
      </c>
      <c r="I54" s="473"/>
      <c r="J54" s="473"/>
      <c r="K54" s="472"/>
      <c r="L54" s="517"/>
    </row>
    <row r="55" spans="1:12" s="481" customFormat="1" ht="14.25" thickTop="1" thickBot="1" x14ac:dyDescent="0.25">
      <c r="A55" s="1462" t="s">
        <v>693</v>
      </c>
      <c r="B55" s="479">
        <v>8420</v>
      </c>
      <c r="C55" s="1921">
        <v>0</v>
      </c>
      <c r="D55" s="1921">
        <v>0</v>
      </c>
      <c r="E55" s="473"/>
      <c r="F55" s="473"/>
      <c r="G55" s="473"/>
      <c r="H55" s="1924">
        <v>0</v>
      </c>
      <c r="I55" s="473"/>
      <c r="J55" s="473"/>
      <c r="K55" s="473"/>
      <c r="L55" s="517"/>
    </row>
    <row r="56" spans="1:12" s="481" customFormat="1" ht="14.25" thickTop="1" thickBot="1" x14ac:dyDescent="0.25">
      <c r="A56" s="1461" t="s">
        <v>581</v>
      </c>
      <c r="B56" s="479">
        <v>8430</v>
      </c>
      <c r="C56" s="1921">
        <v>0</v>
      </c>
      <c r="D56" s="1921">
        <v>0</v>
      </c>
      <c r="E56" s="473"/>
      <c r="F56" s="473"/>
      <c r="G56" s="473"/>
      <c r="H56" s="1924">
        <v>0</v>
      </c>
      <c r="I56" s="473"/>
      <c r="J56" s="473"/>
      <c r="K56" s="473"/>
      <c r="L56" s="517"/>
    </row>
    <row r="57" spans="1:12" s="481" customFormat="1" ht="14.25" thickTop="1" thickBot="1" x14ac:dyDescent="0.25">
      <c r="A57" s="1462" t="s">
        <v>578</v>
      </c>
      <c r="B57" s="479">
        <v>8440</v>
      </c>
      <c r="C57" s="1921">
        <v>0</v>
      </c>
      <c r="D57" s="1921">
        <v>0</v>
      </c>
      <c r="E57" s="473"/>
      <c r="F57" s="473"/>
      <c r="G57" s="473"/>
      <c r="H57" s="1924">
        <v>0</v>
      </c>
      <c r="I57" s="473"/>
      <c r="J57" s="473"/>
      <c r="K57" s="473"/>
      <c r="L57" s="517"/>
    </row>
    <row r="58" spans="1:12" s="481" customFormat="1" ht="14.25" thickTop="1" thickBot="1" x14ac:dyDescent="0.25">
      <c r="A58" s="1461" t="s">
        <v>579</v>
      </c>
      <c r="B58" s="479">
        <v>8510</v>
      </c>
      <c r="C58" s="1921">
        <v>0</v>
      </c>
      <c r="D58" s="1921">
        <v>0</v>
      </c>
      <c r="E58" s="473"/>
      <c r="F58" s="473"/>
      <c r="G58" s="473"/>
      <c r="H58" s="1924">
        <v>0</v>
      </c>
      <c r="I58" s="473"/>
      <c r="J58" s="473"/>
      <c r="K58" s="473"/>
      <c r="L58" s="517"/>
    </row>
    <row r="59" spans="1:12" s="481" customFormat="1" ht="14.25" thickTop="1" thickBot="1" x14ac:dyDescent="0.25">
      <c r="A59" s="1463" t="s">
        <v>694</v>
      </c>
      <c r="B59" s="479">
        <v>8520</v>
      </c>
      <c r="C59" s="1921">
        <v>0</v>
      </c>
      <c r="D59" s="1921">
        <v>0</v>
      </c>
      <c r="E59" s="473"/>
      <c r="F59" s="473"/>
      <c r="G59" s="473"/>
      <c r="H59" s="1924">
        <v>0</v>
      </c>
      <c r="I59" s="473"/>
      <c r="J59" s="473"/>
      <c r="K59" s="473"/>
      <c r="L59" s="517"/>
    </row>
    <row r="60" spans="1:12" s="481" customFormat="1" ht="14.25" thickTop="1" thickBot="1" x14ac:dyDescent="0.25">
      <c r="A60" s="1461" t="s">
        <v>580</v>
      </c>
      <c r="B60" s="479">
        <v>8530</v>
      </c>
      <c r="C60" s="1921">
        <v>0</v>
      </c>
      <c r="D60" s="1921">
        <v>0</v>
      </c>
      <c r="E60" s="473"/>
      <c r="F60" s="473"/>
      <c r="G60" s="473"/>
      <c r="H60" s="1924">
        <v>0</v>
      </c>
      <c r="I60" s="473"/>
      <c r="J60" s="473"/>
      <c r="K60" s="473"/>
      <c r="L60" s="517"/>
    </row>
    <row r="61" spans="1:12" s="481" customFormat="1" ht="14.25" thickTop="1" thickBot="1" x14ac:dyDescent="0.25">
      <c r="A61" s="1462" t="s">
        <v>743</v>
      </c>
      <c r="B61" s="479">
        <v>8540</v>
      </c>
      <c r="C61" s="1921">
        <v>0</v>
      </c>
      <c r="D61" s="1921">
        <v>0</v>
      </c>
      <c r="E61" s="473"/>
      <c r="F61" s="473"/>
      <c r="G61" s="473"/>
      <c r="H61" s="1924">
        <v>0</v>
      </c>
      <c r="I61" s="473"/>
      <c r="J61" s="473"/>
      <c r="K61" s="473"/>
      <c r="L61" s="517"/>
    </row>
    <row r="62" spans="1:12" s="481" customFormat="1" ht="13.5" customHeight="1" thickTop="1" thickBot="1" x14ac:dyDescent="0.25">
      <c r="A62" s="1461" t="s">
        <v>744</v>
      </c>
      <c r="B62" s="479">
        <v>8610</v>
      </c>
      <c r="C62" s="1921">
        <v>0</v>
      </c>
      <c r="D62" s="1921">
        <v>0</v>
      </c>
      <c r="E62" s="473"/>
      <c r="F62" s="473"/>
      <c r="G62" s="473"/>
      <c r="H62" s="473"/>
      <c r="I62" s="473"/>
      <c r="J62" s="473"/>
      <c r="K62" s="473"/>
      <c r="L62" s="517"/>
    </row>
    <row r="63" spans="1:12" s="481" customFormat="1" ht="14.25" thickTop="1" thickBot="1" x14ac:dyDescent="0.25">
      <c r="A63" s="1462" t="s">
        <v>695</v>
      </c>
      <c r="B63" s="479">
        <v>8620</v>
      </c>
      <c r="C63" s="1921">
        <v>0</v>
      </c>
      <c r="D63" s="1921">
        <v>0</v>
      </c>
      <c r="E63" s="473"/>
      <c r="F63" s="473"/>
      <c r="G63" s="473"/>
      <c r="H63" s="473"/>
      <c r="I63" s="473"/>
      <c r="J63" s="473"/>
      <c r="K63" s="473"/>
      <c r="L63" s="517"/>
    </row>
    <row r="64" spans="1:12" s="481" customFormat="1" ht="13.5" customHeight="1" thickTop="1" thickBot="1" x14ac:dyDescent="0.25">
      <c r="A64" s="1461" t="s">
        <v>745</v>
      </c>
      <c r="B64" s="479">
        <v>8630</v>
      </c>
      <c r="C64" s="1921">
        <v>0</v>
      </c>
      <c r="D64" s="1921">
        <v>0</v>
      </c>
      <c r="E64" s="473"/>
      <c r="F64" s="473"/>
      <c r="G64" s="473"/>
      <c r="H64" s="473"/>
      <c r="I64" s="473"/>
      <c r="J64" s="473"/>
      <c r="K64" s="473"/>
      <c r="L64" s="517"/>
    </row>
    <row r="65" spans="1:12" s="481" customFormat="1" ht="14.25" thickTop="1" thickBot="1" x14ac:dyDescent="0.25">
      <c r="A65" s="1462" t="s">
        <v>746</v>
      </c>
      <c r="B65" s="479">
        <v>8640</v>
      </c>
      <c r="C65" s="1921">
        <v>0</v>
      </c>
      <c r="D65" s="1921">
        <v>0</v>
      </c>
      <c r="E65" s="473"/>
      <c r="F65" s="473"/>
      <c r="G65" s="473"/>
      <c r="H65" s="473"/>
      <c r="I65" s="473"/>
      <c r="J65" s="473"/>
      <c r="K65" s="473"/>
      <c r="L65" s="517"/>
    </row>
    <row r="66" spans="1:12" s="481" customFormat="1" ht="14.25" thickTop="1" thickBot="1" x14ac:dyDescent="0.25">
      <c r="A66" s="1461" t="s">
        <v>747</v>
      </c>
      <c r="B66" s="479">
        <v>8710</v>
      </c>
      <c r="C66" s="1921">
        <v>0</v>
      </c>
      <c r="D66" s="1921">
        <v>0</v>
      </c>
      <c r="E66" s="473"/>
      <c r="F66" s="473"/>
      <c r="G66" s="473"/>
      <c r="H66" s="473"/>
      <c r="I66" s="473"/>
      <c r="J66" s="473"/>
      <c r="K66" s="473"/>
      <c r="L66" s="517"/>
    </row>
    <row r="67" spans="1:12" s="481" customFormat="1" ht="14.25" thickTop="1" thickBot="1" x14ac:dyDescent="0.25">
      <c r="A67" s="1462" t="s">
        <v>696</v>
      </c>
      <c r="B67" s="479">
        <v>8720</v>
      </c>
      <c r="C67" s="1921">
        <v>0</v>
      </c>
      <c r="D67" s="1921">
        <v>0</v>
      </c>
      <c r="E67" s="473"/>
      <c r="F67" s="473"/>
      <c r="G67" s="473"/>
      <c r="H67" s="473"/>
      <c r="I67" s="473"/>
      <c r="J67" s="473"/>
      <c r="K67" s="473"/>
      <c r="L67" s="517"/>
    </row>
    <row r="68" spans="1:12" s="481" customFormat="1" ht="14.25" thickTop="1" thickBot="1" x14ac:dyDescent="0.25">
      <c r="A68" s="1463" t="s">
        <v>748</v>
      </c>
      <c r="B68" s="479">
        <v>8730</v>
      </c>
      <c r="C68" s="1921">
        <v>0</v>
      </c>
      <c r="D68" s="1921">
        <v>0</v>
      </c>
      <c r="E68" s="473"/>
      <c r="F68" s="473"/>
      <c r="G68" s="473"/>
      <c r="H68" s="473"/>
      <c r="I68" s="473"/>
      <c r="J68" s="473"/>
      <c r="K68" s="473"/>
      <c r="L68" s="517"/>
    </row>
    <row r="69" spans="1:12" s="481" customFormat="1" ht="14.25" thickTop="1" thickBot="1" x14ac:dyDescent="0.25">
      <c r="A69" s="1462" t="s">
        <v>749</v>
      </c>
      <c r="B69" s="479">
        <v>8740</v>
      </c>
      <c r="C69" s="1921">
        <v>0</v>
      </c>
      <c r="D69" s="1921">
        <v>0</v>
      </c>
      <c r="E69" s="473"/>
      <c r="F69" s="473"/>
      <c r="G69" s="473"/>
      <c r="H69" s="473"/>
      <c r="I69" s="473"/>
      <c r="J69" s="473"/>
      <c r="K69" s="473"/>
      <c r="L69" s="517"/>
    </row>
    <row r="70" spans="1:12" s="481" customFormat="1" ht="14.25" thickTop="1" thickBot="1" x14ac:dyDescent="0.25">
      <c r="A70" s="1461" t="s">
        <v>750</v>
      </c>
      <c r="B70" s="479">
        <v>8810</v>
      </c>
      <c r="C70" s="1921">
        <v>0</v>
      </c>
      <c r="D70" s="1921">
        <v>0</v>
      </c>
      <c r="E70" s="473"/>
      <c r="F70" s="473"/>
      <c r="G70" s="473"/>
      <c r="H70" s="473"/>
      <c r="I70" s="473"/>
      <c r="J70" s="473"/>
      <c r="K70" s="473"/>
      <c r="L70" s="517"/>
    </row>
    <row r="71" spans="1:12" s="481" customFormat="1" ht="14.25" thickTop="1" thickBot="1" x14ac:dyDescent="0.25">
      <c r="A71" s="1461" t="s">
        <v>754</v>
      </c>
      <c r="B71" s="479">
        <v>8820</v>
      </c>
      <c r="C71" s="1921">
        <v>0</v>
      </c>
      <c r="D71" s="1921">
        <v>0</v>
      </c>
      <c r="E71" s="473"/>
      <c r="F71" s="473"/>
      <c r="G71" s="473"/>
      <c r="H71" s="473"/>
      <c r="I71" s="473"/>
      <c r="J71" s="473"/>
      <c r="K71" s="473"/>
      <c r="L71" s="517"/>
    </row>
    <row r="72" spans="1:12" s="481" customFormat="1" ht="14.25" thickTop="1" thickBot="1" x14ac:dyDescent="0.25">
      <c r="A72" s="1461" t="s">
        <v>751</v>
      </c>
      <c r="B72" s="479">
        <v>8830</v>
      </c>
      <c r="C72" s="1921">
        <v>0</v>
      </c>
      <c r="D72" s="1921">
        <v>0</v>
      </c>
      <c r="E72" s="473"/>
      <c r="F72" s="473"/>
      <c r="G72" s="473"/>
      <c r="H72" s="473"/>
      <c r="I72" s="473"/>
      <c r="J72" s="473"/>
      <c r="K72" s="473"/>
      <c r="L72" s="517"/>
    </row>
    <row r="73" spans="1:12" s="481" customFormat="1" ht="14.25" thickTop="1" thickBot="1" x14ac:dyDescent="0.25">
      <c r="A73" s="1461" t="s">
        <v>752</v>
      </c>
      <c r="B73" s="479">
        <v>8840</v>
      </c>
      <c r="C73" s="1921">
        <v>0</v>
      </c>
      <c r="D73" s="1921">
        <v>0</v>
      </c>
      <c r="E73" s="473"/>
      <c r="F73" s="473"/>
      <c r="G73" s="473"/>
      <c r="H73" s="473"/>
      <c r="I73" s="473"/>
      <c r="J73" s="473"/>
      <c r="K73" s="476"/>
      <c r="L73" s="517"/>
    </row>
    <row r="74" spans="1:12" s="481" customFormat="1" ht="14.25" thickTop="1" thickBot="1" x14ac:dyDescent="0.25">
      <c r="A74" s="1461" t="s">
        <v>375</v>
      </c>
      <c r="B74" s="479">
        <v>8910</v>
      </c>
      <c r="C74" s="1921">
        <v>0</v>
      </c>
      <c r="D74" s="1921">
        <v>0</v>
      </c>
      <c r="E74" s="476"/>
      <c r="F74" s="1924">
        <v>0</v>
      </c>
      <c r="G74" s="1924">
        <v>0</v>
      </c>
      <c r="H74" s="1924">
        <v>0</v>
      </c>
      <c r="I74" s="476"/>
      <c r="J74" s="476"/>
      <c r="K74" s="1924">
        <v>0</v>
      </c>
      <c r="L74" s="517"/>
    </row>
    <row r="75" spans="1:12" s="481" customFormat="1" ht="14.25" thickTop="1" thickBot="1" x14ac:dyDescent="0.25">
      <c r="A75" s="1464" t="s">
        <v>439</v>
      </c>
      <c r="B75" s="479">
        <v>8990</v>
      </c>
      <c r="C75" s="1921">
        <v>0</v>
      </c>
      <c r="D75" s="1921">
        <v>0</v>
      </c>
      <c r="E75" s="1924">
        <v>0</v>
      </c>
      <c r="F75" s="1925">
        <v>0</v>
      </c>
      <c r="G75" s="1925">
        <v>0</v>
      </c>
      <c r="H75" s="1925">
        <v>0</v>
      </c>
      <c r="I75" s="1924">
        <v>0</v>
      </c>
      <c r="J75" s="1924">
        <v>0</v>
      </c>
      <c r="K75" s="1925">
        <v>0</v>
      </c>
      <c r="L75" s="517"/>
    </row>
    <row r="76" spans="1:12" s="481" customFormat="1" ht="14.25" thickTop="1" thickBot="1" x14ac:dyDescent="0.25">
      <c r="A76" s="2203" t="s">
        <v>440</v>
      </c>
      <c r="B76" s="2204"/>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517"/>
    </row>
    <row r="77" spans="1:12" ht="14.25" thickTop="1" thickBot="1" x14ac:dyDescent="0.25">
      <c r="A77" s="2205" t="s">
        <v>1177</v>
      </c>
      <c r="B77" s="2206"/>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47"/>
    </row>
    <row r="78" spans="1:12" ht="21.75" customHeight="1" thickTop="1" thickBot="1" x14ac:dyDescent="0.25">
      <c r="A78" s="2209" t="s">
        <v>597</v>
      </c>
      <c r="B78" s="2210"/>
      <c r="C78" s="1673">
        <f t="shared" ref="C78:K78" si="9">C20+C77</f>
        <v>-669382</v>
      </c>
      <c r="D78" s="1673">
        <f t="shared" si="9"/>
        <v>0</v>
      </c>
      <c r="E78" s="1673">
        <f t="shared" si="9"/>
        <v>0</v>
      </c>
      <c r="F78" s="1673">
        <f t="shared" si="9"/>
        <v>59677</v>
      </c>
      <c r="G78" s="1673">
        <f t="shared" si="9"/>
        <v>0</v>
      </c>
      <c r="H78" s="1673">
        <f t="shared" si="9"/>
        <v>0</v>
      </c>
      <c r="I78" s="1673">
        <f t="shared" si="9"/>
        <v>0</v>
      </c>
      <c r="J78" s="1673">
        <f t="shared" si="9"/>
        <v>0</v>
      </c>
      <c r="K78" s="1673">
        <f t="shared" si="9"/>
        <v>0</v>
      </c>
      <c r="L78" s="524"/>
    </row>
    <row r="79" spans="1:12" ht="13.5" thickTop="1" x14ac:dyDescent="0.2">
      <c r="A79" s="1465" t="s">
        <v>1946</v>
      </c>
      <c r="B79" s="525"/>
      <c r="C79" s="474">
        <v>20290004</v>
      </c>
      <c r="D79" s="1926">
        <v>0</v>
      </c>
      <c r="E79" s="1926">
        <v>0</v>
      </c>
      <c r="F79" s="1926">
        <v>18986</v>
      </c>
      <c r="G79" s="1926">
        <v>0</v>
      </c>
      <c r="H79" s="1926">
        <v>0</v>
      </c>
      <c r="I79" s="1926">
        <v>0</v>
      </c>
      <c r="J79" s="1926">
        <v>0</v>
      </c>
      <c r="K79" s="1926">
        <v>0</v>
      </c>
      <c r="L79" s="347"/>
    </row>
    <row r="80" spans="1:12" x14ac:dyDescent="0.2">
      <c r="A80" s="2215" t="s">
        <v>1792</v>
      </c>
      <c r="B80" s="2216"/>
      <c r="C80" s="466"/>
      <c r="D80" s="466"/>
      <c r="E80" s="466"/>
      <c r="F80" s="466"/>
      <c r="G80" s="466"/>
      <c r="H80" s="466"/>
      <c r="I80" s="466"/>
      <c r="J80" s="466"/>
      <c r="K80" s="466"/>
      <c r="L80" s="347"/>
    </row>
    <row r="81" spans="1:12" ht="13.5" thickBot="1" x14ac:dyDescent="0.25">
      <c r="A81" s="2207" t="s">
        <v>1947</v>
      </c>
      <c r="B81" s="2208"/>
      <c r="C81" s="1659">
        <f>(SUM(C78:C80))</f>
        <v>19620622</v>
      </c>
      <c r="D81" s="1659">
        <f>SUM(D78:D80)</f>
        <v>0</v>
      </c>
      <c r="E81" s="1659">
        <f t="shared" ref="E81:K81" si="10">SUM(E78:E80)</f>
        <v>0</v>
      </c>
      <c r="F81" s="1659">
        <f t="shared" si="10"/>
        <v>78663</v>
      </c>
      <c r="G81" s="1659">
        <f t="shared" si="10"/>
        <v>0</v>
      </c>
      <c r="H81" s="1659">
        <f t="shared" si="10"/>
        <v>0</v>
      </c>
      <c r="I81" s="1659">
        <f t="shared" si="10"/>
        <v>0</v>
      </c>
      <c r="J81" s="1659">
        <f t="shared" si="10"/>
        <v>0</v>
      </c>
      <c r="K81" s="1659">
        <f t="shared" si="10"/>
        <v>0</v>
      </c>
      <c r="L81" s="347"/>
    </row>
    <row r="82" spans="1:12" ht="0.75" customHeight="1" thickTop="1" thickBot="1" x14ac:dyDescent="0.25">
      <c r="A82" s="526" t="s">
        <v>343</v>
      </c>
      <c r="B82" s="527"/>
      <c r="C82" s="528">
        <f>(C81-C79)</f>
        <v>-669382</v>
      </c>
      <c r="D82" s="528">
        <f t="shared" ref="D82:K82" si="11">(D81-D79)</f>
        <v>0</v>
      </c>
      <c r="E82" s="528">
        <f t="shared" si="11"/>
        <v>0</v>
      </c>
      <c r="F82" s="528">
        <f t="shared" si="11"/>
        <v>59677</v>
      </c>
      <c r="G82" s="528">
        <f t="shared" si="11"/>
        <v>0</v>
      </c>
      <c r="H82" s="528">
        <f t="shared" si="11"/>
        <v>0</v>
      </c>
      <c r="I82" s="528">
        <f t="shared" si="11"/>
        <v>0</v>
      </c>
      <c r="J82" s="528">
        <f t="shared" si="11"/>
        <v>0</v>
      </c>
      <c r="K82" s="528">
        <f t="shared" si="11"/>
        <v>0</v>
      </c>
    </row>
    <row r="83" spans="1:12" ht="14.25" hidden="1" thickTop="1" thickBot="1" x14ac:dyDescent="0.25">
      <c r="A83" s="529" t="s">
        <v>344</v>
      </c>
      <c r="B83" s="464"/>
      <c r="C83" s="530">
        <f>C82/C81</f>
        <v>-3.4116247690822443E-2</v>
      </c>
      <c r="D83" s="530" t="e">
        <f t="shared" ref="D83:K83" si="12">D82/D81</f>
        <v>#DIV/0!</v>
      </c>
      <c r="E83" s="530" t="e">
        <f t="shared" si="12"/>
        <v>#DIV/0!</v>
      </c>
      <c r="F83" s="530">
        <f t="shared" si="12"/>
        <v>0.75864129260262125</v>
      </c>
      <c r="G83" s="530" t="e">
        <f t="shared" si="12"/>
        <v>#DIV/0!</v>
      </c>
      <c r="H83" s="530" t="e">
        <f t="shared" si="12"/>
        <v>#DIV/0!</v>
      </c>
      <c r="I83" s="530" t="e">
        <f t="shared" si="12"/>
        <v>#DIV/0!</v>
      </c>
      <c r="J83" s="530" t="e">
        <f t="shared" si="12"/>
        <v>#DIV/0!</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39997558519241921"/>
  </sheetPr>
  <dimension ref="A1:L279"/>
  <sheetViews>
    <sheetView showGridLines="0" defaultGridColor="0" view="pageBreakPreview" colorId="8" zoomScaleNormal="110" zoomScaleSheetLayoutView="100" workbookViewId="0">
      <pane ySplit="2" topLeftCell="A218" activePane="bottomLeft" state="frozen"/>
      <selection activeCell="AF22" sqref="AF22"/>
      <selection pane="bottomLeft" activeCell="K265" sqref="K26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11" t="s">
        <v>1799</v>
      </c>
      <c r="B1" s="452"/>
      <c r="C1" s="453" t="s">
        <v>425</v>
      </c>
      <c r="D1" s="453" t="s">
        <v>426</v>
      </c>
      <c r="E1" s="453" t="s">
        <v>427</v>
      </c>
      <c r="F1" s="453" t="s">
        <v>428</v>
      </c>
      <c r="G1" s="453" t="s">
        <v>429</v>
      </c>
      <c r="H1" s="453" t="s">
        <v>430</v>
      </c>
      <c r="I1" s="453" t="s">
        <v>431</v>
      </c>
      <c r="J1" s="453" t="s">
        <v>432</v>
      </c>
      <c r="K1" s="453" t="s">
        <v>756</v>
      </c>
    </row>
    <row r="2" spans="1:12" ht="36" x14ac:dyDescent="0.2">
      <c r="A2" s="2212"/>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0" t="s">
        <v>113</v>
      </c>
      <c r="B3" s="1551"/>
      <c r="C3" s="1552"/>
      <c r="D3" s="1552"/>
      <c r="E3" s="1552"/>
      <c r="F3" s="1553"/>
      <c r="G3" s="1554"/>
      <c r="H3" s="1553"/>
      <c r="I3" s="1553"/>
      <c r="J3" s="1553"/>
      <c r="K3" s="1555"/>
    </row>
    <row r="4" spans="1:12" ht="15.75" customHeight="1" x14ac:dyDescent="0.2">
      <c r="A4" s="1561" t="s">
        <v>379</v>
      </c>
      <c r="B4" s="1562">
        <v>1100</v>
      </c>
      <c r="C4" s="533"/>
      <c r="D4" s="533"/>
      <c r="E4" s="533"/>
      <c r="F4" s="534"/>
      <c r="G4" s="535"/>
      <c r="H4" s="536"/>
      <c r="I4" s="536"/>
      <c r="J4" s="536"/>
      <c r="K4" s="536"/>
    </row>
    <row r="5" spans="1:12" ht="15" x14ac:dyDescent="0.2">
      <c r="A5" s="486" t="s">
        <v>1661</v>
      </c>
      <c r="B5" s="537"/>
      <c r="C5" s="477">
        <v>0</v>
      </c>
      <c r="D5" s="477">
        <v>0</v>
      </c>
      <c r="E5" s="1922">
        <v>0</v>
      </c>
      <c r="F5" s="1930">
        <v>0</v>
      </c>
      <c r="G5" s="1928">
        <v>0</v>
      </c>
      <c r="H5" s="1928">
        <v>0</v>
      </c>
      <c r="I5" s="1928">
        <v>0</v>
      </c>
      <c r="J5" s="1932">
        <v>0</v>
      </c>
      <c r="K5" s="1931">
        <v>0</v>
      </c>
    </row>
    <row r="6" spans="1:12" ht="15" x14ac:dyDescent="0.2">
      <c r="A6" s="463" t="s">
        <v>1662</v>
      </c>
      <c r="B6" s="469">
        <v>1130</v>
      </c>
      <c r="C6" s="1922">
        <v>0</v>
      </c>
      <c r="D6" s="1922">
        <v>0</v>
      </c>
      <c r="E6" s="472"/>
      <c r="F6" s="472"/>
      <c r="G6" s="467"/>
      <c r="H6" s="467"/>
      <c r="I6" s="467"/>
      <c r="J6" s="467"/>
      <c r="K6" s="467"/>
    </row>
    <row r="7" spans="1:12" x14ac:dyDescent="0.2">
      <c r="A7" s="463" t="s">
        <v>110</v>
      </c>
      <c r="B7" s="538">
        <v>1140</v>
      </c>
      <c r="C7" s="1922">
        <v>0</v>
      </c>
      <c r="D7" s="1922">
        <v>0</v>
      </c>
      <c r="E7" s="467"/>
      <c r="F7" s="1929">
        <v>0</v>
      </c>
      <c r="G7" s="1929">
        <v>0</v>
      </c>
      <c r="H7" s="1929">
        <v>0</v>
      </c>
      <c r="I7" s="467"/>
      <c r="J7" s="467"/>
      <c r="K7" s="467"/>
    </row>
    <row r="8" spans="1:12" x14ac:dyDescent="0.2">
      <c r="A8" s="463" t="s">
        <v>413</v>
      </c>
      <c r="B8" s="469">
        <v>1150</v>
      </c>
      <c r="C8" s="472"/>
      <c r="D8" s="472"/>
      <c r="E8" s="473"/>
      <c r="F8" s="473"/>
      <c r="G8" s="477">
        <v>0</v>
      </c>
      <c r="H8" s="467"/>
      <c r="I8" s="467"/>
      <c r="J8" s="467"/>
      <c r="K8" s="467"/>
    </row>
    <row r="9" spans="1:12" x14ac:dyDescent="0.2">
      <c r="A9" s="471" t="s">
        <v>111</v>
      </c>
      <c r="B9" s="469">
        <v>1160</v>
      </c>
      <c r="C9" s="467"/>
      <c r="D9" s="1923">
        <v>0</v>
      </c>
      <c r="E9" s="1929">
        <v>0</v>
      </c>
      <c r="F9" s="468"/>
      <c r="G9" s="472"/>
      <c r="H9" s="1929">
        <v>0</v>
      </c>
      <c r="I9" s="467"/>
      <c r="J9" s="467"/>
      <c r="K9" s="467"/>
    </row>
    <row r="10" spans="1:12" x14ac:dyDescent="0.2">
      <c r="A10" s="471" t="s">
        <v>112</v>
      </c>
      <c r="B10" s="469">
        <v>1170</v>
      </c>
      <c r="C10" s="1923">
        <v>0</v>
      </c>
      <c r="D10" s="519"/>
      <c r="E10" s="519"/>
      <c r="F10" s="468"/>
      <c r="G10" s="467"/>
      <c r="H10" s="467"/>
      <c r="I10" s="467"/>
      <c r="J10" s="467"/>
      <c r="K10" s="467"/>
    </row>
    <row r="11" spans="1:12" x14ac:dyDescent="0.2">
      <c r="A11" s="471" t="s">
        <v>414</v>
      </c>
      <c r="B11" s="539">
        <v>1190</v>
      </c>
      <c r="C11" s="1927">
        <v>0</v>
      </c>
      <c r="D11" s="1922">
        <v>0</v>
      </c>
      <c r="E11" s="1928">
        <v>0</v>
      </c>
      <c r="F11" s="1928">
        <v>0</v>
      </c>
      <c r="G11" s="1928">
        <v>0</v>
      </c>
      <c r="H11" s="1928">
        <v>0</v>
      </c>
      <c r="I11" s="1928">
        <v>0</v>
      </c>
      <c r="J11" s="1932">
        <v>0</v>
      </c>
      <c r="K11" s="1931">
        <v>0</v>
      </c>
      <c r="L11" s="540"/>
    </row>
    <row r="12" spans="1:12" ht="12.75" customHeight="1" thickBot="1" x14ac:dyDescent="0.25">
      <c r="A12" s="1676" t="s">
        <v>29</v>
      </c>
      <c r="B12" s="1677"/>
      <c r="C12" s="1678">
        <f t="shared" ref="C12:K12" si="0">SUM(C5:C11)</f>
        <v>0</v>
      </c>
      <c r="D12" s="1678">
        <f t="shared" si="0"/>
        <v>0</v>
      </c>
      <c r="E12" s="1678">
        <f t="shared" si="0"/>
        <v>0</v>
      </c>
      <c r="F12" s="1678">
        <f t="shared" si="0"/>
        <v>0</v>
      </c>
      <c r="G12" s="1678">
        <f t="shared" si="0"/>
        <v>0</v>
      </c>
      <c r="H12" s="1678">
        <f t="shared" si="0"/>
        <v>0</v>
      </c>
      <c r="I12" s="1678">
        <f t="shared" si="0"/>
        <v>0</v>
      </c>
      <c r="J12" s="1678">
        <f t="shared" si="0"/>
        <v>0</v>
      </c>
      <c r="K12" s="1659">
        <f t="shared" si="0"/>
        <v>0</v>
      </c>
    </row>
    <row r="13" spans="1:12" ht="15.75" customHeight="1" thickTop="1" x14ac:dyDescent="0.2">
      <c r="A13" s="1563" t="s">
        <v>451</v>
      </c>
      <c r="B13" s="1564">
        <v>1200</v>
      </c>
      <c r="C13" s="541"/>
      <c r="D13" s="541"/>
      <c r="E13" s="541"/>
      <c r="F13" s="541"/>
      <c r="G13" s="541"/>
      <c r="H13" s="541"/>
      <c r="I13" s="541"/>
      <c r="J13" s="541"/>
      <c r="K13" s="467"/>
    </row>
    <row r="14" spans="1:12" x14ac:dyDescent="0.2">
      <c r="A14" s="463" t="s">
        <v>3</v>
      </c>
      <c r="B14" s="469">
        <v>1210</v>
      </c>
      <c r="C14" s="1936">
        <v>0</v>
      </c>
      <c r="D14" s="1931">
        <v>0</v>
      </c>
      <c r="E14" s="1931">
        <v>0</v>
      </c>
      <c r="F14" s="1931">
        <v>0</v>
      </c>
      <c r="G14" s="1931">
        <v>0</v>
      </c>
      <c r="H14" s="1931">
        <v>0</v>
      </c>
      <c r="I14" s="1931">
        <v>0</v>
      </c>
      <c r="J14" s="1932">
        <v>0</v>
      </c>
      <c r="K14" s="1931">
        <v>0</v>
      </c>
    </row>
    <row r="15" spans="1:12" ht="12.75" customHeight="1" x14ac:dyDescent="0.2">
      <c r="A15" s="463" t="s">
        <v>95</v>
      </c>
      <c r="B15" s="469">
        <v>1220</v>
      </c>
      <c r="C15" s="1936">
        <v>0</v>
      </c>
      <c r="D15" s="1931">
        <v>0</v>
      </c>
      <c r="E15" s="1931">
        <v>0</v>
      </c>
      <c r="F15" s="1931">
        <v>0</v>
      </c>
      <c r="G15" s="1931">
        <v>0</v>
      </c>
      <c r="H15" s="1931">
        <v>0</v>
      </c>
      <c r="I15" s="1931">
        <v>0</v>
      </c>
      <c r="J15" s="1932">
        <v>0</v>
      </c>
      <c r="K15" s="1931">
        <v>0</v>
      </c>
    </row>
    <row r="16" spans="1:12" ht="15" customHeight="1" x14ac:dyDescent="0.2">
      <c r="A16" s="463" t="s">
        <v>1663</v>
      </c>
      <c r="B16" s="538">
        <v>1230</v>
      </c>
      <c r="C16" s="1936">
        <v>0</v>
      </c>
      <c r="D16" s="1931">
        <v>0</v>
      </c>
      <c r="E16" s="1931">
        <v>0</v>
      </c>
      <c r="F16" s="1931">
        <v>0</v>
      </c>
      <c r="G16" s="1931">
        <v>0</v>
      </c>
      <c r="H16" s="1931">
        <v>0</v>
      </c>
      <c r="I16" s="1931">
        <v>0</v>
      </c>
      <c r="J16" s="1932">
        <v>0</v>
      </c>
      <c r="K16" s="1931">
        <v>0</v>
      </c>
    </row>
    <row r="17" spans="1:11" ht="12.75" customHeight="1" x14ac:dyDescent="0.2">
      <c r="A17" s="463" t="s">
        <v>807</v>
      </c>
      <c r="B17" s="469">
        <v>1290</v>
      </c>
      <c r="C17" s="1936">
        <v>0</v>
      </c>
      <c r="D17" s="1931">
        <v>0</v>
      </c>
      <c r="E17" s="1931">
        <v>0</v>
      </c>
      <c r="F17" s="1931">
        <v>0</v>
      </c>
      <c r="G17" s="1931">
        <v>0</v>
      </c>
      <c r="H17" s="1931">
        <v>0</v>
      </c>
      <c r="I17" s="1931">
        <v>0</v>
      </c>
      <c r="J17" s="1932">
        <v>0</v>
      </c>
      <c r="K17" s="1931">
        <v>0</v>
      </c>
    </row>
    <row r="18" spans="1:11" ht="12.75" customHeight="1" thickBot="1" x14ac:dyDescent="0.25">
      <c r="A18" s="1679" t="s">
        <v>537</v>
      </c>
      <c r="B18" s="1680"/>
      <c r="C18" s="1681">
        <f>SUM(C14:C17)</f>
        <v>0</v>
      </c>
      <c r="D18" s="1681">
        <f t="shared" ref="D18:K18" si="1">SUM(D14:D17)</f>
        <v>0</v>
      </c>
      <c r="E18" s="1681">
        <f t="shared" si="1"/>
        <v>0</v>
      </c>
      <c r="F18" s="1681">
        <f t="shared" si="1"/>
        <v>0</v>
      </c>
      <c r="G18" s="1681">
        <f t="shared" si="1"/>
        <v>0</v>
      </c>
      <c r="H18" s="1681">
        <f t="shared" si="1"/>
        <v>0</v>
      </c>
      <c r="I18" s="1681">
        <f t="shared" si="1"/>
        <v>0</v>
      </c>
      <c r="J18" s="1681">
        <f t="shared" si="1"/>
        <v>0</v>
      </c>
      <c r="K18" s="1682">
        <f t="shared" si="1"/>
        <v>0</v>
      </c>
    </row>
    <row r="19" spans="1:11" ht="15.75" customHeight="1" thickTop="1" x14ac:dyDescent="0.2">
      <c r="A19" s="1563" t="s">
        <v>452</v>
      </c>
      <c r="B19" s="1564">
        <v>1300</v>
      </c>
      <c r="C19" s="542"/>
      <c r="D19" s="542"/>
      <c r="E19" s="542"/>
      <c r="F19" s="542"/>
      <c r="G19" s="541"/>
      <c r="H19" s="542"/>
      <c r="I19" s="542"/>
      <c r="J19" s="542"/>
      <c r="K19" s="543"/>
    </row>
    <row r="20" spans="1:11" x14ac:dyDescent="0.2">
      <c r="A20" s="463" t="s">
        <v>1073</v>
      </c>
      <c r="B20" s="469">
        <v>1311</v>
      </c>
      <c r="C20" s="1931">
        <v>0</v>
      </c>
      <c r="D20" s="467"/>
      <c r="E20" s="467"/>
      <c r="F20" s="467"/>
      <c r="G20" s="467"/>
      <c r="H20" s="467"/>
      <c r="I20" s="467"/>
      <c r="J20" s="467"/>
      <c r="K20" s="467"/>
    </row>
    <row r="21" spans="1:11" ht="12.75" customHeight="1" x14ac:dyDescent="0.2">
      <c r="A21" s="463" t="s">
        <v>832</v>
      </c>
      <c r="B21" s="469">
        <v>1312</v>
      </c>
      <c r="C21" s="1936">
        <v>0</v>
      </c>
      <c r="D21" s="467"/>
      <c r="E21" s="467"/>
      <c r="F21" s="467"/>
      <c r="G21" s="467"/>
      <c r="H21" s="467"/>
      <c r="I21" s="467"/>
      <c r="J21" s="467"/>
      <c r="K21" s="467"/>
    </row>
    <row r="22" spans="1:11" ht="12.75" customHeight="1" x14ac:dyDescent="0.2">
      <c r="A22" s="463" t="s">
        <v>1074</v>
      </c>
      <c r="B22" s="469">
        <v>1313</v>
      </c>
      <c r="C22" s="1936">
        <v>0</v>
      </c>
      <c r="D22" s="467"/>
      <c r="E22" s="467"/>
      <c r="F22" s="467"/>
      <c r="G22" s="467"/>
      <c r="H22" s="467"/>
      <c r="I22" s="467"/>
      <c r="J22" s="467"/>
      <c r="K22" s="467"/>
    </row>
    <row r="23" spans="1:11" ht="12.75" customHeight="1" x14ac:dyDescent="0.2">
      <c r="A23" s="463" t="s">
        <v>1075</v>
      </c>
      <c r="B23" s="469">
        <v>1314</v>
      </c>
      <c r="C23" s="1935">
        <v>0</v>
      </c>
      <c r="D23" s="467"/>
      <c r="E23" s="467"/>
      <c r="F23" s="467"/>
      <c r="G23" s="467"/>
      <c r="H23" s="467"/>
      <c r="I23" s="467"/>
      <c r="J23" s="467"/>
      <c r="K23" s="467"/>
    </row>
    <row r="24" spans="1:11" ht="12.75" customHeight="1" x14ac:dyDescent="0.2">
      <c r="A24" s="463" t="s">
        <v>1027</v>
      </c>
      <c r="B24" s="469">
        <v>1321</v>
      </c>
      <c r="C24" s="1936">
        <v>0</v>
      </c>
      <c r="D24" s="467"/>
      <c r="E24" s="467"/>
      <c r="F24" s="467"/>
      <c r="G24" s="467"/>
      <c r="H24" s="467"/>
      <c r="I24" s="467"/>
      <c r="J24" s="467"/>
      <c r="K24" s="467"/>
    </row>
    <row r="25" spans="1:11" ht="12.75" customHeight="1" x14ac:dyDescent="0.2">
      <c r="A25" s="463" t="s">
        <v>833</v>
      </c>
      <c r="B25" s="469">
        <v>1322</v>
      </c>
      <c r="C25" s="1936">
        <v>0</v>
      </c>
      <c r="D25" s="467"/>
      <c r="E25" s="467"/>
      <c r="F25" s="467"/>
      <c r="G25" s="467"/>
      <c r="H25" s="467"/>
      <c r="I25" s="467"/>
      <c r="J25" s="467"/>
      <c r="K25" s="467"/>
    </row>
    <row r="26" spans="1:11" ht="12.75" customHeight="1" x14ac:dyDescent="0.2">
      <c r="A26" s="463" t="s">
        <v>1101</v>
      </c>
      <c r="B26" s="469">
        <v>1323</v>
      </c>
      <c r="C26" s="1936">
        <v>0</v>
      </c>
      <c r="D26" s="467"/>
      <c r="E26" s="467"/>
      <c r="F26" s="467"/>
      <c r="G26" s="467"/>
      <c r="H26" s="467"/>
      <c r="I26" s="467"/>
      <c r="J26" s="467"/>
      <c r="K26" s="467"/>
    </row>
    <row r="27" spans="1:11" ht="12.75" customHeight="1" x14ac:dyDescent="0.2">
      <c r="A27" s="463" t="s">
        <v>1023</v>
      </c>
      <c r="B27" s="469">
        <v>1324</v>
      </c>
      <c r="C27" s="1935">
        <v>0</v>
      </c>
      <c r="D27" s="467"/>
      <c r="E27" s="467"/>
      <c r="F27" s="467"/>
      <c r="G27" s="467"/>
      <c r="H27" s="467"/>
      <c r="I27" s="467"/>
      <c r="J27" s="467"/>
      <c r="K27" s="467"/>
    </row>
    <row r="28" spans="1:11" ht="12.75" customHeight="1" x14ac:dyDescent="0.2">
      <c r="A28" s="463" t="s">
        <v>1024</v>
      </c>
      <c r="B28" s="469">
        <v>1331</v>
      </c>
      <c r="C28" s="1936">
        <v>0</v>
      </c>
      <c r="D28" s="467"/>
      <c r="E28" s="467"/>
      <c r="F28" s="467"/>
      <c r="G28" s="467"/>
      <c r="H28" s="467"/>
      <c r="I28" s="467"/>
      <c r="J28" s="467"/>
      <c r="K28" s="467"/>
    </row>
    <row r="29" spans="1:11" ht="12.75" customHeight="1" x14ac:dyDescent="0.2">
      <c r="A29" s="463" t="s">
        <v>834</v>
      </c>
      <c r="B29" s="469">
        <v>1332</v>
      </c>
      <c r="C29" s="1936">
        <v>0</v>
      </c>
      <c r="D29" s="467"/>
      <c r="E29" s="467"/>
      <c r="F29" s="467"/>
      <c r="G29" s="467"/>
      <c r="H29" s="467"/>
      <c r="I29" s="467"/>
      <c r="J29" s="467"/>
      <c r="K29" s="467"/>
    </row>
    <row r="30" spans="1:11" ht="12.75" customHeight="1" x14ac:dyDescent="0.2">
      <c r="A30" s="463" t="s">
        <v>1026</v>
      </c>
      <c r="B30" s="469">
        <v>1333</v>
      </c>
      <c r="C30" s="1936">
        <v>0</v>
      </c>
      <c r="D30" s="467"/>
      <c r="E30" s="467"/>
      <c r="F30" s="467"/>
      <c r="G30" s="467"/>
      <c r="H30" s="467"/>
      <c r="I30" s="467"/>
      <c r="J30" s="467"/>
      <c r="K30" s="467"/>
    </row>
    <row r="31" spans="1:11" ht="12.75" customHeight="1" x14ac:dyDescent="0.2">
      <c r="A31" s="463" t="s">
        <v>1025</v>
      </c>
      <c r="B31" s="469">
        <v>1334</v>
      </c>
      <c r="C31" s="1935">
        <v>0</v>
      </c>
      <c r="D31" s="467"/>
      <c r="E31" s="467"/>
      <c r="F31" s="467"/>
      <c r="G31" s="467"/>
      <c r="H31" s="467"/>
      <c r="I31" s="467"/>
      <c r="J31" s="467"/>
      <c r="K31" s="467"/>
    </row>
    <row r="32" spans="1:11" ht="12.75" customHeight="1" x14ac:dyDescent="0.2">
      <c r="A32" s="463" t="s">
        <v>494</v>
      </c>
      <c r="B32" s="469">
        <v>1341</v>
      </c>
      <c r="C32" s="1936">
        <v>0</v>
      </c>
      <c r="D32" s="467"/>
      <c r="E32" s="467"/>
      <c r="F32" s="467"/>
      <c r="G32" s="467"/>
      <c r="H32" s="467"/>
      <c r="I32" s="467"/>
      <c r="J32" s="467"/>
      <c r="K32" s="467"/>
    </row>
    <row r="33" spans="1:11" ht="12.75" customHeight="1" x14ac:dyDescent="0.2">
      <c r="A33" s="463" t="s">
        <v>835</v>
      </c>
      <c r="B33" s="469">
        <v>1342</v>
      </c>
      <c r="C33" s="1936">
        <v>30607488</v>
      </c>
      <c r="D33" s="467"/>
      <c r="E33" s="467"/>
      <c r="F33" s="467"/>
      <c r="G33" s="467"/>
      <c r="H33" s="467"/>
      <c r="I33" s="467"/>
      <c r="J33" s="467"/>
      <c r="K33" s="467"/>
    </row>
    <row r="34" spans="1:11" ht="12.75" customHeight="1" x14ac:dyDescent="0.2">
      <c r="A34" s="463" t="s">
        <v>495</v>
      </c>
      <c r="B34" s="469">
        <v>1343</v>
      </c>
      <c r="C34" s="1936">
        <v>0</v>
      </c>
      <c r="D34" s="467"/>
      <c r="E34" s="467"/>
      <c r="F34" s="467"/>
      <c r="G34" s="467"/>
      <c r="H34" s="467"/>
      <c r="I34" s="467"/>
      <c r="J34" s="467"/>
      <c r="K34" s="467"/>
    </row>
    <row r="35" spans="1:11" ht="12.75" customHeight="1" x14ac:dyDescent="0.2">
      <c r="A35" s="463" t="s">
        <v>493</v>
      </c>
      <c r="B35" s="469">
        <v>1344</v>
      </c>
      <c r="C35" s="1935">
        <v>0</v>
      </c>
      <c r="D35" s="467"/>
      <c r="E35" s="467"/>
      <c r="F35" s="467"/>
      <c r="G35" s="467"/>
      <c r="H35" s="467"/>
      <c r="I35" s="467"/>
      <c r="J35" s="467"/>
      <c r="K35" s="467"/>
    </row>
    <row r="36" spans="1:11" ht="12.75" customHeight="1" x14ac:dyDescent="0.2">
      <c r="A36" s="463" t="s">
        <v>831</v>
      </c>
      <c r="B36" s="469">
        <v>1351</v>
      </c>
      <c r="C36" s="1936">
        <v>0</v>
      </c>
      <c r="D36" s="467"/>
      <c r="E36" s="467"/>
      <c r="F36" s="467"/>
      <c r="G36" s="467"/>
      <c r="H36" s="467"/>
      <c r="I36" s="467"/>
      <c r="J36" s="467"/>
      <c r="K36" s="467"/>
    </row>
    <row r="37" spans="1:11" ht="12.75" customHeight="1" x14ac:dyDescent="0.2">
      <c r="A37" s="463" t="s">
        <v>836</v>
      </c>
      <c r="B37" s="469">
        <v>1352</v>
      </c>
      <c r="C37" s="1936">
        <v>0</v>
      </c>
      <c r="D37" s="467"/>
      <c r="E37" s="467"/>
      <c r="F37" s="467"/>
      <c r="G37" s="467"/>
      <c r="H37" s="467"/>
      <c r="I37" s="467"/>
      <c r="J37" s="467"/>
      <c r="K37" s="467"/>
    </row>
    <row r="38" spans="1:11" ht="12.75" customHeight="1" x14ac:dyDescent="0.2">
      <c r="A38" s="463" t="s">
        <v>593</v>
      </c>
      <c r="B38" s="469">
        <v>1353</v>
      </c>
      <c r="C38" s="1936">
        <v>0</v>
      </c>
      <c r="D38" s="467"/>
      <c r="E38" s="467"/>
      <c r="F38" s="467"/>
      <c r="G38" s="467"/>
      <c r="H38" s="467"/>
      <c r="I38" s="467"/>
      <c r="J38" s="467"/>
      <c r="K38" s="467"/>
    </row>
    <row r="39" spans="1:11" ht="12.75" customHeight="1" x14ac:dyDescent="0.2">
      <c r="A39" s="1466" t="s">
        <v>594</v>
      </c>
      <c r="B39" s="544">
        <v>1354</v>
      </c>
      <c r="C39" s="1935">
        <v>0</v>
      </c>
      <c r="D39" s="467"/>
      <c r="E39" s="467"/>
      <c r="F39" s="467"/>
      <c r="G39" s="467"/>
      <c r="H39" s="467"/>
      <c r="I39" s="467"/>
      <c r="J39" s="467"/>
      <c r="K39" s="467"/>
    </row>
    <row r="40" spans="1:11" ht="12.75" customHeight="1" thickBot="1" x14ac:dyDescent="0.25">
      <c r="A40" s="1679" t="s">
        <v>538</v>
      </c>
      <c r="B40" s="1680"/>
      <c r="C40" s="1659">
        <f>SUM(C20:C39)</f>
        <v>30607488</v>
      </c>
      <c r="D40" s="467"/>
      <c r="E40" s="467"/>
      <c r="F40" s="467"/>
      <c r="G40" s="467"/>
      <c r="H40" s="467"/>
      <c r="I40" s="467"/>
      <c r="J40" s="467"/>
      <c r="K40" s="467"/>
    </row>
    <row r="41" spans="1:11" ht="15.75" customHeight="1" thickTop="1" x14ac:dyDescent="0.2">
      <c r="A41" s="1563" t="s">
        <v>274</v>
      </c>
      <c r="B41" s="1564">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1">
        <v>0</v>
      </c>
      <c r="G43" s="467"/>
      <c r="H43" s="467"/>
      <c r="I43" s="467"/>
      <c r="J43" s="467"/>
      <c r="K43" s="467"/>
    </row>
    <row r="44" spans="1:11" ht="12.75" customHeight="1" x14ac:dyDescent="0.2">
      <c r="A44" s="463" t="s">
        <v>384</v>
      </c>
      <c r="B44" s="469">
        <v>1413</v>
      </c>
      <c r="C44" s="467"/>
      <c r="D44" s="467"/>
      <c r="E44" s="467"/>
      <c r="F44" s="1931">
        <v>0</v>
      </c>
      <c r="G44" s="467"/>
      <c r="H44" s="467"/>
      <c r="I44" s="467"/>
      <c r="J44" s="467"/>
      <c r="K44" s="467"/>
    </row>
    <row r="45" spans="1:11" ht="12.75" customHeight="1" x14ac:dyDescent="0.2">
      <c r="A45" s="463" t="s">
        <v>240</v>
      </c>
      <c r="B45" s="469">
        <v>1415</v>
      </c>
      <c r="C45" s="467"/>
      <c r="D45" s="467"/>
      <c r="E45" s="467"/>
      <c r="F45" s="1931">
        <v>0</v>
      </c>
      <c r="G45" s="467"/>
      <c r="H45" s="467"/>
      <c r="I45" s="467"/>
      <c r="J45" s="467"/>
      <c r="K45" s="467"/>
    </row>
    <row r="46" spans="1:11" ht="12.75" customHeight="1" x14ac:dyDescent="0.2">
      <c r="A46" s="463" t="s">
        <v>1174</v>
      </c>
      <c r="B46" s="469">
        <v>1416</v>
      </c>
      <c r="C46" s="467"/>
      <c r="D46" s="467"/>
      <c r="E46" s="467"/>
      <c r="F46" s="1932">
        <v>0</v>
      </c>
      <c r="G46" s="467"/>
      <c r="H46" s="467"/>
      <c r="I46" s="467"/>
      <c r="J46" s="467"/>
      <c r="K46" s="467"/>
    </row>
    <row r="47" spans="1:11" ht="12.75" customHeight="1" x14ac:dyDescent="0.2">
      <c r="A47" s="463" t="s">
        <v>57</v>
      </c>
      <c r="B47" s="469">
        <v>1421</v>
      </c>
      <c r="C47" s="467"/>
      <c r="D47" s="467"/>
      <c r="E47" s="467"/>
      <c r="F47" s="1931">
        <v>0</v>
      </c>
      <c r="G47" s="467"/>
      <c r="H47" s="467"/>
      <c r="I47" s="467"/>
      <c r="J47" s="467"/>
      <c r="K47" s="467"/>
    </row>
    <row r="48" spans="1:11" ht="12.75" customHeight="1" x14ac:dyDescent="0.2">
      <c r="A48" s="463" t="s">
        <v>838</v>
      </c>
      <c r="B48" s="469">
        <v>1422</v>
      </c>
      <c r="C48" s="467"/>
      <c r="D48" s="467"/>
      <c r="E48" s="467"/>
      <c r="F48" s="1931">
        <v>0</v>
      </c>
      <c r="G48" s="467"/>
      <c r="H48" s="467"/>
      <c r="I48" s="467"/>
      <c r="J48" s="467"/>
      <c r="K48" s="467"/>
    </row>
    <row r="49" spans="1:11" ht="12.75" customHeight="1" x14ac:dyDescent="0.2">
      <c r="A49" s="463" t="s">
        <v>58</v>
      </c>
      <c r="B49" s="469">
        <v>1423</v>
      </c>
      <c r="C49" s="467"/>
      <c r="D49" s="467"/>
      <c r="E49" s="467"/>
      <c r="F49" s="1931">
        <v>0</v>
      </c>
      <c r="G49" s="467"/>
      <c r="H49" s="467"/>
      <c r="I49" s="467"/>
      <c r="J49" s="467"/>
      <c r="K49" s="467"/>
    </row>
    <row r="50" spans="1:11" ht="12.75" customHeight="1" x14ac:dyDescent="0.2">
      <c r="A50" s="463" t="s">
        <v>59</v>
      </c>
      <c r="B50" s="469">
        <v>1424</v>
      </c>
      <c r="C50" s="467"/>
      <c r="D50" s="467"/>
      <c r="E50" s="467"/>
      <c r="F50" s="1932">
        <v>0</v>
      </c>
      <c r="G50" s="467"/>
      <c r="H50" s="467"/>
      <c r="I50" s="467"/>
      <c r="J50" s="467"/>
      <c r="K50" s="467"/>
    </row>
    <row r="51" spans="1:11" ht="12.75" customHeight="1" x14ac:dyDescent="0.2">
      <c r="A51" s="1467" t="s">
        <v>60</v>
      </c>
      <c r="B51" s="545">
        <v>1431</v>
      </c>
      <c r="C51" s="467"/>
      <c r="D51" s="467"/>
      <c r="E51" s="467"/>
      <c r="F51" s="1931">
        <v>0</v>
      </c>
      <c r="G51" s="467"/>
      <c r="H51" s="467"/>
      <c r="I51" s="467"/>
      <c r="J51" s="467"/>
      <c r="K51" s="467"/>
    </row>
    <row r="52" spans="1:11" ht="12.75" customHeight="1" x14ac:dyDescent="0.2">
      <c r="A52" s="1467" t="s">
        <v>1106</v>
      </c>
      <c r="B52" s="545">
        <v>1432</v>
      </c>
      <c r="C52" s="467"/>
      <c r="D52" s="467"/>
      <c r="E52" s="467"/>
      <c r="F52" s="1931">
        <v>0</v>
      </c>
      <c r="G52" s="467"/>
      <c r="H52" s="467"/>
      <c r="I52" s="467"/>
      <c r="J52" s="467"/>
      <c r="K52" s="467"/>
    </row>
    <row r="53" spans="1:11" ht="12.75" customHeight="1" x14ac:dyDescent="0.2">
      <c r="A53" s="1467" t="s">
        <v>61</v>
      </c>
      <c r="B53" s="545">
        <v>1433</v>
      </c>
      <c r="C53" s="467"/>
      <c r="D53" s="467"/>
      <c r="E53" s="467"/>
      <c r="F53" s="1931">
        <v>0</v>
      </c>
      <c r="G53" s="467"/>
      <c r="H53" s="467"/>
      <c r="I53" s="467"/>
      <c r="J53" s="467"/>
      <c r="K53" s="467"/>
    </row>
    <row r="54" spans="1:11" ht="12.75" customHeight="1" x14ac:dyDescent="0.2">
      <c r="A54" s="1467" t="s">
        <v>62</v>
      </c>
      <c r="B54" s="545">
        <v>1434</v>
      </c>
      <c r="C54" s="467"/>
      <c r="D54" s="467"/>
      <c r="E54" s="467"/>
      <c r="F54" s="1932">
        <v>0</v>
      </c>
      <c r="G54" s="467"/>
      <c r="H54" s="467"/>
      <c r="I54" s="467"/>
      <c r="J54" s="467"/>
      <c r="K54" s="467"/>
    </row>
    <row r="55" spans="1:11" ht="12.75" customHeight="1" x14ac:dyDescent="0.2">
      <c r="A55" s="1467" t="s">
        <v>63</v>
      </c>
      <c r="B55" s="545">
        <v>1441</v>
      </c>
      <c r="C55" s="467"/>
      <c r="D55" s="467"/>
      <c r="E55" s="467"/>
      <c r="F55" s="1931">
        <v>0</v>
      </c>
      <c r="G55" s="467"/>
      <c r="H55" s="467"/>
      <c r="I55" s="467"/>
      <c r="J55" s="467"/>
      <c r="K55" s="467"/>
    </row>
    <row r="56" spans="1:11" ht="12.75" customHeight="1" x14ac:dyDescent="0.2">
      <c r="A56" s="1467" t="s">
        <v>1107</v>
      </c>
      <c r="B56" s="545">
        <v>1442</v>
      </c>
      <c r="C56" s="467"/>
      <c r="D56" s="467"/>
      <c r="E56" s="467"/>
      <c r="F56" s="1931">
        <v>2643603</v>
      </c>
      <c r="G56" s="467"/>
      <c r="H56" s="467"/>
      <c r="I56" s="467"/>
      <c r="J56" s="467"/>
      <c r="K56" s="467"/>
    </row>
    <row r="57" spans="1:11" ht="12.75" customHeight="1" x14ac:dyDescent="0.2">
      <c r="A57" s="1467" t="s">
        <v>489</v>
      </c>
      <c r="B57" s="545">
        <v>1443</v>
      </c>
      <c r="C57" s="467"/>
      <c r="D57" s="467"/>
      <c r="E57" s="467"/>
      <c r="F57" s="1931">
        <v>269829</v>
      </c>
      <c r="G57" s="467"/>
      <c r="H57" s="467"/>
      <c r="I57" s="467"/>
      <c r="J57" s="467"/>
      <c r="K57" s="467"/>
    </row>
    <row r="58" spans="1:11" ht="12.75" customHeight="1" x14ac:dyDescent="0.2">
      <c r="A58" s="1467" t="s">
        <v>65</v>
      </c>
      <c r="B58" s="545">
        <v>1444</v>
      </c>
      <c r="C58" s="467"/>
      <c r="D58" s="467"/>
      <c r="E58" s="467"/>
      <c r="F58" s="1931">
        <v>0</v>
      </c>
      <c r="G58" s="467"/>
      <c r="H58" s="467"/>
      <c r="I58" s="467"/>
      <c r="J58" s="467"/>
      <c r="K58" s="467"/>
    </row>
    <row r="59" spans="1:11" ht="12.75" customHeight="1" x14ac:dyDescent="0.2">
      <c r="A59" s="1467" t="s">
        <v>878</v>
      </c>
      <c r="B59" s="545">
        <v>1451</v>
      </c>
      <c r="C59" s="467"/>
      <c r="D59" s="467"/>
      <c r="E59" s="467"/>
      <c r="F59" s="1931">
        <v>0</v>
      </c>
      <c r="G59" s="467"/>
      <c r="H59" s="467"/>
      <c r="I59" s="467"/>
      <c r="J59" s="467"/>
      <c r="K59" s="467"/>
    </row>
    <row r="60" spans="1:11" ht="12.75" customHeight="1" x14ac:dyDescent="0.2">
      <c r="A60" s="1467" t="s">
        <v>1108</v>
      </c>
      <c r="B60" s="545">
        <v>1452</v>
      </c>
      <c r="C60" s="467"/>
      <c r="D60" s="467"/>
      <c r="E60" s="467"/>
      <c r="F60" s="1931">
        <v>0</v>
      </c>
      <c r="G60" s="467"/>
      <c r="H60" s="467"/>
      <c r="I60" s="467"/>
      <c r="J60" s="467"/>
      <c r="K60" s="467"/>
    </row>
    <row r="61" spans="1:11" ht="12.75" customHeight="1" x14ac:dyDescent="0.2">
      <c r="A61" s="551" t="s">
        <v>879</v>
      </c>
      <c r="B61" s="545">
        <v>1453</v>
      </c>
      <c r="C61" s="467"/>
      <c r="D61" s="467"/>
      <c r="E61" s="467"/>
      <c r="F61" s="1931">
        <v>0</v>
      </c>
      <c r="G61" s="467"/>
      <c r="H61" s="467"/>
      <c r="I61" s="467"/>
      <c r="J61" s="467"/>
      <c r="K61" s="467"/>
    </row>
    <row r="62" spans="1:11" ht="12.75" customHeight="1" x14ac:dyDescent="0.2">
      <c r="A62" s="1468" t="s">
        <v>880</v>
      </c>
      <c r="B62" s="546">
        <v>1454</v>
      </c>
      <c r="C62" s="467"/>
      <c r="D62" s="467"/>
      <c r="E62" s="467"/>
      <c r="F62" s="1932">
        <v>0</v>
      </c>
      <c r="G62" s="467"/>
      <c r="H62" s="467"/>
      <c r="I62" s="467"/>
      <c r="J62" s="467"/>
      <c r="K62" s="467"/>
    </row>
    <row r="63" spans="1:11" ht="12.75" customHeight="1" thickBot="1" x14ac:dyDescent="0.25">
      <c r="A63" s="1679" t="s">
        <v>485</v>
      </c>
      <c r="B63" s="1680"/>
      <c r="C63" s="467"/>
      <c r="D63" s="467"/>
      <c r="E63" s="467"/>
      <c r="F63" s="1659">
        <f>SUM(F42:F62)</f>
        <v>2913432</v>
      </c>
      <c r="G63" s="467"/>
      <c r="H63" s="467"/>
      <c r="I63" s="467"/>
      <c r="J63" s="467"/>
      <c r="K63" s="467"/>
    </row>
    <row r="64" spans="1:11" ht="15.75" customHeight="1" thickTop="1" x14ac:dyDescent="0.2">
      <c r="A64" s="1563" t="s">
        <v>454</v>
      </c>
      <c r="B64" s="1564">
        <v>1500</v>
      </c>
      <c r="C64" s="467"/>
      <c r="D64" s="467"/>
      <c r="E64" s="467"/>
      <c r="F64" s="467"/>
      <c r="G64" s="467"/>
      <c r="H64" s="467"/>
      <c r="I64" s="467"/>
      <c r="J64" s="467"/>
      <c r="K64" s="467"/>
    </row>
    <row r="65" spans="1:11" ht="12.75" customHeight="1" x14ac:dyDescent="0.2">
      <c r="A65" s="463" t="s">
        <v>547</v>
      </c>
      <c r="B65" s="469">
        <v>1510</v>
      </c>
      <c r="C65" s="1931">
        <v>358182</v>
      </c>
      <c r="D65" s="1931">
        <v>0</v>
      </c>
      <c r="E65" s="1931">
        <v>0</v>
      </c>
      <c r="F65" s="1932">
        <v>0</v>
      </c>
      <c r="G65" s="1931">
        <v>0</v>
      </c>
      <c r="H65" s="1931">
        <v>0</v>
      </c>
      <c r="I65" s="1931">
        <v>0</v>
      </c>
      <c r="J65" s="1932">
        <v>0</v>
      </c>
      <c r="K65" s="1931">
        <v>0</v>
      </c>
    </row>
    <row r="66" spans="1:11" ht="12.75" customHeight="1" x14ac:dyDescent="0.2">
      <c r="A66" s="463" t="s">
        <v>679</v>
      </c>
      <c r="B66" s="469">
        <v>1520</v>
      </c>
      <c r="C66" s="1931">
        <v>0</v>
      </c>
      <c r="D66" s="1931">
        <v>0</v>
      </c>
      <c r="E66" s="1931">
        <v>0</v>
      </c>
      <c r="F66" s="1931">
        <v>0</v>
      </c>
      <c r="G66" s="1931">
        <v>0</v>
      </c>
      <c r="H66" s="1931">
        <v>0</v>
      </c>
      <c r="I66" s="1931">
        <v>0</v>
      </c>
      <c r="J66" s="1932">
        <v>0</v>
      </c>
      <c r="K66" s="1931">
        <v>0</v>
      </c>
    </row>
    <row r="67" spans="1:11" ht="12.75" customHeight="1" thickBot="1" x14ac:dyDescent="0.25">
      <c r="A67" s="1679" t="s">
        <v>486</v>
      </c>
      <c r="B67" s="1680"/>
      <c r="C67" s="1659">
        <f>SUM(C65:C66)</f>
        <v>358182</v>
      </c>
      <c r="D67" s="1659">
        <f t="shared" ref="D67:K67" si="2">SUM(D65:D66)</f>
        <v>0</v>
      </c>
      <c r="E67" s="1659">
        <f t="shared" si="2"/>
        <v>0</v>
      </c>
      <c r="F67" s="1659">
        <f t="shared" si="2"/>
        <v>0</v>
      </c>
      <c r="G67" s="1659">
        <f t="shared" si="2"/>
        <v>0</v>
      </c>
      <c r="H67" s="1659">
        <f t="shared" si="2"/>
        <v>0</v>
      </c>
      <c r="I67" s="1659">
        <f t="shared" si="2"/>
        <v>0</v>
      </c>
      <c r="J67" s="1659">
        <f t="shared" si="2"/>
        <v>0</v>
      </c>
      <c r="K67" s="1659">
        <f t="shared" si="2"/>
        <v>0</v>
      </c>
    </row>
    <row r="68" spans="1:11" ht="15.75" customHeight="1" thickTop="1" x14ac:dyDescent="0.2">
      <c r="A68" s="1563" t="s">
        <v>455</v>
      </c>
      <c r="B68" s="1565">
        <v>1600</v>
      </c>
      <c r="C68" s="541"/>
      <c r="D68" s="467"/>
      <c r="E68" s="467"/>
      <c r="F68" s="467"/>
      <c r="G68" s="467"/>
      <c r="H68" s="467"/>
      <c r="I68" s="467"/>
      <c r="J68" s="467"/>
      <c r="K68" s="467"/>
    </row>
    <row r="69" spans="1:11" ht="12.75" customHeight="1" x14ac:dyDescent="0.2">
      <c r="A69" s="463" t="s">
        <v>666</v>
      </c>
      <c r="B69" s="469">
        <v>1611</v>
      </c>
      <c r="C69" s="1931">
        <v>21357</v>
      </c>
      <c r="D69" s="467"/>
      <c r="E69" s="467"/>
      <c r="F69" s="467"/>
      <c r="G69" s="467"/>
      <c r="H69" s="467"/>
      <c r="I69" s="467"/>
      <c r="J69" s="467"/>
      <c r="K69" s="467"/>
    </row>
    <row r="70" spans="1:11" ht="12.75" customHeight="1" x14ac:dyDescent="0.2">
      <c r="A70" s="463" t="s">
        <v>997</v>
      </c>
      <c r="B70" s="469">
        <v>1612</v>
      </c>
      <c r="C70" s="1936">
        <v>0</v>
      </c>
      <c r="D70" s="467"/>
      <c r="E70" s="467"/>
      <c r="F70" s="467"/>
      <c r="G70" s="467"/>
      <c r="H70" s="467"/>
      <c r="I70" s="467"/>
      <c r="J70" s="467"/>
      <c r="K70" s="467"/>
    </row>
    <row r="71" spans="1:11" ht="12.75" customHeight="1" x14ac:dyDescent="0.2">
      <c r="A71" s="463" t="s">
        <v>273</v>
      </c>
      <c r="B71" s="469">
        <v>1613</v>
      </c>
      <c r="C71" s="1936">
        <v>0</v>
      </c>
      <c r="D71" s="467"/>
      <c r="E71" s="467"/>
      <c r="F71" s="467"/>
      <c r="G71" s="467"/>
      <c r="H71" s="467"/>
      <c r="I71" s="467"/>
      <c r="J71" s="467"/>
      <c r="K71" s="467"/>
    </row>
    <row r="72" spans="1:11" ht="12.75" customHeight="1" x14ac:dyDescent="0.2">
      <c r="A72" s="463" t="s">
        <v>24</v>
      </c>
      <c r="B72" s="469">
        <v>1614</v>
      </c>
      <c r="C72" s="1936">
        <v>0</v>
      </c>
      <c r="D72" s="467"/>
      <c r="E72" s="467"/>
      <c r="F72" s="467"/>
      <c r="G72" s="467"/>
      <c r="H72" s="467"/>
      <c r="I72" s="467"/>
      <c r="J72" s="467"/>
      <c r="K72" s="467"/>
    </row>
    <row r="73" spans="1:11" ht="12.75" customHeight="1" x14ac:dyDescent="0.2">
      <c r="A73" s="463" t="s">
        <v>998</v>
      </c>
      <c r="B73" s="469">
        <v>1620</v>
      </c>
      <c r="C73" s="1936">
        <v>5072</v>
      </c>
      <c r="D73" s="467"/>
      <c r="E73" s="467"/>
      <c r="F73" s="467"/>
      <c r="G73" s="467"/>
      <c r="H73" s="467"/>
      <c r="I73" s="467"/>
      <c r="J73" s="467"/>
      <c r="K73" s="467"/>
    </row>
    <row r="74" spans="1:11" ht="12.75" customHeight="1" x14ac:dyDescent="0.2">
      <c r="A74" s="463" t="s">
        <v>25</v>
      </c>
      <c r="B74" s="469">
        <v>1690</v>
      </c>
      <c r="C74" s="1936">
        <v>0</v>
      </c>
      <c r="D74" s="467"/>
      <c r="E74" s="467"/>
      <c r="F74" s="467"/>
      <c r="G74" s="467"/>
      <c r="H74" s="467"/>
      <c r="I74" s="467"/>
      <c r="J74" s="467"/>
      <c r="K74" s="467"/>
    </row>
    <row r="75" spans="1:11" ht="12.75" customHeight="1" thickBot="1" x14ac:dyDescent="0.25">
      <c r="A75" s="1679" t="s">
        <v>548</v>
      </c>
      <c r="B75" s="1680"/>
      <c r="C75" s="1659">
        <f>SUM(C69:C74)</f>
        <v>26429</v>
      </c>
      <c r="D75" s="467"/>
      <c r="E75" s="467"/>
      <c r="F75" s="467"/>
      <c r="G75" s="467"/>
      <c r="H75" s="467"/>
      <c r="I75" s="467"/>
      <c r="J75" s="467"/>
      <c r="K75" s="467"/>
    </row>
    <row r="76" spans="1:11" ht="15.75" customHeight="1" thickTop="1" x14ac:dyDescent="0.2">
      <c r="A76" s="1563" t="s">
        <v>881</v>
      </c>
      <c r="B76" s="1565">
        <v>1700</v>
      </c>
      <c r="C76" s="541"/>
      <c r="D76" s="467"/>
      <c r="E76" s="467"/>
      <c r="F76" s="467"/>
      <c r="G76" s="467"/>
      <c r="H76" s="467"/>
      <c r="I76" s="467"/>
      <c r="J76" s="467"/>
      <c r="K76" s="467"/>
    </row>
    <row r="77" spans="1:11" ht="12.75" customHeight="1" x14ac:dyDescent="0.2">
      <c r="A77" s="463" t="s">
        <v>549</v>
      </c>
      <c r="B77" s="469">
        <v>1711</v>
      </c>
      <c r="C77" s="509">
        <v>0</v>
      </c>
      <c r="D77" s="1931">
        <v>0</v>
      </c>
      <c r="E77" s="467"/>
      <c r="F77" s="467"/>
      <c r="G77" s="467"/>
      <c r="H77" s="467"/>
      <c r="I77" s="467"/>
      <c r="J77" s="467"/>
      <c r="K77" s="467"/>
    </row>
    <row r="78" spans="1:11" ht="12.75" customHeight="1" x14ac:dyDescent="0.2">
      <c r="A78" s="463" t="s">
        <v>76</v>
      </c>
      <c r="B78" s="469">
        <v>1719</v>
      </c>
      <c r="C78" s="1936">
        <v>0</v>
      </c>
      <c r="D78" s="1931">
        <v>0</v>
      </c>
      <c r="E78" s="467"/>
      <c r="F78" s="467"/>
      <c r="G78" s="467"/>
      <c r="H78" s="467"/>
      <c r="I78" s="467"/>
      <c r="J78" s="467"/>
      <c r="K78" s="467"/>
    </row>
    <row r="79" spans="1:11" ht="12.75" customHeight="1" x14ac:dyDescent="0.2">
      <c r="A79" s="463" t="s">
        <v>550</v>
      </c>
      <c r="B79" s="469">
        <v>1720</v>
      </c>
      <c r="C79" s="1936">
        <v>0</v>
      </c>
      <c r="D79" s="1931">
        <v>0</v>
      </c>
      <c r="E79" s="467"/>
      <c r="F79" s="467"/>
      <c r="G79" s="467"/>
      <c r="H79" s="467"/>
      <c r="I79" s="467"/>
      <c r="J79" s="467"/>
      <c r="K79" s="467"/>
    </row>
    <row r="80" spans="1:11" ht="12.75" customHeight="1" x14ac:dyDescent="0.2">
      <c r="A80" s="463" t="s">
        <v>551</v>
      </c>
      <c r="B80" s="469">
        <v>1730</v>
      </c>
      <c r="C80" s="1936">
        <v>0</v>
      </c>
      <c r="D80" s="1931">
        <v>0</v>
      </c>
      <c r="E80" s="467"/>
      <c r="F80" s="467"/>
      <c r="G80" s="467"/>
      <c r="H80" s="467"/>
      <c r="I80" s="467"/>
      <c r="J80" s="467"/>
      <c r="K80" s="467"/>
    </row>
    <row r="81" spans="1:11" ht="12.75" customHeight="1" x14ac:dyDescent="0.2">
      <c r="A81" s="463" t="s">
        <v>26</v>
      </c>
      <c r="B81" s="469">
        <v>1790</v>
      </c>
      <c r="C81" s="1936">
        <v>0</v>
      </c>
      <c r="D81" s="1931">
        <v>0</v>
      </c>
      <c r="E81" s="467"/>
      <c r="F81" s="467"/>
      <c r="G81" s="467"/>
      <c r="H81" s="467"/>
      <c r="I81" s="467"/>
      <c r="J81" s="467"/>
      <c r="K81" s="467"/>
    </row>
    <row r="82" spans="1:11" ht="12.75" customHeight="1" thickBot="1" x14ac:dyDescent="0.25">
      <c r="A82" s="1679" t="s">
        <v>241</v>
      </c>
      <c r="B82" s="1680"/>
      <c r="C82" s="1678">
        <f>SUM(C77:C81)</f>
        <v>0</v>
      </c>
      <c r="D82" s="1659">
        <f>SUM(D77:D81)</f>
        <v>0</v>
      </c>
      <c r="E82" s="467"/>
      <c r="F82" s="467"/>
      <c r="G82" s="467"/>
      <c r="H82" s="467"/>
      <c r="I82" s="467"/>
      <c r="J82" s="467"/>
      <c r="K82" s="467"/>
    </row>
    <row r="83" spans="1:11" ht="15.75" customHeight="1" thickTop="1" x14ac:dyDescent="0.2">
      <c r="A83" s="1563" t="s">
        <v>242</v>
      </c>
      <c r="B83" s="1565">
        <v>1800</v>
      </c>
      <c r="C83" s="541"/>
      <c r="D83" s="467"/>
      <c r="E83" s="467"/>
      <c r="F83" s="467"/>
      <c r="G83" s="467"/>
      <c r="H83" s="467"/>
      <c r="I83" s="467"/>
      <c r="J83" s="467"/>
      <c r="K83" s="467"/>
    </row>
    <row r="84" spans="1:11" ht="12.75" customHeight="1" x14ac:dyDescent="0.2">
      <c r="A84" s="463" t="s">
        <v>552</v>
      </c>
      <c r="B84" s="469">
        <v>1811</v>
      </c>
      <c r="C84" s="1931">
        <v>0</v>
      </c>
      <c r="D84" s="467"/>
      <c r="E84" s="467"/>
      <c r="F84" s="467"/>
      <c r="G84" s="467"/>
      <c r="H84" s="467"/>
      <c r="I84" s="467"/>
      <c r="J84" s="467"/>
      <c r="K84" s="467"/>
    </row>
    <row r="85" spans="1:11" ht="12.75" customHeight="1" x14ac:dyDescent="0.2">
      <c r="A85" s="463" t="s">
        <v>553</v>
      </c>
      <c r="B85" s="469">
        <v>1812</v>
      </c>
      <c r="C85" s="1936">
        <v>0</v>
      </c>
      <c r="D85" s="467"/>
      <c r="E85" s="467"/>
      <c r="F85" s="467"/>
      <c r="G85" s="467"/>
      <c r="H85" s="467"/>
      <c r="I85" s="467"/>
      <c r="J85" s="467"/>
      <c r="K85" s="467"/>
    </row>
    <row r="86" spans="1:11" ht="12.75" customHeight="1" x14ac:dyDescent="0.2">
      <c r="A86" s="463" t="s">
        <v>999</v>
      </c>
      <c r="B86" s="469">
        <v>1813</v>
      </c>
      <c r="C86" s="1936">
        <v>0</v>
      </c>
      <c r="D86" s="467"/>
      <c r="E86" s="467"/>
      <c r="F86" s="467"/>
      <c r="G86" s="467"/>
      <c r="H86" s="467"/>
      <c r="I86" s="467"/>
      <c r="J86" s="467"/>
      <c r="K86" s="467"/>
    </row>
    <row r="87" spans="1:11" ht="12.75" customHeight="1" x14ac:dyDescent="0.2">
      <c r="A87" s="463" t="s">
        <v>77</v>
      </c>
      <c r="B87" s="469">
        <v>1819</v>
      </c>
      <c r="C87" s="1936">
        <v>0</v>
      </c>
      <c r="D87" s="467"/>
      <c r="E87" s="467"/>
      <c r="F87" s="467"/>
      <c r="G87" s="467"/>
      <c r="H87" s="467"/>
      <c r="I87" s="467"/>
      <c r="J87" s="467"/>
      <c r="K87" s="467"/>
    </row>
    <row r="88" spans="1:11" ht="12.75" customHeight="1" x14ac:dyDescent="0.2">
      <c r="A88" s="463" t="s">
        <v>554</v>
      </c>
      <c r="B88" s="469">
        <v>1821</v>
      </c>
      <c r="C88" s="1936">
        <v>0</v>
      </c>
      <c r="D88" s="467"/>
      <c r="E88" s="467"/>
      <c r="F88" s="467"/>
      <c r="G88" s="467"/>
      <c r="H88" s="467"/>
      <c r="I88" s="467"/>
      <c r="J88" s="467"/>
      <c r="K88" s="467"/>
    </row>
    <row r="89" spans="1:11" ht="12.75" customHeight="1" x14ac:dyDescent="0.2">
      <c r="A89" s="463" t="s">
        <v>714</v>
      </c>
      <c r="B89" s="469">
        <v>1822</v>
      </c>
      <c r="C89" s="1936">
        <v>0</v>
      </c>
      <c r="D89" s="467"/>
      <c r="E89" s="467"/>
      <c r="F89" s="467"/>
      <c r="G89" s="467"/>
      <c r="H89" s="467"/>
      <c r="I89" s="467"/>
      <c r="J89" s="467"/>
      <c r="K89" s="467"/>
    </row>
    <row r="90" spans="1:11" ht="12.75" customHeight="1" x14ac:dyDescent="0.2">
      <c r="A90" s="463" t="s">
        <v>139</v>
      </c>
      <c r="B90" s="469">
        <v>1823</v>
      </c>
      <c r="C90" s="1936">
        <v>0</v>
      </c>
      <c r="D90" s="467"/>
      <c r="E90" s="467"/>
      <c r="F90" s="467"/>
      <c r="G90" s="467"/>
      <c r="H90" s="467"/>
      <c r="I90" s="467"/>
      <c r="J90" s="467"/>
      <c r="K90" s="467"/>
    </row>
    <row r="91" spans="1:11" ht="12.75" customHeight="1" x14ac:dyDescent="0.2">
      <c r="A91" s="463" t="s">
        <v>27</v>
      </c>
      <c r="B91" s="469">
        <v>1829</v>
      </c>
      <c r="C91" s="1936">
        <v>0</v>
      </c>
      <c r="D91" s="467"/>
      <c r="E91" s="467"/>
      <c r="F91" s="467"/>
      <c r="G91" s="467"/>
      <c r="H91" s="467"/>
      <c r="I91" s="467"/>
      <c r="J91" s="467"/>
      <c r="K91" s="467"/>
    </row>
    <row r="92" spans="1:11" ht="12.75" customHeight="1" x14ac:dyDescent="0.2">
      <c r="A92" s="463" t="s">
        <v>762</v>
      </c>
      <c r="B92" s="469">
        <v>1890</v>
      </c>
      <c r="C92" s="1936">
        <v>0</v>
      </c>
      <c r="D92" s="467"/>
      <c r="E92" s="467"/>
      <c r="F92" s="467"/>
      <c r="G92" s="467"/>
      <c r="H92" s="467"/>
      <c r="I92" s="467"/>
      <c r="J92" s="467"/>
      <c r="K92" s="467"/>
    </row>
    <row r="93" spans="1:11" ht="12.75" customHeight="1" thickBot="1" x14ac:dyDescent="0.25">
      <c r="A93" s="1679" t="s">
        <v>243</v>
      </c>
      <c r="B93" s="1680"/>
      <c r="C93" s="1659">
        <f>SUM(C84:C92)</f>
        <v>0</v>
      </c>
      <c r="D93" s="467"/>
      <c r="E93" s="467"/>
      <c r="F93" s="467"/>
      <c r="G93" s="467"/>
      <c r="H93" s="467"/>
      <c r="I93" s="467"/>
      <c r="J93" s="467"/>
      <c r="K93" s="467"/>
    </row>
    <row r="94" spans="1:11" ht="15.75" customHeight="1" thickTop="1" x14ac:dyDescent="0.2">
      <c r="A94" s="1563" t="s">
        <v>1137</v>
      </c>
      <c r="B94" s="1565">
        <v>1900</v>
      </c>
      <c r="C94" s="541"/>
      <c r="D94" s="514"/>
      <c r="E94" s="467"/>
      <c r="F94" s="467"/>
      <c r="G94" s="467"/>
      <c r="H94" s="467"/>
      <c r="I94" s="467"/>
      <c r="J94" s="467"/>
      <c r="K94" s="467"/>
    </row>
    <row r="95" spans="1:11" ht="12.75" customHeight="1" x14ac:dyDescent="0.2">
      <c r="A95" s="463" t="s">
        <v>1064</v>
      </c>
      <c r="B95" s="469">
        <v>1910</v>
      </c>
      <c r="C95" s="1931">
        <v>5269</v>
      </c>
      <c r="D95" s="1936">
        <v>0</v>
      </c>
      <c r="E95" s="514"/>
      <c r="F95" s="514"/>
      <c r="G95" s="514"/>
      <c r="H95" s="514"/>
      <c r="I95" s="514"/>
      <c r="J95" s="514"/>
      <c r="K95" s="514"/>
    </row>
    <row r="96" spans="1:11" ht="12.75" customHeight="1" x14ac:dyDescent="0.2">
      <c r="A96" s="463" t="s">
        <v>391</v>
      </c>
      <c r="B96" s="469">
        <v>1920</v>
      </c>
      <c r="C96" s="1936">
        <v>39513</v>
      </c>
      <c r="D96" s="1936">
        <v>0</v>
      </c>
      <c r="E96" s="1934">
        <v>0</v>
      </c>
      <c r="F96" s="474">
        <v>0</v>
      </c>
      <c r="G96" s="474">
        <v>0</v>
      </c>
      <c r="H96" s="474">
        <v>0</v>
      </c>
      <c r="I96" s="474">
        <v>0</v>
      </c>
      <c r="J96" s="474">
        <v>0</v>
      </c>
      <c r="K96" s="474">
        <v>0</v>
      </c>
    </row>
    <row r="97" spans="1:12" ht="12.75" customHeight="1" x14ac:dyDescent="0.2">
      <c r="A97" s="1466" t="s">
        <v>244</v>
      </c>
      <c r="B97" s="547">
        <v>1930</v>
      </c>
      <c r="C97" s="1935">
        <v>0</v>
      </c>
      <c r="D97" s="1932">
        <v>0</v>
      </c>
      <c r="E97" s="1933">
        <v>0</v>
      </c>
      <c r="F97" s="1932">
        <v>0</v>
      </c>
      <c r="G97" s="1938">
        <v>0</v>
      </c>
      <c r="H97" s="1938">
        <v>0</v>
      </c>
      <c r="I97" s="1938">
        <v>0</v>
      </c>
      <c r="J97" s="1938">
        <v>0</v>
      </c>
      <c r="K97" s="1938">
        <v>0</v>
      </c>
    </row>
    <row r="98" spans="1:12" ht="12.75" customHeight="1" x14ac:dyDescent="0.2">
      <c r="A98" s="463" t="s">
        <v>189</v>
      </c>
      <c r="B98" s="469">
        <v>1940</v>
      </c>
      <c r="C98" s="1935">
        <v>0</v>
      </c>
      <c r="D98" s="1931">
        <v>0</v>
      </c>
      <c r="E98" s="505"/>
      <c r="F98" s="1931">
        <v>0</v>
      </c>
      <c r="G98" s="505"/>
      <c r="H98" s="505"/>
      <c r="I98" s="503"/>
      <c r="J98" s="505"/>
      <c r="K98" s="505"/>
    </row>
    <row r="99" spans="1:12" ht="12.75" customHeight="1" x14ac:dyDescent="0.2">
      <c r="A99" s="463" t="s">
        <v>821</v>
      </c>
      <c r="B99" s="469">
        <v>1950</v>
      </c>
      <c r="C99" s="1935">
        <v>0</v>
      </c>
      <c r="D99" s="1931">
        <v>0</v>
      </c>
      <c r="E99" s="1931">
        <v>0</v>
      </c>
      <c r="F99" s="1931">
        <v>0</v>
      </c>
      <c r="G99" s="1937">
        <v>0</v>
      </c>
      <c r="H99" s="1937">
        <v>0</v>
      </c>
      <c r="I99" s="467"/>
      <c r="J99" s="1938">
        <v>0</v>
      </c>
      <c r="K99" s="1937">
        <v>0</v>
      </c>
    </row>
    <row r="100" spans="1:12" ht="12.75" customHeight="1" x14ac:dyDescent="0.2">
      <c r="A100" s="463" t="s">
        <v>245</v>
      </c>
      <c r="B100" s="469">
        <v>1960</v>
      </c>
      <c r="C100" s="1935">
        <v>0</v>
      </c>
      <c r="D100" s="1935">
        <v>0</v>
      </c>
      <c r="E100" s="1935">
        <v>0</v>
      </c>
      <c r="F100" s="1935">
        <v>0</v>
      </c>
      <c r="G100" s="1939">
        <v>0</v>
      </c>
      <c r="H100" s="1939">
        <v>0</v>
      </c>
      <c r="I100" s="1938">
        <v>0</v>
      </c>
      <c r="J100" s="1939">
        <v>0</v>
      </c>
      <c r="K100" s="1938">
        <v>0</v>
      </c>
    </row>
    <row r="101" spans="1:12" ht="12.75" customHeight="1" x14ac:dyDescent="0.2">
      <c r="A101" s="463" t="s">
        <v>246</v>
      </c>
      <c r="B101" s="469">
        <v>1970</v>
      </c>
      <c r="C101" s="1935">
        <v>0</v>
      </c>
      <c r="D101" s="519"/>
      <c r="E101" s="476"/>
      <c r="F101" s="519"/>
      <c r="G101" s="472"/>
      <c r="H101" s="519"/>
      <c r="I101" s="467"/>
      <c r="J101" s="472"/>
      <c r="K101" s="472"/>
    </row>
    <row r="102" spans="1:12" ht="12.75" customHeight="1" x14ac:dyDescent="0.2">
      <c r="A102" s="463" t="s">
        <v>247</v>
      </c>
      <c r="B102" s="469">
        <v>1980</v>
      </c>
      <c r="C102" s="1935">
        <v>0</v>
      </c>
      <c r="D102" s="1935">
        <v>0</v>
      </c>
      <c r="E102" s="1935">
        <v>0</v>
      </c>
      <c r="F102" s="1939">
        <v>0</v>
      </c>
      <c r="G102" s="1939">
        <v>0</v>
      </c>
      <c r="H102" s="1939">
        <v>0</v>
      </c>
      <c r="I102" s="1938">
        <v>0</v>
      </c>
      <c r="J102" s="1939">
        <v>0</v>
      </c>
      <c r="K102" s="1938">
        <v>0</v>
      </c>
    </row>
    <row r="103" spans="1:12" ht="12.75" customHeight="1" x14ac:dyDescent="0.2">
      <c r="A103" s="463" t="s">
        <v>345</v>
      </c>
      <c r="B103" s="469">
        <v>1983</v>
      </c>
      <c r="C103" s="467"/>
      <c r="D103" s="467"/>
      <c r="E103" s="548">
        <v>0</v>
      </c>
      <c r="F103" s="467"/>
      <c r="G103" s="467"/>
      <c r="H103" s="1939">
        <v>0</v>
      </c>
      <c r="I103" s="467"/>
      <c r="J103" s="503"/>
      <c r="K103" s="503"/>
    </row>
    <row r="104" spans="1:12" ht="12.75" customHeight="1" x14ac:dyDescent="0.2">
      <c r="A104" s="463" t="s">
        <v>830</v>
      </c>
      <c r="B104" s="469">
        <v>1991</v>
      </c>
      <c r="C104" s="1935">
        <v>79602</v>
      </c>
      <c r="D104" s="1931">
        <v>0</v>
      </c>
      <c r="E104" s="477">
        <v>0</v>
      </c>
      <c r="F104" s="1938">
        <v>0</v>
      </c>
      <c r="G104" s="1938">
        <v>0</v>
      </c>
      <c r="H104" s="1937">
        <v>0</v>
      </c>
      <c r="I104" s="467"/>
      <c r="J104" s="467"/>
      <c r="K104" s="467"/>
    </row>
    <row r="105" spans="1:12" ht="12.75" customHeight="1" x14ac:dyDescent="0.2">
      <c r="A105" s="463" t="s">
        <v>822</v>
      </c>
      <c r="B105" s="469">
        <v>1992</v>
      </c>
      <c r="C105" s="1931">
        <v>0</v>
      </c>
      <c r="D105" s="549"/>
      <c r="E105" s="467"/>
      <c r="F105" s="467"/>
      <c r="G105" s="467"/>
      <c r="H105" s="503"/>
      <c r="I105" s="467"/>
      <c r="J105" s="467"/>
      <c r="K105" s="467"/>
    </row>
    <row r="106" spans="1:12" ht="12.75" customHeight="1" x14ac:dyDescent="0.2">
      <c r="A106" s="463" t="s">
        <v>1430</v>
      </c>
      <c r="B106" s="469">
        <v>1993</v>
      </c>
      <c r="C106" s="1931">
        <v>0</v>
      </c>
      <c r="D106" s="1935">
        <v>0</v>
      </c>
      <c r="E106" s="1932">
        <v>0</v>
      </c>
      <c r="F106" s="1938">
        <v>0</v>
      </c>
      <c r="G106" s="1938">
        <v>0</v>
      </c>
      <c r="H106" s="1938">
        <v>0</v>
      </c>
      <c r="I106" s="514"/>
      <c r="J106" s="1938">
        <v>0</v>
      </c>
      <c r="K106" s="1938">
        <v>0</v>
      </c>
    </row>
    <row r="107" spans="1:12" ht="12.75" customHeight="1" x14ac:dyDescent="0.2">
      <c r="A107" s="463" t="s">
        <v>78</v>
      </c>
      <c r="B107" s="469">
        <v>1999</v>
      </c>
      <c r="C107" s="1936">
        <v>226316</v>
      </c>
      <c r="D107" s="1931">
        <v>0</v>
      </c>
      <c r="E107" s="1931">
        <v>0</v>
      </c>
      <c r="F107" s="1937">
        <v>0</v>
      </c>
      <c r="G107" s="1937">
        <v>0</v>
      </c>
      <c r="H107" s="1937">
        <v>0</v>
      </c>
      <c r="I107" s="1937">
        <v>0</v>
      </c>
      <c r="J107" s="1938">
        <v>0</v>
      </c>
      <c r="K107" s="1937">
        <v>0</v>
      </c>
    </row>
    <row r="108" spans="1:12" ht="12.75" customHeight="1" thickBot="1" x14ac:dyDescent="0.25">
      <c r="A108" s="1679" t="s">
        <v>487</v>
      </c>
      <c r="B108" s="1683"/>
      <c r="C108" s="1678">
        <f>SUM(C95:C107)</f>
        <v>350700</v>
      </c>
      <c r="D108" s="1678">
        <f t="shared" ref="D108:K108" si="3">SUM(D95:D107)</f>
        <v>0</v>
      </c>
      <c r="E108" s="1678">
        <f t="shared" si="3"/>
        <v>0</v>
      </c>
      <c r="F108" s="1678">
        <f t="shared" si="3"/>
        <v>0</v>
      </c>
      <c r="G108" s="1678">
        <f t="shared" si="3"/>
        <v>0</v>
      </c>
      <c r="H108" s="1678">
        <f t="shared" si="3"/>
        <v>0</v>
      </c>
      <c r="I108" s="1678">
        <f t="shared" si="3"/>
        <v>0</v>
      </c>
      <c r="J108" s="1678">
        <f t="shared" si="3"/>
        <v>0</v>
      </c>
      <c r="K108" s="1659">
        <f t="shared" si="3"/>
        <v>0</v>
      </c>
    </row>
    <row r="109" spans="1:12" ht="14.25" thickTop="1" thickBot="1" x14ac:dyDescent="0.25">
      <c r="A109" s="1684" t="s">
        <v>248</v>
      </c>
      <c r="B109" s="1685" t="s">
        <v>570</v>
      </c>
      <c r="C109" s="1686">
        <f t="shared" ref="C109:K109" si="4">SUM(C12,C18,C40,C63,C67,C75,C82,C93,C108,)</f>
        <v>31342799</v>
      </c>
      <c r="D109" s="1686">
        <f t="shared" si="4"/>
        <v>0</v>
      </c>
      <c r="E109" s="1686">
        <f t="shared" si="4"/>
        <v>0</v>
      </c>
      <c r="F109" s="1686">
        <f t="shared" si="4"/>
        <v>2913432</v>
      </c>
      <c r="G109" s="1686">
        <f t="shared" si="4"/>
        <v>0</v>
      </c>
      <c r="H109" s="1686">
        <f t="shared" si="4"/>
        <v>0</v>
      </c>
      <c r="I109" s="1686">
        <f t="shared" si="4"/>
        <v>0</v>
      </c>
      <c r="J109" s="1686">
        <f t="shared" si="4"/>
        <v>0</v>
      </c>
      <c r="K109" s="1673">
        <f t="shared" si="4"/>
        <v>0</v>
      </c>
    </row>
    <row r="110" spans="1:12" ht="30" customHeight="1" thickTop="1" x14ac:dyDescent="0.2">
      <c r="A110" s="1556" t="s">
        <v>346</v>
      </c>
      <c r="B110" s="1557"/>
      <c r="C110" s="1542"/>
      <c r="D110" s="1542"/>
      <c r="E110" s="1542"/>
      <c r="F110" s="1542"/>
      <c r="G110" s="1542"/>
      <c r="H110" s="1542"/>
      <c r="I110" s="1542"/>
      <c r="J110" s="1542"/>
      <c r="K110" s="1543"/>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0">
        <v>9048990</v>
      </c>
      <c r="D112" s="1937">
        <v>0</v>
      </c>
      <c r="E112" s="549"/>
      <c r="F112" s="1937">
        <v>0</v>
      </c>
      <c r="G112" s="1937">
        <v>0</v>
      </c>
      <c r="H112" s="549"/>
      <c r="I112" s="467"/>
      <c r="J112" s="467"/>
      <c r="K112" s="467"/>
      <c r="L112" s="540"/>
    </row>
    <row r="113" spans="1:11" ht="12.75" customHeight="1" x14ac:dyDescent="0.2">
      <c r="A113" s="463" t="s">
        <v>28</v>
      </c>
      <c r="B113" s="469">
        <v>2300</v>
      </c>
      <c r="C113" s="1940">
        <v>0</v>
      </c>
      <c r="D113" s="1937">
        <v>0</v>
      </c>
      <c r="E113" s="549"/>
      <c r="F113" s="1937">
        <v>0</v>
      </c>
      <c r="G113" s="1937">
        <v>0</v>
      </c>
      <c r="H113" s="549"/>
      <c r="I113" s="467"/>
      <c r="J113" s="467"/>
      <c r="K113" s="467"/>
    </row>
    <row r="114" spans="1:11" ht="13.5" thickBot="1" x14ac:dyDescent="0.25">
      <c r="A114" s="1687" t="s">
        <v>806</v>
      </c>
      <c r="B114" s="1688" t="s">
        <v>569</v>
      </c>
      <c r="C114" s="1689">
        <f>SUM(C111:C113)</f>
        <v>9048990</v>
      </c>
      <c r="D114" s="1689">
        <f>SUM(D111:D113)</f>
        <v>0</v>
      </c>
      <c r="E114" s="549" t="s">
        <v>1169</v>
      </c>
      <c r="F114" s="1689">
        <f>SUM(F111:F113)</f>
        <v>0</v>
      </c>
      <c r="G114" s="1689">
        <f>SUM(G111:G113)</f>
        <v>0</v>
      </c>
      <c r="H114" s="549"/>
      <c r="I114" s="467"/>
      <c r="J114" s="467"/>
      <c r="K114" s="467"/>
    </row>
    <row r="115" spans="1:11" ht="16.7" customHeight="1" thickTop="1" x14ac:dyDescent="0.2">
      <c r="A115" s="1558" t="s">
        <v>803</v>
      </c>
      <c r="B115" s="1559"/>
      <c r="C115" s="1541"/>
      <c r="D115" s="1542"/>
      <c r="E115" s="1542"/>
      <c r="F115" s="1542"/>
      <c r="G115" s="1542"/>
      <c r="H115" s="1542"/>
      <c r="I115" s="1542"/>
      <c r="J115" s="1542"/>
      <c r="K115" s="1543"/>
    </row>
    <row r="116" spans="1:11" ht="18" customHeight="1" x14ac:dyDescent="0.2">
      <c r="A116" s="1566" t="s">
        <v>1491</v>
      </c>
      <c r="B116" s="1567"/>
      <c r="C116" s="515"/>
      <c r="D116" s="514"/>
      <c r="E116" s="549"/>
      <c r="F116" s="514"/>
      <c r="G116" s="514"/>
      <c r="H116" s="549"/>
      <c r="I116" s="467"/>
      <c r="J116" s="514"/>
      <c r="K116" s="514"/>
    </row>
    <row r="117" spans="1:11" ht="12.75" customHeight="1" x14ac:dyDescent="0.2">
      <c r="A117" s="463" t="s">
        <v>1667</v>
      </c>
      <c r="B117" s="550">
        <v>3001</v>
      </c>
      <c r="C117" s="509">
        <v>2435978</v>
      </c>
      <c r="D117" s="477">
        <v>0</v>
      </c>
      <c r="E117" s="1937">
        <v>0</v>
      </c>
      <c r="F117" s="477">
        <v>0</v>
      </c>
      <c r="G117" s="477">
        <v>0</v>
      </c>
      <c r="H117" s="1937">
        <v>0</v>
      </c>
      <c r="I117" s="467"/>
      <c r="J117" s="1938">
        <v>0</v>
      </c>
      <c r="K117" s="1937">
        <v>0</v>
      </c>
    </row>
    <row r="118" spans="1:11" ht="12.75" customHeight="1" x14ac:dyDescent="0.2">
      <c r="A118" s="463" t="s">
        <v>1796</v>
      </c>
      <c r="B118" s="550">
        <v>3002</v>
      </c>
      <c r="C118" s="1940">
        <v>0</v>
      </c>
      <c r="D118" s="1937">
        <v>0</v>
      </c>
      <c r="E118" s="1937">
        <v>0</v>
      </c>
      <c r="F118" s="1937">
        <v>0</v>
      </c>
      <c r="G118" s="1937">
        <v>0</v>
      </c>
      <c r="H118" s="1937">
        <v>0</v>
      </c>
      <c r="I118" s="467"/>
      <c r="J118" s="1938">
        <v>0</v>
      </c>
      <c r="K118" s="1937">
        <v>0</v>
      </c>
    </row>
    <row r="119" spans="1:11" ht="12.75" customHeight="1" x14ac:dyDescent="0.2">
      <c r="A119" s="463" t="s">
        <v>1797</v>
      </c>
      <c r="B119" s="550">
        <v>3005</v>
      </c>
      <c r="C119" s="1940">
        <v>0</v>
      </c>
      <c r="D119" s="1937">
        <v>0</v>
      </c>
      <c r="E119" s="1937">
        <v>0</v>
      </c>
      <c r="F119" s="1937">
        <v>0</v>
      </c>
      <c r="G119" s="1937">
        <v>0</v>
      </c>
      <c r="H119" s="1937">
        <v>0</v>
      </c>
      <c r="I119" s="467"/>
      <c r="J119" s="1938">
        <v>0</v>
      </c>
      <c r="K119" s="1937">
        <v>0</v>
      </c>
    </row>
    <row r="120" spans="1:11" ht="12.75" customHeight="1" x14ac:dyDescent="0.2">
      <c r="A120" s="1901" t="s">
        <v>1933</v>
      </c>
      <c r="B120" s="550">
        <v>3030</v>
      </c>
      <c r="C120" s="1940">
        <v>0</v>
      </c>
      <c r="D120" s="1937">
        <v>0</v>
      </c>
      <c r="E120" s="1937">
        <v>0</v>
      </c>
      <c r="F120" s="1937">
        <v>0</v>
      </c>
      <c r="G120" s="1937">
        <v>0</v>
      </c>
      <c r="H120" s="1937">
        <v>0</v>
      </c>
      <c r="I120" s="467"/>
      <c r="J120" s="466">
        <v>0</v>
      </c>
      <c r="K120" s="465">
        <v>0</v>
      </c>
    </row>
    <row r="121" spans="1:11" x14ac:dyDescent="0.2">
      <c r="A121" s="1467" t="s">
        <v>1798</v>
      </c>
      <c r="B121" s="552">
        <v>3099</v>
      </c>
      <c r="C121" s="1940">
        <v>0</v>
      </c>
      <c r="D121" s="1937">
        <v>0</v>
      </c>
      <c r="E121" s="1937">
        <v>0</v>
      </c>
      <c r="F121" s="1937">
        <v>0</v>
      </c>
      <c r="G121" s="1937">
        <v>0</v>
      </c>
      <c r="H121" s="1937">
        <v>0</v>
      </c>
      <c r="I121" s="467"/>
      <c r="J121" s="1938">
        <v>0</v>
      </c>
      <c r="K121" s="1937">
        <v>0</v>
      </c>
    </row>
    <row r="122" spans="1:11" ht="12.6" customHeight="1" thickBot="1" x14ac:dyDescent="0.25">
      <c r="A122" s="1679" t="s">
        <v>488</v>
      </c>
      <c r="B122" s="1690"/>
      <c r="C122" s="1678">
        <f t="shared" ref="C122:H122" si="5">SUM(C117:C121)</f>
        <v>2435978</v>
      </c>
      <c r="D122" s="1678">
        <f t="shared" si="5"/>
        <v>0</v>
      </c>
      <c r="E122" s="1678">
        <f t="shared" si="5"/>
        <v>0</v>
      </c>
      <c r="F122" s="1678">
        <f t="shared" si="5"/>
        <v>0</v>
      </c>
      <c r="G122" s="1678">
        <f t="shared" si="5"/>
        <v>0</v>
      </c>
      <c r="H122" s="1678">
        <f t="shared" si="5"/>
        <v>0</v>
      </c>
      <c r="I122" s="467"/>
      <c r="J122" s="1678">
        <f>SUM(J117:J121)</f>
        <v>0</v>
      </c>
      <c r="K122" s="1659">
        <f>SUM(K117:K121)</f>
        <v>0</v>
      </c>
    </row>
    <row r="123" spans="1:11" ht="15.75" customHeight="1" thickTop="1" x14ac:dyDescent="0.2">
      <c r="A123" s="1563" t="s">
        <v>1490</v>
      </c>
      <c r="B123" s="1568"/>
      <c r="C123" s="553"/>
      <c r="D123" s="502"/>
      <c r="E123" s="467"/>
      <c r="F123" s="554"/>
      <c r="G123" s="467"/>
      <c r="H123" s="467"/>
      <c r="I123" s="467"/>
      <c r="J123" s="467"/>
      <c r="K123" s="467"/>
    </row>
    <row r="124" spans="1:11" ht="15" customHeight="1" x14ac:dyDescent="0.2">
      <c r="A124" s="1569" t="s">
        <v>667</v>
      </c>
      <c r="B124" s="1570"/>
      <c r="C124" s="514"/>
      <c r="D124" s="502"/>
      <c r="E124" s="467"/>
      <c r="F124" s="514"/>
      <c r="G124" s="467"/>
      <c r="H124" s="467"/>
      <c r="I124" s="467"/>
      <c r="J124" s="467"/>
      <c r="K124" s="467"/>
    </row>
    <row r="125" spans="1:11" ht="12.75" customHeight="1" x14ac:dyDescent="0.2">
      <c r="A125" s="463" t="s">
        <v>866</v>
      </c>
      <c r="B125" s="555">
        <v>3100</v>
      </c>
      <c r="C125" s="477">
        <v>0</v>
      </c>
      <c r="D125" s="549"/>
      <c r="E125" s="467"/>
      <c r="F125" s="1949">
        <v>0</v>
      </c>
      <c r="G125" s="467"/>
      <c r="H125" s="467"/>
      <c r="I125" s="467"/>
      <c r="J125" s="467"/>
      <c r="K125" s="467"/>
    </row>
    <row r="126" spans="1:11" ht="12.75" customHeight="1" x14ac:dyDescent="0.2">
      <c r="A126" s="463" t="s">
        <v>1446</v>
      </c>
      <c r="B126" s="550">
        <v>3105</v>
      </c>
      <c r="C126" s="1937">
        <v>0</v>
      </c>
      <c r="D126" s="549"/>
      <c r="E126" s="467"/>
      <c r="F126" s="1941">
        <v>0</v>
      </c>
      <c r="G126" s="467"/>
      <c r="H126" s="467"/>
      <c r="I126" s="467"/>
      <c r="J126" s="467"/>
      <c r="K126" s="467"/>
    </row>
    <row r="127" spans="1:11" ht="12.75" customHeight="1" x14ac:dyDescent="0.2">
      <c r="A127" s="463" t="s">
        <v>867</v>
      </c>
      <c r="B127" s="550">
        <v>3110</v>
      </c>
      <c r="C127" s="1940">
        <v>0</v>
      </c>
      <c r="D127" s="1941">
        <v>0</v>
      </c>
      <c r="E127" s="467"/>
      <c r="F127" s="1941">
        <v>0</v>
      </c>
      <c r="G127" s="467"/>
      <c r="H127" s="467"/>
      <c r="I127" s="467"/>
      <c r="J127" s="467"/>
      <c r="K127" s="467"/>
    </row>
    <row r="128" spans="1:11" ht="12.75" customHeight="1" x14ac:dyDescent="0.2">
      <c r="A128" s="463" t="s">
        <v>105</v>
      </c>
      <c r="B128" s="550">
        <v>3120</v>
      </c>
      <c r="C128" s="1937">
        <v>0</v>
      </c>
      <c r="D128" s="549"/>
      <c r="E128" s="467"/>
      <c r="F128" s="1941">
        <v>0</v>
      </c>
      <c r="G128" s="467"/>
      <c r="H128" s="467"/>
      <c r="I128" s="467"/>
      <c r="J128" s="467"/>
      <c r="K128" s="467"/>
    </row>
    <row r="129" spans="1:11" ht="12.75" customHeight="1" x14ac:dyDescent="0.2">
      <c r="A129" s="463" t="s">
        <v>1447</v>
      </c>
      <c r="B129" s="550">
        <v>3130</v>
      </c>
      <c r="C129" s="1937">
        <v>0</v>
      </c>
      <c r="D129" s="549"/>
      <c r="E129" s="467"/>
      <c r="F129" s="1941">
        <v>0</v>
      </c>
      <c r="G129" s="467"/>
      <c r="H129" s="467"/>
      <c r="I129" s="467"/>
      <c r="J129" s="467"/>
      <c r="K129" s="467"/>
    </row>
    <row r="130" spans="1:11" ht="12.75" customHeight="1" x14ac:dyDescent="0.2">
      <c r="A130" s="463" t="s">
        <v>137</v>
      </c>
      <c r="B130" s="550">
        <v>3145</v>
      </c>
      <c r="C130" s="1937">
        <v>0</v>
      </c>
      <c r="D130" s="549"/>
      <c r="E130" s="467"/>
      <c r="F130" s="1941">
        <v>0</v>
      </c>
      <c r="G130" s="467"/>
      <c r="H130" s="467"/>
      <c r="I130" s="467"/>
      <c r="J130" s="467"/>
      <c r="K130" s="467"/>
    </row>
    <row r="131" spans="1:11" ht="12.75" customHeight="1" x14ac:dyDescent="0.2">
      <c r="A131" s="463" t="s">
        <v>66</v>
      </c>
      <c r="B131" s="550">
        <v>3199</v>
      </c>
      <c r="C131" s="1940">
        <v>0</v>
      </c>
      <c r="D131" s="1942">
        <v>0</v>
      </c>
      <c r="E131" s="467"/>
      <c r="F131" s="1941">
        <v>0</v>
      </c>
      <c r="G131" s="467"/>
      <c r="H131" s="467"/>
      <c r="I131" s="467"/>
      <c r="J131" s="467"/>
      <c r="K131" s="467"/>
    </row>
    <row r="132" spans="1:11" ht="12.75" customHeight="1" thickBot="1" x14ac:dyDescent="0.25">
      <c r="A132" s="1679" t="s">
        <v>1032</v>
      </c>
      <c r="B132" s="1691"/>
      <c r="C132" s="1678">
        <f>SUM(C125:C131)</f>
        <v>0</v>
      </c>
      <c r="D132" s="1678">
        <f>SUM(D125:D131)</f>
        <v>0</v>
      </c>
      <c r="E132" s="468" t="s">
        <v>1169</v>
      </c>
      <c r="F132" s="1678">
        <f>SUM(F125:F131)</f>
        <v>0</v>
      </c>
      <c r="G132" s="467" t="s">
        <v>1169</v>
      </c>
      <c r="H132" s="467" t="s">
        <v>1169</v>
      </c>
      <c r="I132" s="467" t="s">
        <v>1169</v>
      </c>
      <c r="J132" s="467" t="s">
        <v>1169</v>
      </c>
      <c r="K132" s="467" t="s">
        <v>1169</v>
      </c>
    </row>
    <row r="133" spans="1:11" ht="15.75" customHeight="1" thickTop="1" x14ac:dyDescent="0.2">
      <c r="A133" s="1571" t="s">
        <v>250</v>
      </c>
      <c r="B133" s="1572"/>
      <c r="C133" s="541"/>
      <c r="D133" s="541"/>
      <c r="E133" s="502"/>
      <c r="F133" s="541"/>
      <c r="G133" s="467"/>
      <c r="H133" s="467"/>
      <c r="I133" s="467"/>
      <c r="J133" s="467"/>
      <c r="K133" s="467"/>
    </row>
    <row r="134" spans="1:11" x14ac:dyDescent="0.2">
      <c r="A134" s="463" t="s">
        <v>599</v>
      </c>
      <c r="B134" s="550">
        <v>3200</v>
      </c>
      <c r="C134" s="1950">
        <v>0</v>
      </c>
      <c r="D134" s="1941">
        <v>0</v>
      </c>
      <c r="E134" s="549"/>
      <c r="F134" s="467"/>
      <c r="G134" s="1941">
        <v>0</v>
      </c>
      <c r="H134" s="467"/>
      <c r="I134" s="467"/>
      <c r="J134" s="467"/>
      <c r="K134" s="467"/>
    </row>
    <row r="135" spans="1:11" ht="12.75" customHeight="1" x14ac:dyDescent="0.2">
      <c r="A135" s="463" t="s">
        <v>669</v>
      </c>
      <c r="B135" s="550">
        <v>3220</v>
      </c>
      <c r="C135" s="1950">
        <v>0</v>
      </c>
      <c r="D135" s="1941">
        <v>0</v>
      </c>
      <c r="E135" s="549"/>
      <c r="F135" s="467"/>
      <c r="G135" s="1942">
        <v>0</v>
      </c>
      <c r="H135" s="467"/>
      <c r="I135" s="467"/>
      <c r="J135" s="467"/>
      <c r="K135" s="467"/>
    </row>
    <row r="136" spans="1:11" ht="12.75" customHeight="1" x14ac:dyDescent="0.2">
      <c r="A136" s="463" t="s">
        <v>249</v>
      </c>
      <c r="B136" s="550">
        <v>3225</v>
      </c>
      <c r="C136" s="1950">
        <v>0</v>
      </c>
      <c r="D136" s="1941">
        <v>0</v>
      </c>
      <c r="E136" s="549"/>
      <c r="F136" s="467"/>
      <c r="G136" s="1942">
        <v>0</v>
      </c>
      <c r="H136" s="467"/>
      <c r="I136" s="467"/>
      <c r="J136" s="467"/>
      <c r="K136" s="467"/>
    </row>
    <row r="137" spans="1:11" ht="12.75" customHeight="1" x14ac:dyDescent="0.2">
      <c r="A137" s="463" t="s">
        <v>600</v>
      </c>
      <c r="B137" s="550">
        <v>3235</v>
      </c>
      <c r="C137" s="1945">
        <v>0</v>
      </c>
      <c r="D137" s="1942">
        <v>0</v>
      </c>
      <c r="E137" s="549"/>
      <c r="F137" s="467"/>
      <c r="G137" s="1942">
        <v>0</v>
      </c>
      <c r="H137" s="467"/>
      <c r="I137" s="467"/>
      <c r="J137" s="467"/>
      <c r="K137" s="467"/>
    </row>
    <row r="138" spans="1:11" ht="12.75" customHeight="1" x14ac:dyDescent="0.2">
      <c r="A138" s="463" t="s">
        <v>601</v>
      </c>
      <c r="B138" s="550">
        <v>3240</v>
      </c>
      <c r="C138" s="1945">
        <v>0</v>
      </c>
      <c r="D138" s="1942">
        <v>0</v>
      </c>
      <c r="E138" s="549"/>
      <c r="F138" s="467"/>
      <c r="G138" s="1942">
        <v>0</v>
      </c>
      <c r="H138" s="467"/>
      <c r="I138" s="467"/>
      <c r="J138" s="467"/>
      <c r="K138" s="467"/>
    </row>
    <row r="139" spans="1:11" ht="12.75" customHeight="1" x14ac:dyDescent="0.2">
      <c r="A139" s="463" t="s">
        <v>602</v>
      </c>
      <c r="B139" s="550">
        <v>3270</v>
      </c>
      <c r="C139" s="1945">
        <v>0</v>
      </c>
      <c r="D139" s="1942">
        <v>0</v>
      </c>
      <c r="E139" s="549"/>
      <c r="F139" s="467"/>
      <c r="G139" s="1942">
        <v>0</v>
      </c>
      <c r="H139" s="467"/>
      <c r="I139" s="467"/>
      <c r="J139" s="467"/>
      <c r="K139" s="467"/>
    </row>
    <row r="140" spans="1:11" ht="12.75" customHeight="1" x14ac:dyDescent="0.2">
      <c r="A140" s="463" t="s">
        <v>67</v>
      </c>
      <c r="B140" s="550">
        <v>3299</v>
      </c>
      <c r="C140" s="1950">
        <v>0</v>
      </c>
      <c r="D140" s="1941">
        <v>0</v>
      </c>
      <c r="E140" s="549"/>
      <c r="F140" s="473"/>
      <c r="G140" s="1942">
        <v>0</v>
      </c>
      <c r="H140" s="467"/>
      <c r="I140" s="467"/>
      <c r="J140" s="467"/>
      <c r="K140" s="467"/>
    </row>
    <row r="141" spans="1:11" ht="12.75" customHeight="1" thickBot="1" x14ac:dyDescent="0.25">
      <c r="A141" s="1679" t="s">
        <v>603</v>
      </c>
      <c r="B141" s="1691"/>
      <c r="C141" s="1678">
        <f>SUM(C134:C140)</f>
        <v>0</v>
      </c>
      <c r="D141" s="1678">
        <f>SUM(D134:D140)</f>
        <v>0</v>
      </c>
      <c r="E141" s="549" t="s">
        <v>1169</v>
      </c>
      <c r="F141" s="473"/>
      <c r="G141" s="1678">
        <f>SUM(G134:G140)</f>
        <v>0</v>
      </c>
      <c r="H141" s="467" t="s">
        <v>1169</v>
      </c>
      <c r="I141" s="467" t="s">
        <v>1169</v>
      </c>
      <c r="J141" s="467" t="s">
        <v>1169</v>
      </c>
      <c r="K141" s="467" t="s">
        <v>1169</v>
      </c>
    </row>
    <row r="142" spans="1:11" ht="15.75" customHeight="1" thickTop="1" x14ac:dyDescent="0.2">
      <c r="A142" s="1571" t="s">
        <v>670</v>
      </c>
      <c r="B142" s="1572"/>
      <c r="C142" s="541"/>
      <c r="D142" s="554"/>
      <c r="E142" s="549"/>
      <c r="F142" s="541"/>
      <c r="G142" s="541"/>
      <c r="H142" s="467"/>
      <c r="I142" s="467"/>
      <c r="J142" s="467"/>
      <c r="K142" s="467"/>
    </row>
    <row r="143" spans="1:11" ht="12.75" customHeight="1" x14ac:dyDescent="0.2">
      <c r="A143" s="463" t="s">
        <v>604</v>
      </c>
      <c r="B143" s="550">
        <v>3305</v>
      </c>
      <c r="C143" s="1941">
        <v>0</v>
      </c>
      <c r="D143" s="467"/>
      <c r="E143" s="549"/>
      <c r="F143" s="467"/>
      <c r="G143" s="1941">
        <v>0</v>
      </c>
      <c r="H143" s="467"/>
      <c r="I143" s="467"/>
      <c r="J143" s="467"/>
      <c r="K143" s="467"/>
    </row>
    <row r="144" spans="1:11" ht="12.75" customHeight="1" x14ac:dyDescent="0.2">
      <c r="A144" s="463" t="s">
        <v>347</v>
      </c>
      <c r="B144" s="550">
        <v>3310</v>
      </c>
      <c r="C144" s="1950">
        <v>0</v>
      </c>
      <c r="D144" s="467"/>
      <c r="E144" s="549"/>
      <c r="F144" s="467"/>
      <c r="G144" s="1941">
        <v>0</v>
      </c>
      <c r="H144" s="467"/>
      <c r="I144" s="467"/>
      <c r="J144" s="467"/>
      <c r="K144" s="467"/>
    </row>
    <row r="145" spans="1:11" s="202" customFormat="1" ht="13.5" thickBot="1" x14ac:dyDescent="0.25">
      <c r="A145" s="1679" t="s">
        <v>396</v>
      </c>
      <c r="B145" s="1691"/>
      <c r="C145" s="1659">
        <f>SUM(C143:C144)</f>
        <v>0</v>
      </c>
      <c r="D145" s="467"/>
      <c r="E145" s="502"/>
      <c r="F145" s="467"/>
      <c r="G145" s="1692">
        <f>SUM(G143:G144)</f>
        <v>0</v>
      </c>
      <c r="H145" s="467"/>
      <c r="I145" s="467"/>
      <c r="J145" s="467"/>
      <c r="K145" s="467"/>
    </row>
    <row r="146" spans="1:11" s="202" customFormat="1" ht="12.75" customHeight="1" thickTop="1" x14ac:dyDescent="0.2">
      <c r="A146" s="1469" t="s">
        <v>1056</v>
      </c>
      <c r="B146" s="556">
        <v>3360</v>
      </c>
      <c r="C146" s="1944">
        <v>2112</v>
      </c>
      <c r="D146" s="557"/>
      <c r="E146" s="502"/>
      <c r="F146" s="467"/>
      <c r="G146" s="558"/>
      <c r="H146" s="467"/>
      <c r="I146" s="467"/>
      <c r="J146" s="467"/>
      <c r="K146" s="467"/>
    </row>
    <row r="147" spans="1:11" ht="12.75" customHeight="1" thickBot="1" x14ac:dyDescent="0.25">
      <c r="A147" s="1470" t="s">
        <v>922</v>
      </c>
      <c r="B147" s="559">
        <v>3365</v>
      </c>
      <c r="C147" s="1951">
        <v>0</v>
      </c>
      <c r="D147" s="1948">
        <v>0</v>
      </c>
      <c r="E147" s="549"/>
      <c r="F147" s="467"/>
      <c r="G147" s="1948">
        <v>0</v>
      </c>
      <c r="H147" s="467"/>
      <c r="I147" s="467"/>
      <c r="J147" s="467"/>
      <c r="K147" s="467"/>
    </row>
    <row r="148" spans="1:11" ht="12.75" customHeight="1" thickTop="1" thickBot="1" x14ac:dyDescent="0.25">
      <c r="A148" s="1471" t="s">
        <v>138</v>
      </c>
      <c r="B148" s="560">
        <v>3370</v>
      </c>
      <c r="C148" s="1951">
        <v>0</v>
      </c>
      <c r="D148" s="1951">
        <v>0</v>
      </c>
      <c r="E148" s="502"/>
      <c r="F148" s="467"/>
      <c r="G148" s="467"/>
      <c r="H148" s="467"/>
      <c r="I148" s="467"/>
      <c r="J148" s="467"/>
      <c r="K148" s="467"/>
    </row>
    <row r="149" spans="1:11" ht="12.75" customHeight="1" thickTop="1" thickBot="1" x14ac:dyDescent="0.25">
      <c r="A149" s="1471" t="s">
        <v>767</v>
      </c>
      <c r="B149" s="560">
        <v>3410</v>
      </c>
      <c r="C149" s="1952">
        <v>0</v>
      </c>
      <c r="D149" s="1953">
        <v>0</v>
      </c>
      <c r="E149" s="1954">
        <v>0</v>
      </c>
      <c r="F149" s="1946">
        <v>0</v>
      </c>
      <c r="G149" s="1946">
        <v>0</v>
      </c>
      <c r="H149" s="1946">
        <v>0</v>
      </c>
      <c r="I149" s="1946">
        <v>0</v>
      </c>
      <c r="J149" s="1946">
        <v>0</v>
      </c>
      <c r="K149" s="1946">
        <v>0</v>
      </c>
    </row>
    <row r="150" spans="1:11" ht="12.75" customHeight="1" thickTop="1" thickBot="1" x14ac:dyDescent="0.25">
      <c r="A150" s="1471" t="s">
        <v>68</v>
      </c>
      <c r="B150" s="560">
        <v>3499</v>
      </c>
      <c r="C150" s="1952">
        <v>0</v>
      </c>
      <c r="D150" s="1953">
        <v>0</v>
      </c>
      <c r="E150" s="1948">
        <v>0</v>
      </c>
      <c r="F150" s="1948">
        <v>0</v>
      </c>
      <c r="G150" s="1948">
        <v>0</v>
      </c>
      <c r="H150" s="1948">
        <v>0</v>
      </c>
      <c r="I150" s="1948">
        <v>0</v>
      </c>
      <c r="J150" s="1948">
        <v>0</v>
      </c>
      <c r="K150" s="1948">
        <v>0</v>
      </c>
    </row>
    <row r="151" spans="1:11" ht="15.75" customHeight="1" thickTop="1" x14ac:dyDescent="0.2">
      <c r="A151" s="1571" t="s">
        <v>453</v>
      </c>
      <c r="B151" s="1573"/>
      <c r="C151" s="541"/>
      <c r="D151" s="467"/>
      <c r="E151" s="549"/>
      <c r="F151" s="467"/>
      <c r="G151" s="467"/>
      <c r="H151" s="467"/>
      <c r="I151" s="467"/>
      <c r="J151" s="467"/>
      <c r="K151" s="467"/>
    </row>
    <row r="152" spans="1:11" ht="12.75" customHeight="1" x14ac:dyDescent="0.2">
      <c r="A152" s="463" t="s">
        <v>1448</v>
      </c>
      <c r="B152" s="550">
        <v>3500</v>
      </c>
      <c r="C152" s="1950">
        <v>0</v>
      </c>
      <c r="D152" s="1941">
        <v>0</v>
      </c>
      <c r="E152" s="549"/>
      <c r="F152" s="1941">
        <v>0</v>
      </c>
      <c r="G152" s="1942">
        <v>0</v>
      </c>
      <c r="H152" s="467"/>
      <c r="I152" s="467"/>
      <c r="J152" s="467"/>
      <c r="K152" s="467"/>
    </row>
    <row r="153" spans="1:11" ht="12.75" customHeight="1" x14ac:dyDescent="0.2">
      <c r="A153" s="463" t="s">
        <v>1057</v>
      </c>
      <c r="B153" s="550">
        <v>3510</v>
      </c>
      <c r="C153" s="1950">
        <v>0</v>
      </c>
      <c r="D153" s="1941">
        <v>0</v>
      </c>
      <c r="E153" s="549"/>
      <c r="F153" s="1941">
        <v>34054</v>
      </c>
      <c r="G153" s="1942">
        <v>0</v>
      </c>
      <c r="H153" s="467"/>
      <c r="I153" s="467"/>
      <c r="J153" s="467"/>
      <c r="K153" s="467"/>
    </row>
    <row r="154" spans="1:11" ht="12.75" customHeight="1" x14ac:dyDescent="0.2">
      <c r="A154" s="463" t="s">
        <v>69</v>
      </c>
      <c r="B154" s="550">
        <v>3599</v>
      </c>
      <c r="C154" s="1950">
        <v>0</v>
      </c>
      <c r="D154" s="1941">
        <v>0</v>
      </c>
      <c r="E154" s="549"/>
      <c r="F154" s="1941">
        <v>0</v>
      </c>
      <c r="G154" s="1942">
        <v>0</v>
      </c>
      <c r="H154" s="467"/>
      <c r="I154" s="467"/>
      <c r="J154" s="467"/>
      <c r="K154" s="467"/>
    </row>
    <row r="155" spans="1:11" ht="12.75" customHeight="1" thickBot="1" x14ac:dyDescent="0.25">
      <c r="A155" s="1679" t="s">
        <v>94</v>
      </c>
      <c r="B155" s="1691"/>
      <c r="C155" s="1678">
        <f>SUM(C152:C154)</f>
        <v>0</v>
      </c>
      <c r="D155" s="1678">
        <f>SUM(D152:D154)</f>
        <v>0</v>
      </c>
      <c r="E155" s="549"/>
      <c r="F155" s="1678">
        <f>SUM(F152:F154)</f>
        <v>34054</v>
      </c>
      <c r="G155" s="1678">
        <f>SUM(G152:G154)</f>
        <v>0</v>
      </c>
      <c r="H155" s="467"/>
      <c r="I155" s="467"/>
      <c r="J155" s="467"/>
      <c r="K155" s="467"/>
    </row>
    <row r="156" spans="1:11" ht="12.75" customHeight="1" thickTop="1" thickBot="1" x14ac:dyDescent="0.25">
      <c r="A156" s="1471" t="s">
        <v>380</v>
      </c>
      <c r="B156" s="560">
        <v>3610</v>
      </c>
      <c r="C156" s="1953">
        <v>0</v>
      </c>
      <c r="D156" s="467"/>
      <c r="E156" s="502"/>
      <c r="F156" s="467"/>
      <c r="G156" s="467"/>
      <c r="H156" s="467"/>
      <c r="I156" s="467"/>
      <c r="J156" s="467"/>
      <c r="K156" s="467"/>
    </row>
    <row r="157" spans="1:11" ht="12.75" customHeight="1" thickTop="1" thickBot="1" x14ac:dyDescent="0.25">
      <c r="A157" s="1471" t="s">
        <v>50</v>
      </c>
      <c r="B157" s="560">
        <v>3660</v>
      </c>
      <c r="C157" s="1951">
        <v>0</v>
      </c>
      <c r="D157" s="1955">
        <v>0</v>
      </c>
      <c r="E157" s="549"/>
      <c r="F157" s="1955">
        <v>0</v>
      </c>
      <c r="G157" s="1955">
        <v>0</v>
      </c>
      <c r="H157" s="467"/>
      <c r="I157" s="467"/>
      <c r="J157" s="467"/>
      <c r="K157" s="467"/>
    </row>
    <row r="158" spans="1:11" ht="12.75" customHeight="1" thickTop="1" thickBot="1" x14ac:dyDescent="0.25">
      <c r="A158" s="1471" t="s">
        <v>1000</v>
      </c>
      <c r="B158" s="560">
        <v>3695</v>
      </c>
      <c r="C158" s="1953">
        <v>0</v>
      </c>
      <c r="D158" s="467"/>
      <c r="E158" s="549"/>
      <c r="F158" s="1953">
        <v>0</v>
      </c>
      <c r="G158" s="1953">
        <v>0</v>
      </c>
      <c r="H158" s="467"/>
      <c r="I158" s="467"/>
      <c r="J158" s="467"/>
      <c r="K158" s="467"/>
    </row>
    <row r="159" spans="1:11" ht="12.75" customHeight="1" thickTop="1" thickBot="1" x14ac:dyDescent="0.25">
      <c r="A159" s="1471" t="s">
        <v>1051</v>
      </c>
      <c r="B159" s="560">
        <v>3705</v>
      </c>
      <c r="C159" s="1953">
        <v>0</v>
      </c>
      <c r="D159" s="1955">
        <v>0</v>
      </c>
      <c r="E159" s="549"/>
      <c r="F159" s="1953">
        <v>0</v>
      </c>
      <c r="G159" s="1953">
        <v>0</v>
      </c>
      <c r="H159" s="467"/>
      <c r="I159" s="467"/>
      <c r="J159" s="467"/>
      <c r="K159" s="467"/>
    </row>
    <row r="160" spans="1:11" ht="12.75" customHeight="1" thickTop="1" thickBot="1" x14ac:dyDescent="0.25">
      <c r="A160" s="1471" t="s">
        <v>39</v>
      </c>
      <c r="B160" s="560">
        <v>3766</v>
      </c>
      <c r="C160" s="1953">
        <v>0</v>
      </c>
      <c r="D160" s="1955">
        <v>0</v>
      </c>
      <c r="E160" s="549"/>
      <c r="F160" s="1953">
        <v>0</v>
      </c>
      <c r="G160" s="1947">
        <v>0</v>
      </c>
      <c r="H160" s="467"/>
      <c r="I160" s="467"/>
      <c r="J160" s="467"/>
      <c r="K160" s="467"/>
    </row>
    <row r="161" spans="1:11" ht="12.75" customHeight="1" thickTop="1" thickBot="1" x14ac:dyDescent="0.25">
      <c r="A161" s="1471" t="s">
        <v>985</v>
      </c>
      <c r="B161" s="560">
        <v>3767</v>
      </c>
      <c r="C161" s="1953">
        <v>0</v>
      </c>
      <c r="D161" s="1947">
        <v>0</v>
      </c>
      <c r="E161" s="549"/>
      <c r="F161" s="1947">
        <v>0</v>
      </c>
      <c r="G161" s="1947">
        <v>0</v>
      </c>
      <c r="H161" s="467"/>
      <c r="I161" s="467"/>
      <c r="J161" s="467"/>
      <c r="K161" s="467"/>
    </row>
    <row r="162" spans="1:11" ht="12.75" customHeight="1" thickTop="1" thickBot="1" x14ac:dyDescent="0.25">
      <c r="A162" s="1471" t="s">
        <v>986</v>
      </c>
      <c r="B162" s="560">
        <v>3775</v>
      </c>
      <c r="C162" s="1953">
        <v>0</v>
      </c>
      <c r="D162" s="1951">
        <v>0</v>
      </c>
      <c r="E162" s="1946">
        <v>0</v>
      </c>
      <c r="F162" s="1951">
        <v>0</v>
      </c>
      <c r="G162" s="1948">
        <v>0</v>
      </c>
      <c r="H162" s="1946">
        <v>0</v>
      </c>
      <c r="I162" s="467"/>
      <c r="J162" s="467"/>
      <c r="K162" s="1946">
        <v>0</v>
      </c>
    </row>
    <row r="163" spans="1:11" ht="12.75" customHeight="1" thickTop="1" thickBot="1" x14ac:dyDescent="0.25">
      <c r="A163" s="1471" t="s">
        <v>1449</v>
      </c>
      <c r="B163" s="560">
        <v>3780</v>
      </c>
      <c r="C163" s="1947">
        <v>0</v>
      </c>
      <c r="D163" s="1946">
        <v>0</v>
      </c>
      <c r="E163" s="1947">
        <v>0</v>
      </c>
      <c r="F163" s="1947">
        <v>0</v>
      </c>
      <c r="G163" s="1947">
        <v>0</v>
      </c>
      <c r="H163" s="1947">
        <v>0</v>
      </c>
      <c r="I163" s="467"/>
      <c r="J163" s="467"/>
      <c r="K163" s="1947">
        <v>0</v>
      </c>
    </row>
    <row r="164" spans="1:11" ht="12.75" customHeight="1" thickTop="1" thickBot="1" x14ac:dyDescent="0.25">
      <c r="A164" s="1471" t="s">
        <v>858</v>
      </c>
      <c r="B164" s="560">
        <v>3815</v>
      </c>
      <c r="C164" s="1953">
        <v>0</v>
      </c>
      <c r="D164" s="467"/>
      <c r="E164" s="549"/>
      <c r="F164" s="1953">
        <v>0</v>
      </c>
      <c r="G164" s="467"/>
      <c r="H164" s="467"/>
      <c r="I164" s="467"/>
      <c r="J164" s="467"/>
      <c r="K164" s="467"/>
    </row>
    <row r="165" spans="1:11" ht="12.75" customHeight="1" thickTop="1" thickBot="1" x14ac:dyDescent="0.25">
      <c r="A165" s="1471" t="s">
        <v>397</v>
      </c>
      <c r="B165" s="560">
        <v>3825</v>
      </c>
      <c r="C165" s="1953">
        <v>0</v>
      </c>
      <c r="D165" s="467"/>
      <c r="E165" s="549"/>
      <c r="F165" s="1953">
        <v>0</v>
      </c>
      <c r="G165" s="467"/>
      <c r="H165" s="467"/>
      <c r="I165" s="467"/>
      <c r="J165" s="467"/>
      <c r="K165" s="467"/>
    </row>
    <row r="166" spans="1:11" ht="12.75" customHeight="1" thickTop="1" thickBot="1" x14ac:dyDescent="0.25">
      <c r="A166" s="1471" t="s">
        <v>348</v>
      </c>
      <c r="B166" s="560">
        <v>3920</v>
      </c>
      <c r="C166" s="554"/>
      <c r="D166" s="1955">
        <v>0</v>
      </c>
      <c r="E166" s="467"/>
      <c r="F166" s="554"/>
      <c r="G166" s="467"/>
      <c r="H166" s="1946">
        <v>0</v>
      </c>
      <c r="I166" s="467"/>
      <c r="J166" s="467"/>
      <c r="K166" s="467"/>
    </row>
    <row r="167" spans="1:11" ht="12.75" customHeight="1" thickTop="1" thickBot="1" x14ac:dyDescent="0.25">
      <c r="A167" s="1471" t="s">
        <v>349</v>
      </c>
      <c r="B167" s="560">
        <v>3925</v>
      </c>
      <c r="C167" s="514"/>
      <c r="D167" s="1953">
        <v>0</v>
      </c>
      <c r="E167" s="514"/>
      <c r="F167" s="514"/>
      <c r="G167" s="467"/>
      <c r="H167" s="1947">
        <v>0</v>
      </c>
      <c r="I167" s="467"/>
      <c r="J167" s="467"/>
      <c r="K167" s="1946">
        <v>0</v>
      </c>
    </row>
    <row r="168" spans="1:11" ht="14.25" thickTop="1" thickBot="1" x14ac:dyDescent="0.25">
      <c r="A168" s="1471" t="s">
        <v>70</v>
      </c>
      <c r="B168" s="560">
        <v>3999</v>
      </c>
      <c r="C168" s="1956">
        <v>581702</v>
      </c>
      <c r="D168" s="1957">
        <v>0</v>
      </c>
      <c r="E168" s="1957">
        <v>0</v>
      </c>
      <c r="F168" s="1957">
        <v>0</v>
      </c>
      <c r="G168" s="1958">
        <v>0</v>
      </c>
      <c r="H168" s="1959">
        <v>0</v>
      </c>
      <c r="I168" s="1958">
        <v>0</v>
      </c>
      <c r="J168" s="1958">
        <v>0</v>
      </c>
      <c r="K168" s="1959">
        <v>0</v>
      </c>
    </row>
    <row r="169" spans="1:11" ht="12.75" customHeight="1" thickTop="1" thickBot="1" x14ac:dyDescent="0.25">
      <c r="A169" s="2231" t="s">
        <v>398</v>
      </c>
      <c r="B169" s="2232"/>
      <c r="C169" s="1693">
        <f t="shared" ref="C169:K169" si="6">SUM(C132,C141,C145,C146:C150,C155,C156:C167,C168)</f>
        <v>583814</v>
      </c>
      <c r="D169" s="1693">
        <f t="shared" si="6"/>
        <v>0</v>
      </c>
      <c r="E169" s="1693">
        <f t="shared" si="6"/>
        <v>0</v>
      </c>
      <c r="F169" s="1693">
        <f t="shared" si="6"/>
        <v>34054</v>
      </c>
      <c r="G169" s="1693">
        <f t="shared" si="6"/>
        <v>0</v>
      </c>
      <c r="H169" s="1693">
        <f t="shared" si="6"/>
        <v>0</v>
      </c>
      <c r="I169" s="1693">
        <f t="shared" si="6"/>
        <v>0</v>
      </c>
      <c r="J169" s="1693">
        <f t="shared" si="6"/>
        <v>0</v>
      </c>
      <c r="K169" s="1674">
        <f t="shared" si="6"/>
        <v>0</v>
      </c>
    </row>
    <row r="170" spans="1:11" ht="12.75" customHeight="1" thickTop="1" thickBot="1" x14ac:dyDescent="0.25">
      <c r="A170" s="1679" t="s">
        <v>399</v>
      </c>
      <c r="B170" s="1685" t="s">
        <v>575</v>
      </c>
      <c r="C170" s="1686">
        <f t="shared" ref="C170:K170" si="7">SUM(C122,C169)</f>
        <v>3019792</v>
      </c>
      <c r="D170" s="1686">
        <f t="shared" si="7"/>
        <v>0</v>
      </c>
      <c r="E170" s="1686">
        <f t="shared" si="7"/>
        <v>0</v>
      </c>
      <c r="F170" s="1686">
        <f t="shared" si="7"/>
        <v>34054</v>
      </c>
      <c r="G170" s="1686">
        <f t="shared" si="7"/>
        <v>0</v>
      </c>
      <c r="H170" s="1686">
        <f t="shared" si="7"/>
        <v>0</v>
      </c>
      <c r="I170" s="1686">
        <f t="shared" si="7"/>
        <v>0</v>
      </c>
      <c r="J170" s="1686">
        <f t="shared" si="7"/>
        <v>0</v>
      </c>
      <c r="K170" s="1673">
        <f t="shared" si="7"/>
        <v>0</v>
      </c>
    </row>
    <row r="171" spans="1:11" ht="16.7" customHeight="1" thickTop="1" x14ac:dyDescent="0.2">
      <c r="A171" s="1560" t="s">
        <v>804</v>
      </c>
      <c r="B171" s="1538"/>
      <c r="C171" s="1541"/>
      <c r="D171" s="1542"/>
      <c r="E171" s="1542"/>
      <c r="F171" s="1542"/>
      <c r="G171" s="1542"/>
      <c r="H171" s="1542"/>
      <c r="I171" s="1542"/>
      <c r="J171" s="1542"/>
      <c r="K171" s="1543"/>
    </row>
    <row r="172" spans="1:11" ht="15.75" customHeight="1" x14ac:dyDescent="0.2">
      <c r="A172" s="2233" t="s">
        <v>1492</v>
      </c>
      <c r="B172" s="2234"/>
      <c r="C172" s="513"/>
      <c r="D172" s="513"/>
      <c r="E172" s="502"/>
      <c r="F172" s="467"/>
      <c r="G172" s="467"/>
      <c r="H172" s="467"/>
      <c r="I172" s="467"/>
      <c r="J172" s="467"/>
      <c r="K172" s="467"/>
    </row>
    <row r="173" spans="1:11" ht="12.6" customHeight="1" x14ac:dyDescent="0.2">
      <c r="A173" s="486" t="s">
        <v>1044</v>
      </c>
      <c r="B173" s="485">
        <v>4001</v>
      </c>
      <c r="C173" s="509">
        <v>0</v>
      </c>
      <c r="D173" s="477">
        <v>0</v>
      </c>
      <c r="E173" s="1942">
        <v>0</v>
      </c>
      <c r="F173" s="1941">
        <v>0</v>
      </c>
      <c r="G173" s="1941">
        <v>0</v>
      </c>
      <c r="H173" s="1942">
        <v>0</v>
      </c>
      <c r="I173" s="1942">
        <v>0</v>
      </c>
      <c r="J173" s="1942">
        <v>0</v>
      </c>
      <c r="K173" s="1942">
        <v>0</v>
      </c>
    </row>
    <row r="174" spans="1:11" ht="22.5" x14ac:dyDescent="0.2">
      <c r="A174" s="551" t="s">
        <v>805</v>
      </c>
      <c r="B174" s="563">
        <v>4009</v>
      </c>
      <c r="C174" s="1950">
        <v>0</v>
      </c>
      <c r="D174" s="1941">
        <v>0</v>
      </c>
      <c r="E174" s="1942">
        <v>0</v>
      </c>
      <c r="F174" s="1941">
        <v>0</v>
      </c>
      <c r="G174" s="1941">
        <v>0</v>
      </c>
      <c r="H174" s="1942">
        <v>0</v>
      </c>
      <c r="I174" s="1942">
        <v>0</v>
      </c>
      <c r="J174" s="1942">
        <v>0</v>
      </c>
      <c r="K174" s="1942">
        <v>0</v>
      </c>
    </row>
    <row r="175" spans="1:11" ht="13.5" thickBot="1" x14ac:dyDescent="0.25">
      <c r="A175" s="2237" t="s">
        <v>1665</v>
      </c>
      <c r="B175" s="2238"/>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59">
        <f t="shared" si="8"/>
        <v>0</v>
      </c>
    </row>
    <row r="176" spans="1:11" s="457" customFormat="1" ht="15.75" customHeight="1" thickTop="1" x14ac:dyDescent="0.2">
      <c r="A176" s="2241" t="s">
        <v>1664</v>
      </c>
      <c r="B176" s="2242"/>
      <c r="C176" s="575"/>
      <c r="D176" s="576"/>
      <c r="E176" s="577"/>
      <c r="F176" s="578"/>
      <c r="G176" s="578"/>
      <c r="H176" s="578"/>
      <c r="I176" s="578"/>
      <c r="J176" s="578"/>
      <c r="K176" s="578"/>
    </row>
    <row r="177" spans="1:11" ht="12.75" customHeight="1" x14ac:dyDescent="0.2">
      <c r="A177" s="463" t="s">
        <v>1045</v>
      </c>
      <c r="B177" s="469">
        <v>4045</v>
      </c>
      <c r="C177" s="1950">
        <v>0</v>
      </c>
      <c r="D177" s="467"/>
      <c r="E177" s="549"/>
      <c r="F177" s="467"/>
      <c r="G177" s="467"/>
      <c r="H177" s="467"/>
      <c r="I177" s="467"/>
      <c r="J177" s="467"/>
      <c r="K177" s="467"/>
    </row>
    <row r="178" spans="1:11" ht="12.75" customHeight="1" x14ac:dyDescent="0.2">
      <c r="A178" s="463" t="s">
        <v>1046</v>
      </c>
      <c r="B178" s="469">
        <v>4050</v>
      </c>
      <c r="C178" s="1950">
        <v>0</v>
      </c>
      <c r="D178" s="1942">
        <v>0</v>
      </c>
      <c r="E178" s="549"/>
      <c r="F178" s="467"/>
      <c r="G178" s="467"/>
      <c r="H178" s="1942">
        <v>0</v>
      </c>
      <c r="I178" s="467"/>
      <c r="J178" s="467"/>
      <c r="K178" s="467"/>
    </row>
    <row r="179" spans="1:11" ht="12.75" customHeight="1" x14ac:dyDescent="0.2">
      <c r="A179" s="463" t="s">
        <v>260</v>
      </c>
      <c r="B179" s="469">
        <v>4060</v>
      </c>
      <c r="C179" s="509">
        <v>0</v>
      </c>
      <c r="D179" s="1941">
        <v>0</v>
      </c>
      <c r="E179" s="467"/>
      <c r="F179" s="1941">
        <v>0</v>
      </c>
      <c r="G179" s="1941">
        <v>0</v>
      </c>
      <c r="H179" s="1941">
        <v>0</v>
      </c>
      <c r="I179" s="467"/>
      <c r="J179" s="467"/>
      <c r="K179" s="514"/>
    </row>
    <row r="180" spans="1:11" ht="22.5" x14ac:dyDescent="0.2">
      <c r="A180" s="551" t="s">
        <v>786</v>
      </c>
      <c r="B180" s="563">
        <v>4090</v>
      </c>
      <c r="C180" s="1950">
        <v>0</v>
      </c>
      <c r="D180" s="1941">
        <v>0</v>
      </c>
      <c r="E180" s="467"/>
      <c r="F180" s="1941">
        <v>0</v>
      </c>
      <c r="G180" s="1941">
        <v>0</v>
      </c>
      <c r="H180" s="1941">
        <v>0</v>
      </c>
      <c r="I180" s="467"/>
      <c r="J180" s="467"/>
      <c r="K180" s="1941">
        <v>0</v>
      </c>
    </row>
    <row r="181" spans="1:11" ht="13.5" thickBot="1" x14ac:dyDescent="0.25">
      <c r="A181" s="2239" t="s">
        <v>785</v>
      </c>
      <c r="B181" s="2240"/>
      <c r="C181" s="1678">
        <f>SUM(C177:C180)</f>
        <v>0</v>
      </c>
      <c r="D181" s="1678">
        <f>SUM(D177:D180)</f>
        <v>0</v>
      </c>
      <c r="E181" s="467"/>
      <c r="F181" s="1678">
        <f>SUM(F177:F180)</f>
        <v>0</v>
      </c>
      <c r="G181" s="1678">
        <f>SUM(G177:G180)</f>
        <v>0</v>
      </c>
      <c r="H181" s="1678">
        <f>SUM(H177:H180)</f>
        <v>0</v>
      </c>
      <c r="I181" s="467"/>
      <c r="J181" s="467"/>
      <c r="K181" s="1659">
        <f>SUM(K177:K180)</f>
        <v>0</v>
      </c>
    </row>
    <row r="182" spans="1:11" ht="22.5" customHeight="1" thickTop="1" x14ac:dyDescent="0.2">
      <c r="A182" s="2235" t="s">
        <v>1800</v>
      </c>
      <c r="B182" s="2236"/>
      <c r="C182" s="564"/>
      <c r="D182" s="554"/>
      <c r="E182" s="502"/>
      <c r="F182" s="554"/>
      <c r="G182" s="554"/>
      <c r="H182" s="467"/>
      <c r="I182" s="467"/>
      <c r="J182" s="467"/>
      <c r="K182" s="467"/>
    </row>
    <row r="183" spans="1:11" ht="15.75" customHeight="1" x14ac:dyDescent="0.2">
      <c r="A183" s="1574" t="s">
        <v>1602</v>
      </c>
      <c r="B183" s="1575"/>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0">
        <v>0</v>
      </c>
      <c r="D185" s="1941">
        <v>0</v>
      </c>
      <c r="E185" s="549"/>
      <c r="F185" s="1941">
        <v>0</v>
      </c>
      <c r="G185" s="1941">
        <v>0</v>
      </c>
      <c r="H185" s="467"/>
      <c r="I185" s="467"/>
      <c r="J185" s="467"/>
      <c r="K185" s="467"/>
    </row>
    <row r="186" spans="1:11" ht="12.75" customHeight="1" x14ac:dyDescent="0.2">
      <c r="A186" s="463" t="s">
        <v>1606</v>
      </c>
      <c r="B186" s="469">
        <v>4107</v>
      </c>
      <c r="C186" s="1950">
        <v>0</v>
      </c>
      <c r="D186" s="1941">
        <v>0</v>
      </c>
      <c r="E186" s="549"/>
      <c r="F186" s="1941">
        <v>0</v>
      </c>
      <c r="G186" s="1941">
        <v>0</v>
      </c>
      <c r="H186" s="467"/>
      <c r="I186" s="467"/>
      <c r="J186" s="467"/>
      <c r="K186" s="467"/>
    </row>
    <row r="187" spans="1:11" ht="12.75" customHeight="1" x14ac:dyDescent="0.2">
      <c r="A187" s="463" t="s">
        <v>1605</v>
      </c>
      <c r="B187" s="469">
        <v>4199</v>
      </c>
      <c r="C187" s="1950">
        <v>0</v>
      </c>
      <c r="D187" s="1941">
        <v>0</v>
      </c>
      <c r="E187" s="549"/>
      <c r="F187" s="1941">
        <v>0</v>
      </c>
      <c r="G187" s="1941">
        <v>0</v>
      </c>
      <c r="H187" s="467"/>
      <c r="I187" s="467"/>
      <c r="J187" s="467"/>
      <c r="K187" s="467"/>
    </row>
    <row r="188" spans="1:11" ht="12.75" customHeight="1" thickBot="1" x14ac:dyDescent="0.25">
      <c r="A188" s="1679" t="s">
        <v>1607</v>
      </c>
      <c r="B188" s="1680"/>
      <c r="C188" s="1678">
        <f>SUM(C184:C187)</f>
        <v>0</v>
      </c>
      <c r="D188" s="1678">
        <f>SUM(D184:D187)</f>
        <v>0</v>
      </c>
      <c r="E188" s="549"/>
      <c r="F188" s="1678">
        <f>SUM(F184:F187)</f>
        <v>0</v>
      </c>
      <c r="G188" s="1678">
        <f>SUM(G184:G187)</f>
        <v>0</v>
      </c>
      <c r="H188" s="467"/>
      <c r="I188" s="467"/>
      <c r="J188" s="467"/>
      <c r="K188" s="467"/>
    </row>
    <row r="189" spans="1:11" ht="15.75" customHeight="1" thickTop="1" x14ac:dyDescent="0.2">
      <c r="A189" s="1571" t="s">
        <v>455</v>
      </c>
      <c r="B189" s="1576"/>
      <c r="C189" s="541"/>
      <c r="D189" s="554"/>
      <c r="E189" s="549"/>
      <c r="F189" s="541"/>
      <c r="G189" s="541"/>
      <c r="H189" s="467"/>
      <c r="I189" s="467"/>
      <c r="J189" s="467"/>
      <c r="K189" s="467"/>
    </row>
    <row r="190" spans="1:11" x14ac:dyDescent="0.2">
      <c r="A190" s="463" t="s">
        <v>1450</v>
      </c>
      <c r="B190" s="469">
        <v>4200</v>
      </c>
      <c r="C190" s="1942">
        <v>0</v>
      </c>
      <c r="D190" s="467"/>
      <c r="E190" s="549"/>
      <c r="F190" s="541"/>
      <c r="G190" s="1960">
        <v>0</v>
      </c>
      <c r="H190" s="467"/>
      <c r="I190" s="467"/>
      <c r="J190" s="467"/>
      <c r="K190" s="467"/>
    </row>
    <row r="191" spans="1:11" ht="12.75" customHeight="1" x14ac:dyDescent="0.2">
      <c r="A191" s="463" t="s">
        <v>1058</v>
      </c>
      <c r="B191" s="469">
        <v>4210</v>
      </c>
      <c r="C191" s="1941">
        <v>78178</v>
      </c>
      <c r="D191" s="467"/>
      <c r="E191" s="549"/>
      <c r="F191" s="467"/>
      <c r="G191" s="1960">
        <v>0</v>
      </c>
      <c r="H191" s="467"/>
      <c r="I191" s="467"/>
      <c r="J191" s="467"/>
      <c r="K191" s="467"/>
    </row>
    <row r="192" spans="1:11" ht="12.75" customHeight="1" x14ac:dyDescent="0.2">
      <c r="A192" s="463" t="s">
        <v>1047</v>
      </c>
      <c r="B192" s="469">
        <v>4215</v>
      </c>
      <c r="C192" s="1950">
        <v>0</v>
      </c>
      <c r="D192" s="467"/>
      <c r="E192" s="549"/>
      <c r="F192" s="467"/>
      <c r="G192" s="1960">
        <v>0</v>
      </c>
      <c r="H192" s="467"/>
      <c r="I192" s="467"/>
      <c r="J192" s="467"/>
      <c r="K192" s="467"/>
    </row>
    <row r="193" spans="1:11" ht="12.75" customHeight="1" x14ac:dyDescent="0.2">
      <c r="A193" s="463" t="s">
        <v>1059</v>
      </c>
      <c r="B193" s="469">
        <v>4220</v>
      </c>
      <c r="C193" s="1950">
        <v>38110</v>
      </c>
      <c r="D193" s="467"/>
      <c r="E193" s="549"/>
      <c r="F193" s="467"/>
      <c r="G193" s="1960">
        <v>0</v>
      </c>
      <c r="H193" s="467"/>
      <c r="I193" s="467"/>
      <c r="J193" s="467"/>
      <c r="K193" s="467"/>
    </row>
    <row r="194" spans="1:11" ht="12.75" customHeight="1" x14ac:dyDescent="0.2">
      <c r="A194" s="463" t="s">
        <v>1451</v>
      </c>
      <c r="B194" s="469">
        <v>4225</v>
      </c>
      <c r="C194" s="1950">
        <v>0</v>
      </c>
      <c r="D194" s="467"/>
      <c r="E194" s="549"/>
      <c r="F194" s="467"/>
      <c r="G194" s="1960">
        <v>0</v>
      </c>
      <c r="H194" s="467"/>
      <c r="I194" s="467"/>
      <c r="J194" s="467"/>
      <c r="K194" s="467"/>
    </row>
    <row r="195" spans="1:11" ht="12.75" customHeight="1" x14ac:dyDescent="0.2">
      <c r="A195" s="463" t="s">
        <v>1452</v>
      </c>
      <c r="B195" s="469">
        <v>4226</v>
      </c>
      <c r="C195" s="1950">
        <v>0</v>
      </c>
      <c r="D195" s="467"/>
      <c r="E195" s="549"/>
      <c r="F195" s="467"/>
      <c r="G195" s="1960">
        <v>0</v>
      </c>
      <c r="H195" s="467"/>
      <c r="I195" s="467"/>
      <c r="J195" s="467"/>
      <c r="K195" s="467"/>
    </row>
    <row r="196" spans="1:11" ht="12.75" customHeight="1" x14ac:dyDescent="0.2">
      <c r="A196" s="463" t="s">
        <v>792</v>
      </c>
      <c r="B196" s="469">
        <v>4240</v>
      </c>
      <c r="C196" s="1945">
        <v>0</v>
      </c>
      <c r="D196" s="467"/>
      <c r="E196" s="549"/>
      <c r="F196" s="467"/>
      <c r="G196" s="566"/>
      <c r="H196" s="467"/>
      <c r="I196" s="467"/>
      <c r="J196" s="467"/>
      <c r="K196" s="467"/>
    </row>
    <row r="197" spans="1:11" ht="12.75" customHeight="1" x14ac:dyDescent="0.2">
      <c r="A197" s="463" t="s">
        <v>71</v>
      </c>
      <c r="B197" s="469">
        <v>4299</v>
      </c>
      <c r="C197" s="1950">
        <v>0</v>
      </c>
      <c r="D197" s="467"/>
      <c r="E197" s="549"/>
      <c r="F197" s="467"/>
      <c r="G197" s="1960">
        <v>0</v>
      </c>
      <c r="H197" s="467"/>
      <c r="I197" s="467"/>
      <c r="J197" s="467"/>
      <c r="K197" s="467"/>
    </row>
    <row r="198" spans="1:11" ht="12.75" customHeight="1" thickBot="1" x14ac:dyDescent="0.25">
      <c r="A198" s="1679" t="s">
        <v>548</v>
      </c>
      <c r="B198" s="1680"/>
      <c r="C198" s="1659">
        <f>SUM(C190:C197)</f>
        <v>116288</v>
      </c>
      <c r="D198" s="467"/>
      <c r="E198" s="467"/>
      <c r="F198" s="467"/>
      <c r="G198" s="1659">
        <f>SUM(G190:G197)</f>
        <v>0</v>
      </c>
      <c r="H198" s="467"/>
      <c r="I198" s="467"/>
      <c r="J198" s="467"/>
      <c r="K198" s="467"/>
    </row>
    <row r="199" spans="1:11" ht="15.75" customHeight="1" thickTop="1" x14ac:dyDescent="0.2">
      <c r="A199" s="1571" t="s">
        <v>1138</v>
      </c>
      <c r="B199" s="1576"/>
      <c r="C199" s="541"/>
      <c r="D199" s="467"/>
      <c r="E199" s="467"/>
      <c r="F199" s="467"/>
      <c r="G199" s="467"/>
      <c r="H199" s="467"/>
      <c r="I199" s="467"/>
      <c r="J199" s="467"/>
      <c r="K199" s="467"/>
    </row>
    <row r="200" spans="1:11" ht="12.75" customHeight="1" x14ac:dyDescent="0.2">
      <c r="A200" s="463" t="s">
        <v>918</v>
      </c>
      <c r="B200" s="469">
        <v>4300</v>
      </c>
      <c r="C200" s="1941">
        <v>0</v>
      </c>
      <c r="D200" s="1941">
        <v>0</v>
      </c>
      <c r="E200" s="467"/>
      <c r="F200" s="1941">
        <v>0</v>
      </c>
      <c r="G200" s="1941">
        <v>0</v>
      </c>
      <c r="H200" s="467"/>
      <c r="I200" s="467"/>
      <c r="J200" s="467"/>
      <c r="K200" s="467"/>
    </row>
    <row r="201" spans="1:11" ht="12.75" customHeight="1" x14ac:dyDescent="0.2">
      <c r="A201" s="463" t="s">
        <v>919</v>
      </c>
      <c r="B201" s="469">
        <v>4305</v>
      </c>
      <c r="C201" s="1950">
        <v>0</v>
      </c>
      <c r="D201" s="1941">
        <v>0</v>
      </c>
      <c r="E201" s="467"/>
      <c r="F201" s="1941">
        <v>0</v>
      </c>
      <c r="G201" s="1941">
        <v>0</v>
      </c>
      <c r="H201" s="467"/>
      <c r="I201" s="467"/>
      <c r="J201" s="467"/>
      <c r="K201" s="467"/>
    </row>
    <row r="202" spans="1:11" ht="12.75" customHeight="1" x14ac:dyDescent="0.2">
      <c r="A202" s="463" t="s">
        <v>1031</v>
      </c>
      <c r="B202" s="469">
        <v>4340</v>
      </c>
      <c r="C202" s="1950">
        <v>0</v>
      </c>
      <c r="D202" s="1941">
        <v>0</v>
      </c>
      <c r="E202" s="467"/>
      <c r="F202" s="1941">
        <v>0</v>
      </c>
      <c r="G202" s="1941">
        <v>0</v>
      </c>
      <c r="H202" s="467"/>
      <c r="I202" s="467"/>
      <c r="J202" s="467"/>
      <c r="K202" s="467"/>
    </row>
    <row r="203" spans="1:11" ht="12.75" customHeight="1" x14ac:dyDescent="0.2">
      <c r="A203" s="463" t="s">
        <v>72</v>
      </c>
      <c r="B203" s="469">
        <v>4399</v>
      </c>
      <c r="C203" s="1950">
        <v>0</v>
      </c>
      <c r="D203" s="1941">
        <v>0</v>
      </c>
      <c r="E203" s="467"/>
      <c r="F203" s="1941">
        <v>0</v>
      </c>
      <c r="G203" s="1941">
        <v>0</v>
      </c>
      <c r="H203" s="467"/>
      <c r="I203" s="467"/>
      <c r="J203" s="467"/>
      <c r="K203" s="467"/>
    </row>
    <row r="204" spans="1:11" ht="12.75" customHeight="1" thickBot="1" x14ac:dyDescent="0.25">
      <c r="A204" s="1679" t="s">
        <v>400</v>
      </c>
      <c r="B204" s="1680"/>
      <c r="C204" s="1678">
        <f>SUM(C200:C203)</f>
        <v>0</v>
      </c>
      <c r="D204" s="1678">
        <f>SUM(D200:D203)</f>
        <v>0</v>
      </c>
      <c r="E204" s="467"/>
      <c r="F204" s="1678">
        <f>SUM(F200:F203)</f>
        <v>0</v>
      </c>
      <c r="G204" s="1678">
        <f>SUM(G200:G203)</f>
        <v>0</v>
      </c>
      <c r="H204" s="467"/>
      <c r="I204" s="467"/>
      <c r="J204" s="467"/>
      <c r="K204" s="467"/>
    </row>
    <row r="205" spans="1:11" ht="15.75" customHeight="1" thickTop="1" x14ac:dyDescent="0.2">
      <c r="A205" s="1571" t="s">
        <v>1139</v>
      </c>
      <c r="B205" s="1576"/>
      <c r="C205" s="541"/>
      <c r="D205" s="541"/>
      <c r="E205" s="467"/>
      <c r="F205" s="541"/>
      <c r="G205" s="541"/>
      <c r="H205" s="467"/>
      <c r="I205" s="467"/>
      <c r="J205" s="467"/>
      <c r="K205" s="467"/>
    </row>
    <row r="206" spans="1:11" ht="12.75" customHeight="1" x14ac:dyDescent="0.2">
      <c r="A206" s="463" t="s">
        <v>759</v>
      </c>
      <c r="B206" s="469">
        <v>4400</v>
      </c>
      <c r="C206" s="1950">
        <v>0</v>
      </c>
      <c r="D206" s="1941">
        <v>0</v>
      </c>
      <c r="E206" s="467"/>
      <c r="F206" s="1941">
        <v>0</v>
      </c>
      <c r="G206" s="1941">
        <v>0</v>
      </c>
      <c r="H206" s="467"/>
      <c r="I206" s="467"/>
      <c r="J206" s="467"/>
      <c r="K206" s="467"/>
    </row>
    <row r="207" spans="1:11" ht="12.75" customHeight="1" x14ac:dyDescent="0.2">
      <c r="A207" s="463" t="s">
        <v>1453</v>
      </c>
      <c r="B207" s="469">
        <v>4421</v>
      </c>
      <c r="C207" s="1950">
        <v>0</v>
      </c>
      <c r="D207" s="1941">
        <v>0</v>
      </c>
      <c r="E207" s="467"/>
      <c r="F207" s="1941">
        <v>0</v>
      </c>
      <c r="G207" s="1941">
        <v>0</v>
      </c>
      <c r="H207" s="467"/>
      <c r="I207" s="467"/>
      <c r="J207" s="467"/>
      <c r="K207" s="467"/>
    </row>
    <row r="208" spans="1:11" ht="12.75" customHeight="1" x14ac:dyDescent="0.2">
      <c r="A208" s="463" t="s">
        <v>73</v>
      </c>
      <c r="B208" s="469">
        <v>4499</v>
      </c>
      <c r="C208" s="1950">
        <v>0</v>
      </c>
      <c r="D208" s="1941">
        <v>0</v>
      </c>
      <c r="E208" s="467"/>
      <c r="F208" s="1941">
        <v>0</v>
      </c>
      <c r="G208" s="1941">
        <v>0</v>
      </c>
      <c r="H208" s="467"/>
      <c r="I208" s="467"/>
      <c r="J208" s="467"/>
      <c r="K208" s="467"/>
    </row>
    <row r="209" spans="1:11" ht="12.75" customHeight="1" thickBot="1" x14ac:dyDescent="0.25">
      <c r="A209" s="1679" t="s">
        <v>889</v>
      </c>
      <c r="B209" s="1680"/>
      <c r="C209" s="1678">
        <f>SUM(C206:C208)</f>
        <v>0</v>
      </c>
      <c r="D209" s="1678">
        <f>SUM(D206:D208)</f>
        <v>0</v>
      </c>
      <c r="E209" s="467" t="s">
        <v>1169</v>
      </c>
      <c r="F209" s="1678">
        <f>SUM(F206:F208)</f>
        <v>0</v>
      </c>
      <c r="G209" s="1678">
        <f>SUM(G206:G208)</f>
        <v>0</v>
      </c>
      <c r="H209" s="467"/>
      <c r="I209" s="467"/>
      <c r="J209" s="467"/>
      <c r="K209" s="467"/>
    </row>
    <row r="210" spans="1:11" ht="15.75" customHeight="1" thickTop="1" x14ac:dyDescent="0.2">
      <c r="A210" s="1571" t="s">
        <v>1092</v>
      </c>
      <c r="B210" s="1576"/>
      <c r="C210" s="541"/>
      <c r="D210" s="541"/>
      <c r="E210" s="467"/>
      <c r="F210" s="541"/>
      <c r="G210" s="541"/>
      <c r="H210" s="467"/>
      <c r="I210" s="467"/>
      <c r="J210" s="467"/>
      <c r="K210" s="467"/>
    </row>
    <row r="211" spans="1:11" ht="12.75" customHeight="1" x14ac:dyDescent="0.2">
      <c r="A211" s="463" t="s">
        <v>1052</v>
      </c>
      <c r="B211" s="469">
        <v>4600</v>
      </c>
      <c r="C211" s="1950">
        <v>0</v>
      </c>
      <c r="D211" s="1941">
        <v>0</v>
      </c>
      <c r="E211" s="467"/>
      <c r="F211" s="1941">
        <v>0</v>
      </c>
      <c r="G211" s="1941">
        <v>0</v>
      </c>
      <c r="H211" s="467"/>
      <c r="I211" s="467"/>
      <c r="J211" s="467"/>
      <c r="K211" s="467"/>
    </row>
    <row r="212" spans="1:11" ht="12.75" customHeight="1" x14ac:dyDescent="0.2">
      <c r="A212" s="463" t="s">
        <v>1053</v>
      </c>
      <c r="B212" s="469">
        <v>4605</v>
      </c>
      <c r="C212" s="1950">
        <v>0</v>
      </c>
      <c r="D212" s="1941">
        <v>0</v>
      </c>
      <c r="E212" s="467"/>
      <c r="F212" s="1941">
        <v>0</v>
      </c>
      <c r="G212" s="1941">
        <v>0</v>
      </c>
      <c r="H212" s="467"/>
      <c r="I212" s="467"/>
      <c r="J212" s="467"/>
      <c r="K212" s="467"/>
    </row>
    <row r="213" spans="1:11" ht="12.75" customHeight="1" x14ac:dyDescent="0.2">
      <c r="A213" s="463" t="s">
        <v>1454</v>
      </c>
      <c r="B213" s="545">
        <v>4620</v>
      </c>
      <c r="C213" s="1950">
        <v>1419382</v>
      </c>
      <c r="D213" s="1941">
        <v>0</v>
      </c>
      <c r="E213" s="467"/>
      <c r="F213" s="1941">
        <v>0</v>
      </c>
      <c r="G213" s="1941">
        <v>0</v>
      </c>
      <c r="H213" s="467"/>
      <c r="I213" s="467"/>
      <c r="J213" s="467"/>
      <c r="K213" s="467"/>
    </row>
    <row r="214" spans="1:11" ht="12.75" customHeight="1" x14ac:dyDescent="0.2">
      <c r="A214" s="463" t="s">
        <v>1054</v>
      </c>
      <c r="B214" s="469">
        <v>4625</v>
      </c>
      <c r="C214" s="1950">
        <v>0</v>
      </c>
      <c r="D214" s="1941">
        <v>0</v>
      </c>
      <c r="E214" s="467"/>
      <c r="F214" s="1941">
        <v>0</v>
      </c>
      <c r="G214" s="1941">
        <v>0</v>
      </c>
      <c r="H214" s="467"/>
      <c r="I214" s="467"/>
      <c r="J214" s="467"/>
      <c r="K214" s="467"/>
    </row>
    <row r="215" spans="1:11" ht="12.75" customHeight="1" x14ac:dyDescent="0.2">
      <c r="A215" s="463" t="s">
        <v>1055</v>
      </c>
      <c r="B215" s="469">
        <v>4630</v>
      </c>
      <c r="C215" s="1950">
        <v>0</v>
      </c>
      <c r="D215" s="1941">
        <v>0</v>
      </c>
      <c r="E215" s="467"/>
      <c r="F215" s="1941">
        <v>0</v>
      </c>
      <c r="G215" s="1941">
        <v>0</v>
      </c>
      <c r="H215" s="467"/>
      <c r="I215" s="467"/>
      <c r="J215" s="467"/>
      <c r="K215" s="467"/>
    </row>
    <row r="216" spans="1:11" ht="12.75" customHeight="1" x14ac:dyDescent="0.2">
      <c r="A216" s="1472" t="s">
        <v>74</v>
      </c>
      <c r="B216" s="545">
        <v>4699</v>
      </c>
      <c r="C216" s="1950">
        <v>0</v>
      </c>
      <c r="D216" s="1941">
        <v>0</v>
      </c>
      <c r="E216" s="467"/>
      <c r="F216" s="1941">
        <v>0</v>
      </c>
      <c r="G216" s="1941">
        <v>0</v>
      </c>
      <c r="H216" s="467"/>
      <c r="I216" s="467"/>
      <c r="J216" s="467"/>
      <c r="K216" s="467"/>
    </row>
    <row r="217" spans="1:11" ht="12.75" customHeight="1" thickBot="1" x14ac:dyDescent="0.25">
      <c r="A217" s="1679" t="s">
        <v>447</v>
      </c>
      <c r="B217" s="1680"/>
      <c r="C217" s="1678">
        <f>SUM(C211:C216)</f>
        <v>1419382</v>
      </c>
      <c r="D217" s="1678">
        <f>SUM(D211:D216)</f>
        <v>0</v>
      </c>
      <c r="E217" s="467"/>
      <c r="F217" s="1678">
        <f>SUM(F211:F216)</f>
        <v>0</v>
      </c>
      <c r="G217" s="1678">
        <f>SUM(G211:G216)</f>
        <v>0</v>
      </c>
      <c r="H217" s="467"/>
      <c r="I217" s="467"/>
      <c r="J217" s="467"/>
      <c r="K217" s="467"/>
    </row>
    <row r="218" spans="1:11" ht="15.75" customHeight="1" thickTop="1" x14ac:dyDescent="0.2">
      <c r="A218" s="1571" t="s">
        <v>1093</v>
      </c>
      <c r="B218" s="1576"/>
      <c r="C218" s="541"/>
      <c r="D218" s="541"/>
      <c r="E218" s="467"/>
      <c r="F218" s="541"/>
      <c r="G218" s="541"/>
      <c r="H218" s="467"/>
      <c r="I218" s="467"/>
      <c r="J218" s="467"/>
      <c r="K218" s="467"/>
    </row>
    <row r="219" spans="1:11" ht="12.75" customHeight="1" x14ac:dyDescent="0.2">
      <c r="A219" s="463" t="s">
        <v>787</v>
      </c>
      <c r="B219" s="469">
        <v>4770</v>
      </c>
      <c r="C219" s="1950">
        <v>0</v>
      </c>
      <c r="D219" s="1941">
        <v>0</v>
      </c>
      <c r="E219" s="467"/>
      <c r="F219" s="467"/>
      <c r="G219" s="1941">
        <v>0</v>
      </c>
      <c r="H219" s="467"/>
      <c r="I219" s="467"/>
      <c r="J219" s="467"/>
      <c r="K219" s="467"/>
    </row>
    <row r="220" spans="1:11" ht="12.75" customHeight="1" x14ac:dyDescent="0.2">
      <c r="A220" s="463" t="s">
        <v>67</v>
      </c>
      <c r="B220" s="469">
        <v>4799</v>
      </c>
      <c r="C220" s="1950">
        <v>0</v>
      </c>
      <c r="D220" s="1941">
        <v>0</v>
      </c>
      <c r="E220" s="467"/>
      <c r="F220" s="467"/>
      <c r="G220" s="1941">
        <v>0</v>
      </c>
      <c r="H220" s="467"/>
      <c r="I220" s="467"/>
      <c r="J220" s="467"/>
      <c r="K220" s="467"/>
    </row>
    <row r="221" spans="1:11" ht="12.75" customHeight="1" thickBot="1" x14ac:dyDescent="0.25">
      <c r="A221" s="1694" t="s">
        <v>1085</v>
      </c>
      <c r="B221" s="1695"/>
      <c r="C221" s="1678">
        <f>SUM(C219:C220)</f>
        <v>0</v>
      </c>
      <c r="D221" s="1678">
        <f>SUM(D219:D220)</f>
        <v>0</v>
      </c>
      <c r="E221" s="467"/>
      <c r="F221" s="467"/>
      <c r="G221" s="1678">
        <f>SUM(G219:G220)</f>
        <v>0</v>
      </c>
      <c r="H221" s="467"/>
      <c r="I221" s="467"/>
      <c r="J221" s="467"/>
      <c r="K221" s="467"/>
    </row>
    <row r="222" spans="1:11" ht="12.75" customHeight="1" thickTop="1" thickBot="1" x14ac:dyDescent="0.25">
      <c r="A222" s="486" t="s">
        <v>757</v>
      </c>
      <c r="B222" s="485">
        <v>4810</v>
      </c>
      <c r="C222" s="1952">
        <v>0</v>
      </c>
      <c r="D222" s="1953">
        <v>0</v>
      </c>
      <c r="E222" s="467"/>
      <c r="F222" s="467"/>
      <c r="G222" s="561">
        <v>0</v>
      </c>
      <c r="H222" s="467"/>
      <c r="I222" s="467"/>
      <c r="J222" s="467"/>
      <c r="K222" s="467"/>
    </row>
    <row r="223" spans="1:11" ht="12.75" customHeight="1" thickTop="1" x14ac:dyDescent="0.2">
      <c r="A223" s="486" t="s">
        <v>350</v>
      </c>
      <c r="B223" s="485">
        <v>4850</v>
      </c>
      <c r="C223" s="1945">
        <v>0</v>
      </c>
      <c r="D223" s="1942">
        <v>0</v>
      </c>
      <c r="E223" s="1942">
        <v>0</v>
      </c>
      <c r="F223" s="1942">
        <v>0</v>
      </c>
      <c r="G223" s="1942">
        <v>0</v>
      </c>
      <c r="H223" s="1942">
        <v>0</v>
      </c>
      <c r="I223" s="467"/>
      <c r="J223" s="1942">
        <v>0</v>
      </c>
      <c r="K223" s="1942">
        <v>0</v>
      </c>
    </row>
    <row r="224" spans="1:11" ht="12.75" customHeight="1" x14ac:dyDescent="0.2">
      <c r="A224" s="486" t="s">
        <v>351</v>
      </c>
      <c r="B224" s="485">
        <v>4851</v>
      </c>
      <c r="C224" s="1945">
        <v>0</v>
      </c>
      <c r="D224" s="1942">
        <v>0</v>
      </c>
      <c r="E224" s="467"/>
      <c r="F224" s="1943">
        <v>0</v>
      </c>
      <c r="G224" s="1942">
        <v>0</v>
      </c>
      <c r="H224" s="467"/>
      <c r="I224" s="467"/>
      <c r="J224" s="467"/>
      <c r="K224" s="467"/>
    </row>
    <row r="225" spans="1:11" ht="12.75" customHeight="1" x14ac:dyDescent="0.2">
      <c r="A225" s="486" t="s">
        <v>352</v>
      </c>
      <c r="B225" s="485">
        <v>4852</v>
      </c>
      <c r="C225" s="1945">
        <v>0</v>
      </c>
      <c r="D225" s="1942">
        <v>0</v>
      </c>
      <c r="E225" s="1942">
        <v>0</v>
      </c>
      <c r="F225" s="1942">
        <v>0</v>
      </c>
      <c r="G225" s="1942">
        <v>0</v>
      </c>
      <c r="H225" s="1942">
        <v>0</v>
      </c>
      <c r="I225" s="467"/>
      <c r="J225" s="1942">
        <v>0</v>
      </c>
      <c r="K225" s="1942">
        <v>0</v>
      </c>
    </row>
    <row r="226" spans="1:11" ht="12.75" customHeight="1" x14ac:dyDescent="0.2">
      <c r="A226" s="486" t="s">
        <v>353</v>
      </c>
      <c r="B226" s="485">
        <v>4853</v>
      </c>
      <c r="C226" s="1945">
        <v>0</v>
      </c>
      <c r="D226" s="1942">
        <v>0</v>
      </c>
      <c r="E226" s="1942">
        <v>0</v>
      </c>
      <c r="F226" s="1942">
        <v>0</v>
      </c>
      <c r="G226" s="1942">
        <v>0</v>
      </c>
      <c r="H226" s="1942">
        <v>0</v>
      </c>
      <c r="I226" s="467"/>
      <c r="J226" s="1942">
        <v>0</v>
      </c>
      <c r="K226" s="1942">
        <v>0</v>
      </c>
    </row>
    <row r="227" spans="1:11" ht="12.75" customHeight="1" x14ac:dyDescent="0.2">
      <c r="A227" s="486" t="s">
        <v>354</v>
      </c>
      <c r="B227" s="485">
        <v>4854</v>
      </c>
      <c r="C227" s="1945">
        <v>0</v>
      </c>
      <c r="D227" s="1942">
        <v>0</v>
      </c>
      <c r="E227" s="1942">
        <v>0</v>
      </c>
      <c r="F227" s="1942">
        <v>0</v>
      </c>
      <c r="G227" s="1942">
        <v>0</v>
      </c>
      <c r="H227" s="1942">
        <v>0</v>
      </c>
      <c r="I227" s="467"/>
      <c r="J227" s="1942">
        <v>0</v>
      </c>
      <c r="K227" s="1942">
        <v>0</v>
      </c>
    </row>
    <row r="228" spans="1:11" ht="12.75" customHeight="1" x14ac:dyDescent="0.2">
      <c r="A228" s="486" t="s">
        <v>464</v>
      </c>
      <c r="B228" s="485">
        <v>4855</v>
      </c>
      <c r="C228" s="1945">
        <v>0</v>
      </c>
      <c r="D228" s="1942">
        <v>0</v>
      </c>
      <c r="E228" s="1942">
        <v>0</v>
      </c>
      <c r="F228" s="1942">
        <v>0</v>
      </c>
      <c r="G228" s="1942">
        <v>0</v>
      </c>
      <c r="H228" s="1942">
        <v>0</v>
      </c>
      <c r="I228" s="467"/>
      <c r="J228" s="1942">
        <v>0</v>
      </c>
      <c r="K228" s="1942">
        <v>0</v>
      </c>
    </row>
    <row r="229" spans="1:11" ht="12.75" customHeight="1" x14ac:dyDescent="0.2">
      <c r="A229" s="486" t="s">
        <v>355</v>
      </c>
      <c r="B229" s="485">
        <v>4856</v>
      </c>
      <c r="C229" s="1945">
        <v>0</v>
      </c>
      <c r="D229" s="1942">
        <v>0</v>
      </c>
      <c r="E229" s="1942">
        <v>0</v>
      </c>
      <c r="F229" s="1942">
        <v>0</v>
      </c>
      <c r="G229" s="1942">
        <v>0</v>
      </c>
      <c r="H229" s="1942">
        <v>0</v>
      </c>
      <c r="I229" s="467"/>
      <c r="J229" s="1942">
        <v>0</v>
      </c>
      <c r="K229" s="1942">
        <v>0</v>
      </c>
    </row>
    <row r="230" spans="1:11" ht="12.75" customHeight="1" x14ac:dyDescent="0.2">
      <c r="A230" s="486" t="s">
        <v>356</v>
      </c>
      <c r="B230" s="485">
        <v>4857</v>
      </c>
      <c r="C230" s="1945">
        <v>0</v>
      </c>
      <c r="D230" s="1942">
        <v>0</v>
      </c>
      <c r="E230" s="1942">
        <v>0</v>
      </c>
      <c r="F230" s="1942">
        <v>0</v>
      </c>
      <c r="G230" s="1942">
        <v>0</v>
      </c>
      <c r="H230" s="1942">
        <v>0</v>
      </c>
      <c r="I230" s="467"/>
      <c r="J230" s="1942">
        <v>0</v>
      </c>
      <c r="K230" s="1942">
        <v>0</v>
      </c>
    </row>
    <row r="231" spans="1:11" ht="12.75" customHeight="1" x14ac:dyDescent="0.2">
      <c r="A231" s="486" t="s">
        <v>357</v>
      </c>
      <c r="B231" s="485">
        <v>4860</v>
      </c>
      <c r="C231" s="1945">
        <v>0</v>
      </c>
      <c r="D231" s="1942">
        <v>0</v>
      </c>
      <c r="E231" s="1942">
        <v>0</v>
      </c>
      <c r="F231" s="1942">
        <v>0</v>
      </c>
      <c r="G231" s="1942">
        <v>0</v>
      </c>
      <c r="H231" s="1942">
        <v>0</v>
      </c>
      <c r="I231" s="467"/>
      <c r="J231" s="1942">
        <v>0</v>
      </c>
      <c r="K231" s="1942">
        <v>0</v>
      </c>
    </row>
    <row r="232" spans="1:11" ht="12.75" customHeight="1" x14ac:dyDescent="0.2">
      <c r="A232" s="486" t="s">
        <v>358</v>
      </c>
      <c r="B232" s="485">
        <v>4861</v>
      </c>
      <c r="C232" s="1945">
        <v>0</v>
      </c>
      <c r="D232" s="1942">
        <v>0</v>
      </c>
      <c r="E232" s="1942">
        <v>0</v>
      </c>
      <c r="F232" s="1942">
        <v>0</v>
      </c>
      <c r="G232" s="1942">
        <v>0</v>
      </c>
      <c r="H232" s="1942">
        <v>0</v>
      </c>
      <c r="I232" s="467"/>
      <c r="J232" s="1942">
        <v>0</v>
      </c>
      <c r="K232" s="1942">
        <v>0</v>
      </c>
    </row>
    <row r="233" spans="1:11" ht="12.75" customHeight="1" x14ac:dyDescent="0.2">
      <c r="A233" s="486" t="s">
        <v>359</v>
      </c>
      <c r="B233" s="485">
        <v>4862</v>
      </c>
      <c r="C233" s="1945">
        <v>0</v>
      </c>
      <c r="D233" s="1942">
        <v>0</v>
      </c>
      <c r="E233" s="472"/>
      <c r="F233" s="1942">
        <v>0</v>
      </c>
      <c r="G233" s="1942">
        <v>0</v>
      </c>
      <c r="H233" s="472"/>
      <c r="I233" s="467"/>
      <c r="J233" s="472"/>
      <c r="K233" s="472"/>
    </row>
    <row r="234" spans="1:11" ht="12.75" customHeight="1" x14ac:dyDescent="0.2">
      <c r="A234" s="486" t="s">
        <v>360</v>
      </c>
      <c r="B234" s="485">
        <v>4863</v>
      </c>
      <c r="C234" s="1945">
        <v>0</v>
      </c>
      <c r="D234" s="1942">
        <v>0</v>
      </c>
      <c r="E234" s="467"/>
      <c r="F234" s="472"/>
      <c r="G234" s="519"/>
      <c r="H234" s="467"/>
      <c r="I234" s="467"/>
      <c r="J234" s="467"/>
      <c r="K234" s="467"/>
    </row>
    <row r="235" spans="1:11" ht="12.75" customHeight="1" x14ac:dyDescent="0.2">
      <c r="A235" s="486" t="s">
        <v>469</v>
      </c>
      <c r="B235" s="485">
        <v>4864</v>
      </c>
      <c r="C235" s="1945">
        <v>0</v>
      </c>
      <c r="D235" s="1942">
        <v>0</v>
      </c>
      <c r="E235" s="1942">
        <v>0</v>
      </c>
      <c r="F235" s="1942">
        <v>0</v>
      </c>
      <c r="G235" s="1942">
        <v>0</v>
      </c>
      <c r="H235" s="1942">
        <v>0</v>
      </c>
      <c r="I235" s="467"/>
      <c r="J235" s="1942">
        <v>0</v>
      </c>
      <c r="K235" s="1942">
        <v>0</v>
      </c>
    </row>
    <row r="236" spans="1:11" ht="12.75" customHeight="1" x14ac:dyDescent="0.2">
      <c r="A236" s="486" t="s">
        <v>470</v>
      </c>
      <c r="B236" s="485">
        <v>4865</v>
      </c>
      <c r="C236" s="1945">
        <v>0</v>
      </c>
      <c r="D236" s="1942">
        <v>0</v>
      </c>
      <c r="E236" s="1942">
        <v>0</v>
      </c>
      <c r="F236" s="1942">
        <v>0</v>
      </c>
      <c r="G236" s="1942">
        <v>0</v>
      </c>
      <c r="H236" s="1942">
        <v>0</v>
      </c>
      <c r="I236" s="467"/>
      <c r="J236" s="1942">
        <v>0</v>
      </c>
      <c r="K236" s="1942">
        <v>0</v>
      </c>
    </row>
    <row r="237" spans="1:11" ht="12.75" customHeight="1" x14ac:dyDescent="0.2">
      <c r="A237" s="486" t="s">
        <v>468</v>
      </c>
      <c r="B237" s="485">
        <v>4866</v>
      </c>
      <c r="C237" s="1945">
        <v>0</v>
      </c>
      <c r="D237" s="1942">
        <v>0</v>
      </c>
      <c r="E237" s="1942">
        <v>0</v>
      </c>
      <c r="F237" s="1942">
        <v>0</v>
      </c>
      <c r="G237" s="1942">
        <v>0</v>
      </c>
      <c r="H237" s="1942">
        <v>0</v>
      </c>
      <c r="I237" s="467"/>
      <c r="J237" s="1942">
        <v>0</v>
      </c>
      <c r="K237" s="1942">
        <v>0</v>
      </c>
    </row>
    <row r="238" spans="1:11" ht="12.75" customHeight="1" x14ac:dyDescent="0.2">
      <c r="A238" s="486" t="s">
        <v>467</v>
      </c>
      <c r="B238" s="485">
        <v>4867</v>
      </c>
      <c r="C238" s="1945">
        <v>0</v>
      </c>
      <c r="D238" s="1942">
        <v>0</v>
      </c>
      <c r="E238" s="1942">
        <v>0</v>
      </c>
      <c r="F238" s="1942">
        <v>0</v>
      </c>
      <c r="G238" s="1942">
        <v>0</v>
      </c>
      <c r="H238" s="1942">
        <v>0</v>
      </c>
      <c r="I238" s="467"/>
      <c r="J238" s="1942">
        <v>0</v>
      </c>
      <c r="K238" s="1942">
        <v>0</v>
      </c>
    </row>
    <row r="239" spans="1:11" ht="12.75" customHeight="1" x14ac:dyDescent="0.2">
      <c r="A239" s="486" t="s">
        <v>466</v>
      </c>
      <c r="B239" s="485">
        <v>4868</v>
      </c>
      <c r="C239" s="1945">
        <v>0</v>
      </c>
      <c r="D239" s="1942">
        <v>0</v>
      </c>
      <c r="E239" s="1942">
        <v>0</v>
      </c>
      <c r="F239" s="1942">
        <v>0</v>
      </c>
      <c r="G239" s="1942">
        <v>0</v>
      </c>
      <c r="H239" s="1942">
        <v>0</v>
      </c>
      <c r="I239" s="467"/>
      <c r="J239" s="1942">
        <v>0</v>
      </c>
      <c r="K239" s="1942">
        <v>0</v>
      </c>
    </row>
    <row r="240" spans="1:11" ht="12.75" customHeight="1" x14ac:dyDescent="0.2">
      <c r="A240" s="486" t="s">
        <v>465</v>
      </c>
      <c r="B240" s="485">
        <v>4869</v>
      </c>
      <c r="C240" s="1945">
        <v>0</v>
      </c>
      <c r="D240" s="1942">
        <v>0</v>
      </c>
      <c r="E240" s="1942">
        <v>0</v>
      </c>
      <c r="F240" s="1942">
        <v>0</v>
      </c>
      <c r="G240" s="1942">
        <v>0</v>
      </c>
      <c r="H240" s="1942">
        <v>0</v>
      </c>
      <c r="I240" s="467"/>
      <c r="J240" s="1942">
        <v>0</v>
      </c>
      <c r="K240" s="1942">
        <v>0</v>
      </c>
    </row>
    <row r="241" spans="1:11" ht="12.75" customHeight="1" x14ac:dyDescent="0.2">
      <c r="A241" s="486" t="s">
        <v>1128</v>
      </c>
      <c r="B241" s="485">
        <v>4870</v>
      </c>
      <c r="C241" s="1945">
        <v>0</v>
      </c>
      <c r="D241" s="1942">
        <v>0</v>
      </c>
      <c r="E241" s="1942">
        <v>0</v>
      </c>
      <c r="F241" s="1942">
        <v>0</v>
      </c>
      <c r="G241" s="1942">
        <v>0</v>
      </c>
      <c r="H241" s="1942">
        <v>0</v>
      </c>
      <c r="I241" s="467"/>
      <c r="J241" s="1942">
        <v>0</v>
      </c>
      <c r="K241" s="1942">
        <v>0</v>
      </c>
    </row>
    <row r="242" spans="1:11" ht="12.75" customHeight="1" x14ac:dyDescent="0.2">
      <c r="A242" s="486" t="s">
        <v>788</v>
      </c>
      <c r="B242" s="485">
        <v>4871</v>
      </c>
      <c r="C242" s="1945">
        <v>0</v>
      </c>
      <c r="D242" s="1942">
        <v>0</v>
      </c>
      <c r="E242" s="1942">
        <v>0</v>
      </c>
      <c r="F242" s="1942">
        <v>0</v>
      </c>
      <c r="G242" s="1942">
        <v>0</v>
      </c>
      <c r="H242" s="1942">
        <v>0</v>
      </c>
      <c r="I242" s="467"/>
      <c r="J242" s="1942">
        <v>0</v>
      </c>
      <c r="K242" s="1942">
        <v>0</v>
      </c>
    </row>
    <row r="243" spans="1:11" ht="12.75" customHeight="1" x14ac:dyDescent="0.2">
      <c r="A243" s="486" t="s">
        <v>789</v>
      </c>
      <c r="B243" s="485">
        <v>4872</v>
      </c>
      <c r="C243" s="1945">
        <v>0</v>
      </c>
      <c r="D243" s="1942">
        <v>0</v>
      </c>
      <c r="E243" s="1942">
        <v>0</v>
      </c>
      <c r="F243" s="1942">
        <v>0</v>
      </c>
      <c r="G243" s="1942">
        <v>0</v>
      </c>
      <c r="H243" s="1942">
        <v>0</v>
      </c>
      <c r="I243" s="467"/>
      <c r="J243" s="1942">
        <v>0</v>
      </c>
      <c r="K243" s="1942">
        <v>0</v>
      </c>
    </row>
    <row r="244" spans="1:11" ht="12.75" customHeight="1" x14ac:dyDescent="0.2">
      <c r="A244" s="486" t="s">
        <v>790</v>
      </c>
      <c r="B244" s="485">
        <v>4873</v>
      </c>
      <c r="C244" s="1945">
        <v>0</v>
      </c>
      <c r="D244" s="1942">
        <v>0</v>
      </c>
      <c r="E244" s="1942">
        <v>0</v>
      </c>
      <c r="F244" s="1942">
        <v>0</v>
      </c>
      <c r="G244" s="1942">
        <v>0</v>
      </c>
      <c r="H244" s="1942">
        <v>0</v>
      </c>
      <c r="I244" s="467"/>
      <c r="J244" s="1942">
        <v>0</v>
      </c>
      <c r="K244" s="1942">
        <v>0</v>
      </c>
    </row>
    <row r="245" spans="1:11" ht="12.75" customHeight="1" x14ac:dyDescent="0.2">
      <c r="A245" s="486" t="s">
        <v>791</v>
      </c>
      <c r="B245" s="485">
        <v>4874</v>
      </c>
      <c r="C245" s="1945">
        <v>0</v>
      </c>
      <c r="D245" s="1942">
        <v>0</v>
      </c>
      <c r="E245" s="1942">
        <v>0</v>
      </c>
      <c r="F245" s="1942">
        <v>0</v>
      </c>
      <c r="G245" s="1942">
        <v>0</v>
      </c>
      <c r="H245" s="1942">
        <v>0</v>
      </c>
      <c r="I245" s="467"/>
      <c r="J245" s="1942">
        <v>0</v>
      </c>
      <c r="K245" s="1942">
        <v>0</v>
      </c>
    </row>
    <row r="246" spans="1:11" ht="12.75" customHeight="1" x14ac:dyDescent="0.2">
      <c r="A246" s="486" t="s">
        <v>471</v>
      </c>
      <c r="B246" s="485">
        <v>4875</v>
      </c>
      <c r="C246" s="1945">
        <v>0</v>
      </c>
      <c r="D246" s="1942">
        <v>0</v>
      </c>
      <c r="E246" s="1942">
        <v>0</v>
      </c>
      <c r="F246" s="1942">
        <v>0</v>
      </c>
      <c r="G246" s="1942">
        <v>0</v>
      </c>
      <c r="H246" s="1942">
        <v>0</v>
      </c>
      <c r="I246" s="467"/>
      <c r="J246" s="1942">
        <v>0</v>
      </c>
      <c r="K246" s="1942">
        <v>0</v>
      </c>
    </row>
    <row r="247" spans="1:11" ht="12.75" customHeight="1" x14ac:dyDescent="0.2">
      <c r="A247" s="486" t="s">
        <v>770</v>
      </c>
      <c r="B247" s="485">
        <v>4876</v>
      </c>
      <c r="C247" s="1945">
        <v>0</v>
      </c>
      <c r="D247" s="1942">
        <v>0</v>
      </c>
      <c r="E247" s="1942">
        <v>0</v>
      </c>
      <c r="F247" s="1942">
        <v>0</v>
      </c>
      <c r="G247" s="1942">
        <v>0</v>
      </c>
      <c r="H247" s="1942">
        <v>0</v>
      </c>
      <c r="I247" s="467"/>
      <c r="J247" s="1942">
        <v>0</v>
      </c>
      <c r="K247" s="1942">
        <v>0</v>
      </c>
    </row>
    <row r="248" spans="1:11" ht="12.75" customHeight="1" x14ac:dyDescent="0.2">
      <c r="A248" s="486" t="s">
        <v>771</v>
      </c>
      <c r="B248" s="485">
        <v>4877</v>
      </c>
      <c r="C248" s="1945">
        <v>0</v>
      </c>
      <c r="D248" s="1942">
        <v>0</v>
      </c>
      <c r="E248" s="1942">
        <v>0</v>
      </c>
      <c r="F248" s="1942">
        <v>0</v>
      </c>
      <c r="G248" s="1942">
        <v>0</v>
      </c>
      <c r="H248" s="1942">
        <v>0</v>
      </c>
      <c r="I248" s="467"/>
      <c r="J248" s="1942">
        <v>0</v>
      </c>
      <c r="K248" s="1942">
        <v>0</v>
      </c>
    </row>
    <row r="249" spans="1:11" ht="12.75" customHeight="1" x14ac:dyDescent="0.2">
      <c r="A249" s="486" t="s">
        <v>772</v>
      </c>
      <c r="B249" s="485">
        <v>4878</v>
      </c>
      <c r="C249" s="1945">
        <v>0</v>
      </c>
      <c r="D249" s="1942">
        <v>0</v>
      </c>
      <c r="E249" s="1942">
        <v>0</v>
      </c>
      <c r="F249" s="1942">
        <v>0</v>
      </c>
      <c r="G249" s="1942">
        <v>0</v>
      </c>
      <c r="H249" s="1942">
        <v>0</v>
      </c>
      <c r="I249" s="467"/>
      <c r="J249" s="1942">
        <v>0</v>
      </c>
      <c r="K249" s="1942">
        <v>0</v>
      </c>
    </row>
    <row r="250" spans="1:11" ht="12.75" customHeight="1" x14ac:dyDescent="0.2">
      <c r="A250" s="486" t="s">
        <v>773</v>
      </c>
      <c r="B250" s="485">
        <v>4879</v>
      </c>
      <c r="C250" s="1945">
        <v>0</v>
      </c>
      <c r="D250" s="1942">
        <v>0</v>
      </c>
      <c r="E250" s="1942">
        <v>0</v>
      </c>
      <c r="F250" s="1942">
        <v>0</v>
      </c>
      <c r="G250" s="1942">
        <v>0</v>
      </c>
      <c r="H250" s="1942">
        <v>0</v>
      </c>
      <c r="I250" s="467"/>
      <c r="J250" s="1942">
        <v>0</v>
      </c>
      <c r="K250" s="1942">
        <v>0</v>
      </c>
    </row>
    <row r="251" spans="1:11" ht="12.75" customHeight="1" x14ac:dyDescent="0.2">
      <c r="A251" s="225" t="s">
        <v>1455</v>
      </c>
      <c r="B251" s="567">
        <v>4880</v>
      </c>
      <c r="C251" s="1945">
        <v>0</v>
      </c>
      <c r="D251" s="1942">
        <v>0</v>
      </c>
      <c r="E251" s="1942">
        <v>0</v>
      </c>
      <c r="F251" s="1942">
        <v>0</v>
      </c>
      <c r="G251" s="1942">
        <v>0</v>
      </c>
      <c r="H251" s="1942">
        <v>0</v>
      </c>
      <c r="I251" s="467"/>
      <c r="J251" s="1942">
        <v>0</v>
      </c>
      <c r="K251" s="1942">
        <v>0</v>
      </c>
    </row>
    <row r="252" spans="1:11" ht="12.75" customHeight="1" thickBot="1" x14ac:dyDescent="0.25">
      <c r="A252" s="1696" t="s">
        <v>774</v>
      </c>
      <c r="B252" s="1697"/>
      <c r="C252" s="1689">
        <f t="shared" ref="C252:H252" si="9">SUM(C223:C251)</f>
        <v>0</v>
      </c>
      <c r="D252" s="1678">
        <f t="shared" si="9"/>
        <v>0</v>
      </c>
      <c r="E252" s="1678">
        <f t="shared" si="9"/>
        <v>0</v>
      </c>
      <c r="F252" s="1678">
        <f t="shared" si="9"/>
        <v>0</v>
      </c>
      <c r="G252" s="1678">
        <f t="shared" si="9"/>
        <v>0</v>
      </c>
      <c r="H252" s="1678">
        <f t="shared" si="9"/>
        <v>0</v>
      </c>
      <c r="I252" s="541"/>
      <c r="J252" s="1678">
        <f>SUM(J223:J251)</f>
        <v>0</v>
      </c>
      <c r="K252" s="1659">
        <f>SUM(K223:K251)</f>
        <v>0</v>
      </c>
    </row>
    <row r="253" spans="1:11" ht="12.75" customHeight="1" thickTop="1" thickBot="1" x14ac:dyDescent="0.25">
      <c r="A253" s="1473" t="s">
        <v>1421</v>
      </c>
      <c r="B253" s="568">
        <v>4901</v>
      </c>
      <c r="C253" s="1961">
        <v>0</v>
      </c>
      <c r="D253" s="468"/>
      <c r="E253" s="467"/>
      <c r="F253" s="467"/>
      <c r="G253" s="467"/>
      <c r="H253" s="467"/>
      <c r="I253" s="467"/>
      <c r="J253" s="467"/>
      <c r="K253" s="467"/>
    </row>
    <row r="254" spans="1:11" ht="12.75" customHeight="1" thickTop="1" thickBot="1" x14ac:dyDescent="0.25">
      <c r="A254" s="1474" t="s">
        <v>1463</v>
      </c>
      <c r="B254" s="569">
        <v>4902</v>
      </c>
      <c r="C254" s="1962">
        <v>0</v>
      </c>
      <c r="D254" s="1978">
        <v>0</v>
      </c>
      <c r="E254" s="468"/>
      <c r="F254" s="1978">
        <v>0</v>
      </c>
      <c r="G254" s="1978">
        <v>0</v>
      </c>
      <c r="H254" s="468"/>
      <c r="I254" s="467"/>
      <c r="J254" s="468"/>
      <c r="K254" s="468"/>
    </row>
    <row r="255" spans="1:11" ht="12.75" customHeight="1" thickTop="1" thickBot="1" x14ac:dyDescent="0.25">
      <c r="A255" s="463" t="s">
        <v>1456</v>
      </c>
      <c r="B255" s="469">
        <v>4905</v>
      </c>
      <c r="C255" s="1951">
        <v>0</v>
      </c>
      <c r="D255" s="467"/>
      <c r="E255" s="467"/>
      <c r="F255" s="1977">
        <v>0</v>
      </c>
      <c r="G255" s="1974">
        <v>0</v>
      </c>
      <c r="H255" s="467"/>
      <c r="I255" s="467"/>
      <c r="J255" s="467"/>
      <c r="K255" s="467"/>
    </row>
    <row r="256" spans="1:11" ht="12.75" customHeight="1" thickTop="1" thickBot="1" x14ac:dyDescent="0.25">
      <c r="A256" s="463" t="s">
        <v>1457</v>
      </c>
      <c r="B256" s="469">
        <v>4909</v>
      </c>
      <c r="C256" s="1953">
        <v>0</v>
      </c>
      <c r="D256" s="467"/>
      <c r="E256" s="467"/>
      <c r="F256" s="1976">
        <v>0</v>
      </c>
      <c r="G256" s="1976">
        <v>0</v>
      </c>
      <c r="H256" s="467"/>
      <c r="I256" s="467"/>
      <c r="J256" s="467"/>
      <c r="K256" s="467"/>
    </row>
    <row r="257" spans="1:11" ht="12.75" customHeight="1" thickTop="1" thickBot="1" x14ac:dyDescent="0.25">
      <c r="A257" s="463" t="s">
        <v>193</v>
      </c>
      <c r="B257" s="469">
        <v>4920</v>
      </c>
      <c r="C257" s="1953">
        <v>0</v>
      </c>
      <c r="D257" s="1977">
        <v>0</v>
      </c>
      <c r="E257" s="467"/>
      <c r="F257" s="1974">
        <v>0</v>
      </c>
      <c r="G257" s="1974">
        <v>0</v>
      </c>
      <c r="H257" s="467"/>
      <c r="I257" s="467"/>
      <c r="J257" s="467"/>
      <c r="K257" s="467"/>
    </row>
    <row r="258" spans="1:11" ht="12.75" customHeight="1" thickTop="1" thickBot="1" x14ac:dyDescent="0.25">
      <c r="A258" s="463" t="s">
        <v>421</v>
      </c>
      <c r="B258" s="469">
        <v>4930</v>
      </c>
      <c r="C258" s="1953">
        <v>0</v>
      </c>
      <c r="D258" s="1976">
        <v>0</v>
      </c>
      <c r="E258" s="467"/>
      <c r="F258" s="1976">
        <v>0</v>
      </c>
      <c r="G258" s="1976">
        <v>0</v>
      </c>
      <c r="H258" s="467"/>
      <c r="I258" s="467"/>
      <c r="J258" s="467"/>
      <c r="K258" s="467"/>
    </row>
    <row r="259" spans="1:11" ht="12.75" customHeight="1" thickTop="1" thickBot="1" x14ac:dyDescent="0.25">
      <c r="A259" s="463" t="s">
        <v>758</v>
      </c>
      <c r="B259" s="469">
        <v>4932</v>
      </c>
      <c r="C259" s="1953">
        <v>0</v>
      </c>
      <c r="D259" s="1976">
        <v>0</v>
      </c>
      <c r="E259" s="467"/>
      <c r="F259" s="1976">
        <v>0</v>
      </c>
      <c r="G259" s="1976">
        <v>0</v>
      </c>
      <c r="H259" s="467"/>
      <c r="I259" s="467"/>
      <c r="J259" s="467"/>
      <c r="K259" s="467"/>
    </row>
    <row r="260" spans="1:11" ht="12.75" customHeight="1" thickTop="1" thickBot="1" x14ac:dyDescent="0.25">
      <c r="A260" s="463" t="s">
        <v>890</v>
      </c>
      <c r="B260" s="469">
        <v>4960</v>
      </c>
      <c r="C260" s="1952">
        <v>0</v>
      </c>
      <c r="D260" s="1976">
        <v>0</v>
      </c>
      <c r="E260" s="467"/>
      <c r="F260" s="1976">
        <v>0</v>
      </c>
      <c r="G260" s="1976">
        <v>0</v>
      </c>
      <c r="H260" s="467"/>
      <c r="I260" s="467"/>
      <c r="J260" s="467"/>
      <c r="K260" s="467"/>
    </row>
    <row r="261" spans="1:11" ht="12.75" customHeight="1" thickTop="1" thickBot="1" x14ac:dyDescent="0.25">
      <c r="A261" s="1901" t="s">
        <v>1934</v>
      </c>
      <c r="B261" s="469">
        <v>4981</v>
      </c>
      <c r="C261" s="1982">
        <v>0</v>
      </c>
      <c r="D261" s="1983">
        <v>0</v>
      </c>
      <c r="E261" s="467"/>
      <c r="F261" s="1983">
        <v>0</v>
      </c>
      <c r="G261" s="1983">
        <v>0</v>
      </c>
      <c r="H261" s="467"/>
      <c r="I261" s="467"/>
      <c r="J261" s="467"/>
      <c r="K261" s="467"/>
    </row>
    <row r="262" spans="1:11" ht="12.75" customHeight="1" thickTop="1" thickBot="1" x14ac:dyDescent="0.25">
      <c r="A262" s="1902" t="s">
        <v>1935</v>
      </c>
      <c r="B262" s="469">
        <v>4982</v>
      </c>
      <c r="C262" s="1982">
        <v>0</v>
      </c>
      <c r="D262" s="1983">
        <v>0</v>
      </c>
      <c r="E262" s="467"/>
      <c r="F262" s="1983">
        <v>0</v>
      </c>
      <c r="G262" s="1983">
        <v>0</v>
      </c>
      <c r="H262" s="467"/>
      <c r="I262" s="467"/>
      <c r="J262" s="467"/>
      <c r="K262" s="467"/>
    </row>
    <row r="263" spans="1:11" ht="12.75" customHeight="1" thickTop="1" thickBot="1" x14ac:dyDescent="0.25">
      <c r="A263" s="463" t="s">
        <v>568</v>
      </c>
      <c r="B263" s="469">
        <v>4991</v>
      </c>
      <c r="C263" s="1975">
        <v>199424</v>
      </c>
      <c r="D263" s="1976">
        <v>0</v>
      </c>
      <c r="E263" s="467"/>
      <c r="F263" s="1976">
        <v>0</v>
      </c>
      <c r="G263" s="1976">
        <v>0</v>
      </c>
      <c r="H263" s="467"/>
      <c r="I263" s="467"/>
      <c r="J263" s="467"/>
      <c r="K263" s="467"/>
    </row>
    <row r="264" spans="1:11" ht="12.75" customHeight="1" thickTop="1" thickBot="1" x14ac:dyDescent="0.25">
      <c r="A264" s="463" t="s">
        <v>377</v>
      </c>
      <c r="B264" s="469">
        <v>4992</v>
      </c>
      <c r="C264" s="1975">
        <v>425884</v>
      </c>
      <c r="D264" s="1976">
        <v>0</v>
      </c>
      <c r="E264" s="467"/>
      <c r="F264" s="1976">
        <v>0</v>
      </c>
      <c r="G264" s="1976">
        <v>0</v>
      </c>
      <c r="H264" s="467"/>
      <c r="I264" s="467"/>
      <c r="J264" s="467"/>
      <c r="K264" s="467"/>
    </row>
    <row r="265" spans="1:11" s="570" customFormat="1" ht="12.75" customHeight="1" thickTop="1" thickBot="1" x14ac:dyDescent="0.25">
      <c r="A265" s="551" t="s">
        <v>75</v>
      </c>
      <c r="B265" s="545">
        <v>4999</v>
      </c>
      <c r="C265" s="1975">
        <v>0</v>
      </c>
      <c r="D265" s="1976">
        <v>0</v>
      </c>
      <c r="E265" s="467"/>
      <c r="F265" s="1976">
        <v>0</v>
      </c>
      <c r="G265" s="1976">
        <v>0</v>
      </c>
      <c r="H265" s="1970">
        <v>0</v>
      </c>
      <c r="I265" s="467"/>
      <c r="J265" s="467"/>
      <c r="K265" s="1970">
        <v>0</v>
      </c>
    </row>
    <row r="266" spans="1:11" ht="14.25" thickTop="1" thickBot="1" x14ac:dyDescent="0.25">
      <c r="A266" s="1679" t="s">
        <v>1666</v>
      </c>
      <c r="B266" s="1698"/>
      <c r="C266" s="1686">
        <f t="shared" ref="C266:H266" si="10">SUM(C188,C198,C204,C209,C217,C221,C222,C252:C265)</f>
        <v>2160978</v>
      </c>
      <c r="D266" s="1686">
        <f t="shared" si="10"/>
        <v>0</v>
      </c>
      <c r="E266" s="1686">
        <f t="shared" si="10"/>
        <v>0</v>
      </c>
      <c r="F266" s="1686">
        <f t="shared" si="10"/>
        <v>0</v>
      </c>
      <c r="G266" s="1686">
        <f t="shared" si="10"/>
        <v>0</v>
      </c>
      <c r="H266" s="1686">
        <f t="shared" si="10"/>
        <v>0</v>
      </c>
      <c r="I266" s="467"/>
      <c r="J266" s="1686">
        <f>SUM(J188,J198,J204,J209,J217,J221,J222,J252:J265)</f>
        <v>0</v>
      </c>
      <c r="K266" s="1673">
        <f>SUM(K188,K198,K204,K209,K217,K221,K222,K252:K265)</f>
        <v>0</v>
      </c>
    </row>
    <row r="267" spans="1:11" ht="14.25" thickTop="1" thickBot="1" x14ac:dyDescent="0.25">
      <c r="A267" s="1699" t="s">
        <v>1086</v>
      </c>
      <c r="B267" s="1700" t="s">
        <v>860</v>
      </c>
      <c r="C267" s="1686">
        <f>SUM(C175,C181,C266)</f>
        <v>2160978</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3">
        <f t="shared" si="11"/>
        <v>0</v>
      </c>
    </row>
    <row r="268" spans="1:11" ht="14.25" thickTop="1" thickBot="1" x14ac:dyDescent="0.25">
      <c r="A268" s="1701" t="s">
        <v>251</v>
      </c>
      <c r="B268" s="1702"/>
      <c r="C268" s="1686">
        <f t="shared" ref="C268:K268" si="12">SUM(C109,C114,C170,C267)</f>
        <v>45572559</v>
      </c>
      <c r="D268" s="1686">
        <f t="shared" si="12"/>
        <v>0</v>
      </c>
      <c r="E268" s="1686">
        <f t="shared" si="12"/>
        <v>0</v>
      </c>
      <c r="F268" s="1686">
        <f t="shared" si="12"/>
        <v>2947486</v>
      </c>
      <c r="G268" s="1686">
        <f t="shared" si="12"/>
        <v>0</v>
      </c>
      <c r="H268" s="1686">
        <f t="shared" si="12"/>
        <v>0</v>
      </c>
      <c r="I268" s="1686">
        <f t="shared" si="12"/>
        <v>0</v>
      </c>
      <c r="J268" s="1686">
        <f t="shared" si="12"/>
        <v>0</v>
      </c>
      <c r="K268" s="1673">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39997558519241921"/>
  </sheetPr>
  <dimension ref="A1:N368"/>
  <sheetViews>
    <sheetView showGridLines="0" defaultGridColor="0" colorId="8" zoomScaleNormal="100" workbookViewId="0">
      <pane ySplit="2" topLeftCell="A3" activePane="bottomLeft" state="frozen"/>
      <selection activeCell="H171" sqref="H171"/>
      <selection pane="bottomLeft" activeCell="L341" sqref="L341"/>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11"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45"/>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51" t="s">
        <v>297</v>
      </c>
      <c r="B3" s="2252"/>
      <c r="C3" s="1519"/>
      <c r="D3" s="1519"/>
      <c r="E3" s="1519"/>
      <c r="F3" s="1519"/>
      <c r="G3" s="1519"/>
      <c r="H3" s="1519"/>
      <c r="I3" s="1519"/>
      <c r="J3" s="1519"/>
      <c r="K3" s="1520"/>
      <c r="L3" s="1521"/>
      <c r="M3" s="586"/>
      <c r="N3" s="586"/>
    </row>
    <row r="4" spans="1:14" s="259" customFormat="1" ht="15.75" customHeight="1" x14ac:dyDescent="0.2">
      <c r="A4" s="1577" t="s">
        <v>44</v>
      </c>
      <c r="B4" s="1578" t="s">
        <v>570</v>
      </c>
      <c r="C4" s="587"/>
      <c r="D4" s="587"/>
      <c r="E4" s="587"/>
      <c r="F4" s="587"/>
      <c r="G4" s="587"/>
      <c r="H4" s="587"/>
      <c r="I4" s="588"/>
      <c r="J4" s="587"/>
      <c r="K4" s="589"/>
      <c r="L4" s="587"/>
      <c r="M4" s="590"/>
      <c r="N4" s="590"/>
    </row>
    <row r="5" spans="1:14" x14ac:dyDescent="0.2">
      <c r="A5" s="1475" t="s">
        <v>961</v>
      </c>
      <c r="B5" s="591">
        <v>1100</v>
      </c>
      <c r="C5" s="1963">
        <v>0</v>
      </c>
      <c r="D5" s="1963">
        <v>0</v>
      </c>
      <c r="E5" s="1963">
        <v>0</v>
      </c>
      <c r="F5" s="1963">
        <v>0</v>
      </c>
      <c r="G5" s="1963">
        <v>0</v>
      </c>
      <c r="H5" s="1963">
        <v>0</v>
      </c>
      <c r="I5" s="1964">
        <v>0</v>
      </c>
      <c r="J5" s="1964">
        <v>0</v>
      </c>
      <c r="K5" s="1642">
        <f>SUM(C5:J5)</f>
        <v>0</v>
      </c>
      <c r="L5" s="1985">
        <v>0</v>
      </c>
    </row>
    <row r="6" spans="1:14" x14ac:dyDescent="0.2">
      <c r="A6" s="1475" t="s">
        <v>1433</v>
      </c>
      <c r="B6" s="591" t="s">
        <v>1431</v>
      </c>
      <c r="C6" s="473"/>
      <c r="D6" s="473"/>
      <c r="E6" s="1963">
        <v>0</v>
      </c>
      <c r="F6" s="473"/>
      <c r="G6" s="473"/>
      <c r="H6" s="473"/>
      <c r="I6" s="473"/>
      <c r="J6" s="473"/>
      <c r="K6" s="1642">
        <f>SUM(C6,E6)</f>
        <v>0</v>
      </c>
      <c r="L6" s="1985">
        <v>0</v>
      </c>
    </row>
    <row r="7" spans="1:14" x14ac:dyDescent="0.2">
      <c r="A7" s="1475" t="s">
        <v>163</v>
      </c>
      <c r="B7" s="591" t="s">
        <v>967</v>
      </c>
      <c r="C7" s="1964">
        <v>0</v>
      </c>
      <c r="D7" s="1964">
        <v>0</v>
      </c>
      <c r="E7" s="1964">
        <v>0</v>
      </c>
      <c r="F7" s="1964">
        <v>0</v>
      </c>
      <c r="G7" s="1964">
        <v>0</v>
      </c>
      <c r="H7" s="1964">
        <v>0</v>
      </c>
      <c r="I7" s="1964">
        <v>0</v>
      </c>
      <c r="J7" s="1964">
        <v>0</v>
      </c>
      <c r="K7" s="1642">
        <f t="shared" ref="K7:K32" si="0">SUM(C7:J7)</f>
        <v>0</v>
      </c>
      <c r="L7" s="1985">
        <v>0</v>
      </c>
    </row>
    <row r="8" spans="1:14" x14ac:dyDescent="0.2">
      <c r="A8" s="1475" t="s">
        <v>164</v>
      </c>
      <c r="B8" s="591">
        <v>1200</v>
      </c>
      <c r="C8" s="1963">
        <v>17238026</v>
      </c>
      <c r="D8" s="1963">
        <v>5297900</v>
      </c>
      <c r="E8" s="1963">
        <v>1120733</v>
      </c>
      <c r="F8" s="1963">
        <v>180891</v>
      </c>
      <c r="G8" s="1963">
        <v>446462</v>
      </c>
      <c r="H8" s="1963">
        <v>168019</v>
      </c>
      <c r="I8" s="1964">
        <v>9548</v>
      </c>
      <c r="J8" s="1964">
        <v>0</v>
      </c>
      <c r="K8" s="1642">
        <f t="shared" si="0"/>
        <v>24461579</v>
      </c>
      <c r="L8" s="1985">
        <v>36625002</v>
      </c>
    </row>
    <row r="9" spans="1:14" x14ac:dyDescent="0.2">
      <c r="A9" s="1475" t="s">
        <v>721</v>
      </c>
      <c r="B9" s="591" t="s">
        <v>968</v>
      </c>
      <c r="C9" s="1964">
        <v>0</v>
      </c>
      <c r="D9" s="1964">
        <v>0</v>
      </c>
      <c r="E9" s="1964">
        <v>0</v>
      </c>
      <c r="F9" s="1964">
        <v>0</v>
      </c>
      <c r="G9" s="1986">
        <v>0</v>
      </c>
      <c r="H9" s="1964">
        <v>0</v>
      </c>
      <c r="I9" s="1964">
        <v>0</v>
      </c>
      <c r="J9" s="1964">
        <v>0</v>
      </c>
      <c r="K9" s="1642">
        <f t="shared" si="0"/>
        <v>0</v>
      </c>
      <c r="L9" s="1985">
        <v>0</v>
      </c>
    </row>
    <row r="10" spans="1:14" x14ac:dyDescent="0.2">
      <c r="A10" s="1475" t="s">
        <v>722</v>
      </c>
      <c r="B10" s="591">
        <v>1250</v>
      </c>
      <c r="C10" s="1963">
        <v>0</v>
      </c>
      <c r="D10" s="1963">
        <v>0</v>
      </c>
      <c r="E10" s="1963">
        <v>0</v>
      </c>
      <c r="F10" s="1963">
        <v>0</v>
      </c>
      <c r="G10" s="1963">
        <v>0</v>
      </c>
      <c r="H10" s="1963">
        <v>0</v>
      </c>
      <c r="I10" s="1964">
        <v>0</v>
      </c>
      <c r="J10" s="1964">
        <v>0</v>
      </c>
      <c r="K10" s="1642">
        <f t="shared" si="0"/>
        <v>0</v>
      </c>
      <c r="L10" s="1985">
        <v>0</v>
      </c>
    </row>
    <row r="11" spans="1:14" x14ac:dyDescent="0.2">
      <c r="A11" s="1475" t="s">
        <v>1130</v>
      </c>
      <c r="B11" s="591" t="s">
        <v>161</v>
      </c>
      <c r="C11" s="1964">
        <v>0</v>
      </c>
      <c r="D11" s="1964">
        <v>0</v>
      </c>
      <c r="E11" s="1964">
        <v>0</v>
      </c>
      <c r="F11" s="1964">
        <v>0</v>
      </c>
      <c r="G11" s="1964">
        <v>0</v>
      </c>
      <c r="H11" s="1964">
        <v>0</v>
      </c>
      <c r="I11" s="1964">
        <v>0</v>
      </c>
      <c r="J11" s="1964">
        <v>0</v>
      </c>
      <c r="K11" s="1642">
        <f t="shared" si="0"/>
        <v>0</v>
      </c>
      <c r="L11" s="1985">
        <v>0</v>
      </c>
    </row>
    <row r="12" spans="1:14" x14ac:dyDescent="0.2">
      <c r="A12" s="1475" t="s">
        <v>962</v>
      </c>
      <c r="B12" s="591">
        <v>1300</v>
      </c>
      <c r="C12" s="1963">
        <v>0</v>
      </c>
      <c r="D12" s="1963">
        <v>0</v>
      </c>
      <c r="E12" s="1963">
        <v>0</v>
      </c>
      <c r="F12" s="1963">
        <v>0</v>
      </c>
      <c r="G12" s="1963">
        <v>0</v>
      </c>
      <c r="H12" s="1963">
        <v>0</v>
      </c>
      <c r="I12" s="1964">
        <v>0</v>
      </c>
      <c r="J12" s="1964">
        <v>0</v>
      </c>
      <c r="K12" s="1642">
        <f t="shared" si="0"/>
        <v>0</v>
      </c>
      <c r="L12" s="1985">
        <v>0</v>
      </c>
    </row>
    <row r="13" spans="1:14" x14ac:dyDescent="0.2">
      <c r="A13" s="1475" t="s">
        <v>723</v>
      </c>
      <c r="B13" s="591">
        <v>1400</v>
      </c>
      <c r="C13" s="1963">
        <v>193427</v>
      </c>
      <c r="D13" s="1963">
        <v>74966</v>
      </c>
      <c r="E13" s="1963">
        <v>409349</v>
      </c>
      <c r="F13" s="1963">
        <v>2844</v>
      </c>
      <c r="G13" s="1963">
        <v>0</v>
      </c>
      <c r="H13" s="1963">
        <v>0</v>
      </c>
      <c r="I13" s="1964">
        <v>0</v>
      </c>
      <c r="J13" s="1964">
        <v>0</v>
      </c>
      <c r="K13" s="1642">
        <f t="shared" si="0"/>
        <v>680586</v>
      </c>
      <c r="L13" s="1985">
        <v>748718</v>
      </c>
    </row>
    <row r="14" spans="1:14" x14ac:dyDescent="0.2">
      <c r="A14" s="1475" t="s">
        <v>963</v>
      </c>
      <c r="B14" s="591">
        <v>1500</v>
      </c>
      <c r="C14" s="1963">
        <v>0</v>
      </c>
      <c r="D14" s="1963">
        <v>0</v>
      </c>
      <c r="E14" s="1963">
        <v>0</v>
      </c>
      <c r="F14" s="1963">
        <v>0</v>
      </c>
      <c r="G14" s="1963">
        <v>0</v>
      </c>
      <c r="H14" s="1963">
        <v>0</v>
      </c>
      <c r="I14" s="1964">
        <v>0</v>
      </c>
      <c r="J14" s="1964">
        <v>0</v>
      </c>
      <c r="K14" s="1642">
        <f t="shared" si="0"/>
        <v>0</v>
      </c>
      <c r="L14" s="1985">
        <v>0</v>
      </c>
    </row>
    <row r="15" spans="1:14" x14ac:dyDescent="0.2">
      <c r="A15" s="1475" t="s">
        <v>964</v>
      </c>
      <c r="B15" s="591">
        <v>1600</v>
      </c>
      <c r="C15" s="1963">
        <v>0</v>
      </c>
      <c r="D15" s="1963">
        <v>0</v>
      </c>
      <c r="E15" s="1963">
        <v>0</v>
      </c>
      <c r="F15" s="1963">
        <v>0</v>
      </c>
      <c r="G15" s="1963">
        <v>0</v>
      </c>
      <c r="H15" s="1963">
        <v>0</v>
      </c>
      <c r="I15" s="1964">
        <v>0</v>
      </c>
      <c r="J15" s="1964">
        <v>0</v>
      </c>
      <c r="K15" s="1642">
        <f t="shared" si="0"/>
        <v>0</v>
      </c>
      <c r="L15" s="1985">
        <v>0</v>
      </c>
    </row>
    <row r="16" spans="1:14" x14ac:dyDescent="0.2">
      <c r="A16" s="1475" t="s">
        <v>987</v>
      </c>
      <c r="B16" s="591" t="s">
        <v>424</v>
      </c>
      <c r="C16" s="1963">
        <v>0</v>
      </c>
      <c r="D16" s="1963">
        <v>0</v>
      </c>
      <c r="E16" s="1963">
        <v>0</v>
      </c>
      <c r="F16" s="1963">
        <v>0</v>
      </c>
      <c r="G16" s="1963">
        <v>0</v>
      </c>
      <c r="H16" s="1963">
        <v>0</v>
      </c>
      <c r="I16" s="1964">
        <v>0</v>
      </c>
      <c r="J16" s="1964">
        <v>0</v>
      </c>
      <c r="K16" s="1642">
        <f t="shared" si="0"/>
        <v>0</v>
      </c>
      <c r="L16" s="1985">
        <v>0</v>
      </c>
    </row>
    <row r="17" spans="1:12" x14ac:dyDescent="0.2">
      <c r="A17" s="1475" t="s">
        <v>724</v>
      </c>
      <c r="B17" s="591" t="s">
        <v>162</v>
      </c>
      <c r="C17" s="1964">
        <v>0</v>
      </c>
      <c r="D17" s="1964">
        <v>0</v>
      </c>
      <c r="E17" s="1964">
        <v>0</v>
      </c>
      <c r="F17" s="1964">
        <v>0</v>
      </c>
      <c r="G17" s="1964">
        <v>0</v>
      </c>
      <c r="H17" s="1964">
        <v>0</v>
      </c>
      <c r="I17" s="1964">
        <v>0</v>
      </c>
      <c r="J17" s="1964">
        <v>0</v>
      </c>
      <c r="K17" s="1642">
        <f t="shared" si="0"/>
        <v>0</v>
      </c>
      <c r="L17" s="1985">
        <v>0</v>
      </c>
    </row>
    <row r="18" spans="1:12" x14ac:dyDescent="0.2">
      <c r="A18" s="1475" t="s">
        <v>1087</v>
      </c>
      <c r="B18" s="591">
        <v>1800</v>
      </c>
      <c r="C18" s="1963">
        <v>0</v>
      </c>
      <c r="D18" s="1963">
        <v>0</v>
      </c>
      <c r="E18" s="1963">
        <v>0</v>
      </c>
      <c r="F18" s="1963">
        <v>0</v>
      </c>
      <c r="G18" s="1963">
        <v>0</v>
      </c>
      <c r="H18" s="1963">
        <v>0</v>
      </c>
      <c r="I18" s="1964">
        <v>0</v>
      </c>
      <c r="J18" s="1964">
        <v>0</v>
      </c>
      <c r="K18" s="1642">
        <f t="shared" si="0"/>
        <v>0</v>
      </c>
      <c r="L18" s="1985">
        <v>0</v>
      </c>
    </row>
    <row r="19" spans="1:12" x14ac:dyDescent="0.2">
      <c r="A19" s="1475" t="s">
        <v>134</v>
      </c>
      <c r="B19" s="591">
        <v>1900</v>
      </c>
      <c r="C19" s="1963">
        <v>0</v>
      </c>
      <c r="D19" s="1963">
        <v>0</v>
      </c>
      <c r="E19" s="1963">
        <v>0</v>
      </c>
      <c r="F19" s="1963">
        <v>0</v>
      </c>
      <c r="G19" s="1963">
        <v>0</v>
      </c>
      <c r="H19" s="1963">
        <v>0</v>
      </c>
      <c r="I19" s="1964">
        <v>0</v>
      </c>
      <c r="J19" s="1964">
        <v>0</v>
      </c>
      <c r="K19" s="1642">
        <f t="shared" si="0"/>
        <v>0</v>
      </c>
      <c r="L19" s="1985">
        <v>0</v>
      </c>
    </row>
    <row r="20" spans="1:12" x14ac:dyDescent="0.2">
      <c r="A20" s="1476" t="s">
        <v>738</v>
      </c>
      <c r="B20" s="579" t="s">
        <v>725</v>
      </c>
      <c r="C20" s="473"/>
      <c r="D20" s="473"/>
      <c r="E20" s="473"/>
      <c r="F20" s="473"/>
      <c r="G20" s="473"/>
      <c r="H20" s="1966">
        <v>0</v>
      </c>
      <c r="I20" s="593"/>
      <c r="J20" s="472"/>
      <c r="K20" s="1642">
        <f t="shared" si="0"/>
        <v>0</v>
      </c>
      <c r="L20" s="1987">
        <v>0</v>
      </c>
    </row>
    <row r="21" spans="1:12" x14ac:dyDescent="0.2">
      <c r="A21" s="1476" t="s">
        <v>739</v>
      </c>
      <c r="B21" s="579" t="s">
        <v>726</v>
      </c>
      <c r="C21" s="473"/>
      <c r="D21" s="473"/>
      <c r="E21" s="473"/>
      <c r="F21" s="473"/>
      <c r="G21" s="473"/>
      <c r="H21" s="1966">
        <v>0</v>
      </c>
      <c r="I21" s="593"/>
      <c r="J21" s="473"/>
      <c r="K21" s="1642">
        <f t="shared" si="0"/>
        <v>0</v>
      </c>
      <c r="L21" s="1987">
        <v>0</v>
      </c>
    </row>
    <row r="22" spans="1:12" x14ac:dyDescent="0.2">
      <c r="A22" s="1476" t="s">
        <v>740</v>
      </c>
      <c r="B22" s="579" t="s">
        <v>727</v>
      </c>
      <c r="C22" s="473"/>
      <c r="D22" s="473"/>
      <c r="E22" s="473"/>
      <c r="F22" s="473"/>
      <c r="G22" s="473"/>
      <c r="H22" s="1966">
        <v>0</v>
      </c>
      <c r="I22" s="593"/>
      <c r="J22" s="473"/>
      <c r="K22" s="1642">
        <f t="shared" si="0"/>
        <v>0</v>
      </c>
      <c r="L22" s="1987">
        <v>0</v>
      </c>
    </row>
    <row r="23" spans="1:12" x14ac:dyDescent="0.2">
      <c r="A23" s="1476" t="s">
        <v>741</v>
      </c>
      <c r="B23" s="579" t="s">
        <v>728</v>
      </c>
      <c r="C23" s="473"/>
      <c r="D23" s="473"/>
      <c r="E23" s="473"/>
      <c r="F23" s="473"/>
      <c r="G23" s="473"/>
      <c r="H23" s="1966">
        <v>0</v>
      </c>
      <c r="I23" s="593"/>
      <c r="J23" s="473"/>
      <c r="K23" s="1642">
        <f t="shared" si="0"/>
        <v>0</v>
      </c>
      <c r="L23" s="1987">
        <v>0</v>
      </c>
    </row>
    <row r="24" spans="1:12" ht="12.75" customHeight="1" x14ac:dyDescent="0.2">
      <c r="A24" s="1476" t="s">
        <v>742</v>
      </c>
      <c r="B24" s="579" t="s">
        <v>729</v>
      </c>
      <c r="C24" s="473"/>
      <c r="D24" s="473"/>
      <c r="E24" s="473"/>
      <c r="F24" s="473"/>
      <c r="G24" s="473"/>
      <c r="H24" s="1966">
        <v>0</v>
      </c>
      <c r="I24" s="593"/>
      <c r="J24" s="473"/>
      <c r="K24" s="1642">
        <f t="shared" si="0"/>
        <v>0</v>
      </c>
      <c r="L24" s="1987">
        <v>0</v>
      </c>
    </row>
    <row r="25" spans="1:12" ht="12.75" customHeight="1" x14ac:dyDescent="0.2">
      <c r="A25" s="1476" t="s">
        <v>802</v>
      </c>
      <c r="B25" s="579" t="s">
        <v>730</v>
      </c>
      <c r="C25" s="473"/>
      <c r="D25" s="473"/>
      <c r="E25" s="473"/>
      <c r="F25" s="473"/>
      <c r="G25" s="473"/>
      <c r="H25" s="1966">
        <v>0</v>
      </c>
      <c r="I25" s="593"/>
      <c r="J25" s="473"/>
      <c r="K25" s="1642">
        <f t="shared" si="0"/>
        <v>0</v>
      </c>
      <c r="L25" s="1987">
        <v>0</v>
      </c>
    </row>
    <row r="26" spans="1:12" x14ac:dyDescent="0.2">
      <c r="A26" s="1476" t="s">
        <v>622</v>
      </c>
      <c r="B26" s="579" t="s">
        <v>731</v>
      </c>
      <c r="C26" s="473"/>
      <c r="D26" s="473"/>
      <c r="E26" s="473"/>
      <c r="F26" s="473"/>
      <c r="G26" s="473"/>
      <c r="H26" s="1966">
        <v>0</v>
      </c>
      <c r="I26" s="593"/>
      <c r="J26" s="473"/>
      <c r="K26" s="1642">
        <f t="shared" si="0"/>
        <v>0</v>
      </c>
      <c r="L26" s="1987">
        <v>0</v>
      </c>
    </row>
    <row r="27" spans="1:12" x14ac:dyDescent="0.2">
      <c r="A27" s="1476" t="s">
        <v>623</v>
      </c>
      <c r="B27" s="579" t="s">
        <v>732</v>
      </c>
      <c r="C27" s="473"/>
      <c r="D27" s="473"/>
      <c r="E27" s="473"/>
      <c r="F27" s="473"/>
      <c r="G27" s="473"/>
      <c r="H27" s="1966">
        <v>0</v>
      </c>
      <c r="I27" s="593"/>
      <c r="J27" s="473"/>
      <c r="K27" s="1642">
        <f t="shared" si="0"/>
        <v>0</v>
      </c>
      <c r="L27" s="1987">
        <v>0</v>
      </c>
    </row>
    <row r="28" spans="1:12" x14ac:dyDescent="0.2">
      <c r="A28" s="1476" t="s">
        <v>150</v>
      </c>
      <c r="B28" s="579" t="s">
        <v>733</v>
      </c>
      <c r="C28" s="473"/>
      <c r="D28" s="473"/>
      <c r="E28" s="473"/>
      <c r="F28" s="473"/>
      <c r="G28" s="473"/>
      <c r="H28" s="1966">
        <v>0</v>
      </c>
      <c r="I28" s="593"/>
      <c r="J28" s="473"/>
      <c r="K28" s="1642">
        <f t="shared" si="0"/>
        <v>0</v>
      </c>
      <c r="L28" s="1987">
        <v>0</v>
      </c>
    </row>
    <row r="29" spans="1:12" x14ac:dyDescent="0.2">
      <c r="A29" s="1476" t="s">
        <v>151</v>
      </c>
      <c r="B29" s="579" t="s">
        <v>734</v>
      </c>
      <c r="C29" s="473"/>
      <c r="D29" s="473"/>
      <c r="E29" s="473"/>
      <c r="F29" s="473"/>
      <c r="G29" s="473"/>
      <c r="H29" s="1966">
        <v>0</v>
      </c>
      <c r="I29" s="593"/>
      <c r="J29" s="473"/>
      <c r="K29" s="1642">
        <f t="shared" si="0"/>
        <v>0</v>
      </c>
      <c r="L29" s="1987">
        <v>0</v>
      </c>
    </row>
    <row r="30" spans="1:12" x14ac:dyDescent="0.2">
      <c r="A30" s="1476" t="s">
        <v>152</v>
      </c>
      <c r="B30" s="579" t="s">
        <v>735</v>
      </c>
      <c r="C30" s="473"/>
      <c r="D30" s="473"/>
      <c r="E30" s="473"/>
      <c r="F30" s="473"/>
      <c r="G30" s="473"/>
      <c r="H30" s="1966">
        <v>0</v>
      </c>
      <c r="I30" s="593"/>
      <c r="J30" s="473"/>
      <c r="K30" s="1642">
        <f t="shared" si="0"/>
        <v>0</v>
      </c>
      <c r="L30" s="1987">
        <v>0</v>
      </c>
    </row>
    <row r="31" spans="1:12" x14ac:dyDescent="0.2">
      <c r="A31" s="1476" t="s">
        <v>153</v>
      </c>
      <c r="B31" s="579" t="s">
        <v>736</v>
      </c>
      <c r="C31" s="473"/>
      <c r="D31" s="473"/>
      <c r="E31" s="473"/>
      <c r="F31" s="473"/>
      <c r="G31" s="473"/>
      <c r="H31" s="1966">
        <v>0</v>
      </c>
      <c r="I31" s="593"/>
      <c r="J31" s="473"/>
      <c r="K31" s="1642">
        <f t="shared" si="0"/>
        <v>0</v>
      </c>
      <c r="L31" s="1987">
        <v>0</v>
      </c>
    </row>
    <row r="32" spans="1:12" x14ac:dyDescent="0.2">
      <c r="A32" s="1477" t="s">
        <v>1129</v>
      </c>
      <c r="B32" s="591" t="s">
        <v>737</v>
      </c>
      <c r="C32" s="473"/>
      <c r="D32" s="473"/>
      <c r="E32" s="473"/>
      <c r="F32" s="473"/>
      <c r="G32" s="473"/>
      <c r="H32" s="1966">
        <v>0</v>
      </c>
      <c r="I32" s="593"/>
      <c r="J32" s="476"/>
      <c r="K32" s="1642">
        <f t="shared" si="0"/>
        <v>0</v>
      </c>
      <c r="L32" s="1987">
        <v>0</v>
      </c>
    </row>
    <row r="33" spans="1:14" ht="12.75" customHeight="1" thickBot="1" x14ac:dyDescent="0.25">
      <c r="A33" s="1639" t="s">
        <v>1668</v>
      </c>
      <c r="B33" s="1640" t="s">
        <v>570</v>
      </c>
      <c r="C33" s="1641">
        <f>SUM(C5:C32)</f>
        <v>17431453</v>
      </c>
      <c r="D33" s="1641">
        <f t="shared" ref="D33:L33" si="1">SUM(D5:D32)</f>
        <v>5372866</v>
      </c>
      <c r="E33" s="1641">
        <f t="shared" si="1"/>
        <v>1530082</v>
      </c>
      <c r="F33" s="1641">
        <f t="shared" si="1"/>
        <v>183735</v>
      </c>
      <c r="G33" s="1641">
        <f t="shared" si="1"/>
        <v>446462</v>
      </c>
      <c r="H33" s="1641">
        <f t="shared" si="1"/>
        <v>168019</v>
      </c>
      <c r="I33" s="1641">
        <f t="shared" si="1"/>
        <v>9548</v>
      </c>
      <c r="J33" s="1641">
        <f t="shared" si="1"/>
        <v>0</v>
      </c>
      <c r="K33" s="1641">
        <f t="shared" si="1"/>
        <v>25142165</v>
      </c>
      <c r="L33" s="1641">
        <f t="shared" si="1"/>
        <v>37373720</v>
      </c>
    </row>
    <row r="34" spans="1:14" s="597" customFormat="1" ht="15.75" customHeight="1" thickTop="1" x14ac:dyDescent="0.2">
      <c r="A34" s="1579" t="s">
        <v>46</v>
      </c>
      <c r="B34" s="1580"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5" t="s">
        <v>1089</v>
      </c>
      <c r="B36" s="591">
        <v>2110</v>
      </c>
      <c r="C36" s="477">
        <v>0</v>
      </c>
      <c r="D36" s="477">
        <v>0</v>
      </c>
      <c r="E36" s="477">
        <v>0</v>
      </c>
      <c r="F36" s="477">
        <v>0</v>
      </c>
      <c r="G36" s="477">
        <v>0</v>
      </c>
      <c r="H36" s="477">
        <v>0</v>
      </c>
      <c r="I36" s="1964">
        <v>0</v>
      </c>
      <c r="J36" s="1964">
        <v>0</v>
      </c>
      <c r="K36" s="1642">
        <f t="shared" ref="K36:K41" si="2">SUM(C36:J36)</f>
        <v>0</v>
      </c>
      <c r="L36" s="1985">
        <v>0</v>
      </c>
    </row>
    <row r="37" spans="1:14" x14ac:dyDescent="0.2">
      <c r="A37" s="1475" t="s">
        <v>1090</v>
      </c>
      <c r="B37" s="591">
        <v>2120</v>
      </c>
      <c r="C37" s="1963">
        <v>0</v>
      </c>
      <c r="D37" s="1963">
        <v>0</v>
      </c>
      <c r="E37" s="1963">
        <v>0</v>
      </c>
      <c r="F37" s="1963">
        <v>0</v>
      </c>
      <c r="G37" s="1963">
        <v>0</v>
      </c>
      <c r="H37" s="1963">
        <v>0</v>
      </c>
      <c r="I37" s="1964">
        <v>0</v>
      </c>
      <c r="J37" s="1964">
        <v>0</v>
      </c>
      <c r="K37" s="1642">
        <f t="shared" si="2"/>
        <v>0</v>
      </c>
      <c r="L37" s="1985">
        <v>0</v>
      </c>
    </row>
    <row r="38" spans="1:14" x14ac:dyDescent="0.2">
      <c r="A38" s="1475" t="s">
        <v>198</v>
      </c>
      <c r="B38" s="591">
        <v>2130</v>
      </c>
      <c r="C38" s="1963">
        <v>0</v>
      </c>
      <c r="D38" s="1963">
        <v>0</v>
      </c>
      <c r="E38" s="1963">
        <v>0</v>
      </c>
      <c r="F38" s="1963">
        <v>0</v>
      </c>
      <c r="G38" s="1963">
        <v>0</v>
      </c>
      <c r="H38" s="1963">
        <v>0</v>
      </c>
      <c r="I38" s="1964">
        <v>0</v>
      </c>
      <c r="J38" s="1964">
        <v>0</v>
      </c>
      <c r="K38" s="1642">
        <f t="shared" si="2"/>
        <v>0</v>
      </c>
      <c r="L38" s="1985">
        <v>0</v>
      </c>
    </row>
    <row r="39" spans="1:14" x14ac:dyDescent="0.2">
      <c r="A39" s="1475" t="s">
        <v>199</v>
      </c>
      <c r="B39" s="591">
        <v>2140</v>
      </c>
      <c r="C39" s="1963">
        <v>0</v>
      </c>
      <c r="D39" s="1963">
        <v>0</v>
      </c>
      <c r="E39" s="1963">
        <v>0</v>
      </c>
      <c r="F39" s="1963">
        <v>0</v>
      </c>
      <c r="G39" s="1963">
        <v>0</v>
      </c>
      <c r="H39" s="1963">
        <v>0</v>
      </c>
      <c r="I39" s="1964">
        <v>0</v>
      </c>
      <c r="J39" s="1964">
        <v>0</v>
      </c>
      <c r="K39" s="1642">
        <f t="shared" si="2"/>
        <v>0</v>
      </c>
      <c r="L39" s="1985">
        <v>0</v>
      </c>
    </row>
    <row r="40" spans="1:14" x14ac:dyDescent="0.2">
      <c r="A40" s="1475" t="s">
        <v>200</v>
      </c>
      <c r="B40" s="591">
        <v>2150</v>
      </c>
      <c r="C40" s="1963">
        <v>0</v>
      </c>
      <c r="D40" s="1963">
        <v>0</v>
      </c>
      <c r="E40" s="1963">
        <v>0</v>
      </c>
      <c r="F40" s="1963">
        <v>0</v>
      </c>
      <c r="G40" s="1963">
        <v>0</v>
      </c>
      <c r="H40" s="1963">
        <v>0</v>
      </c>
      <c r="I40" s="1964">
        <v>0</v>
      </c>
      <c r="J40" s="1964">
        <v>0</v>
      </c>
      <c r="K40" s="1642">
        <f t="shared" si="2"/>
        <v>0</v>
      </c>
      <c r="L40" s="1985">
        <v>0</v>
      </c>
    </row>
    <row r="41" spans="1:14" x14ac:dyDescent="0.2">
      <c r="A41" s="1475" t="s">
        <v>1669</v>
      </c>
      <c r="B41" s="591">
        <v>2190</v>
      </c>
      <c r="C41" s="1963">
        <v>447201</v>
      </c>
      <c r="D41" s="1963">
        <v>93399</v>
      </c>
      <c r="E41" s="1963">
        <v>25749</v>
      </c>
      <c r="F41" s="1963">
        <v>38039</v>
      </c>
      <c r="G41" s="1963">
        <v>0</v>
      </c>
      <c r="H41" s="1963">
        <v>489</v>
      </c>
      <c r="I41" s="1964">
        <v>0</v>
      </c>
      <c r="J41" s="1964">
        <v>0</v>
      </c>
      <c r="K41" s="1642">
        <f t="shared" si="2"/>
        <v>604877</v>
      </c>
      <c r="L41" s="1985">
        <v>681200</v>
      </c>
    </row>
    <row r="42" spans="1:14" ht="12.75" customHeight="1" thickBot="1" x14ac:dyDescent="0.25">
      <c r="A42" s="1639" t="s">
        <v>560</v>
      </c>
      <c r="B42" s="1640" t="s">
        <v>716</v>
      </c>
      <c r="C42" s="1641">
        <f>SUM(C36:C41)</f>
        <v>447201</v>
      </c>
      <c r="D42" s="1641">
        <f t="shared" ref="D42:L42" si="3">SUM(D36:D41)</f>
        <v>93399</v>
      </c>
      <c r="E42" s="1641">
        <f t="shared" si="3"/>
        <v>25749</v>
      </c>
      <c r="F42" s="1641">
        <f t="shared" si="3"/>
        <v>38039</v>
      </c>
      <c r="G42" s="1641">
        <f t="shared" si="3"/>
        <v>0</v>
      </c>
      <c r="H42" s="1641">
        <f t="shared" si="3"/>
        <v>489</v>
      </c>
      <c r="I42" s="1641">
        <f t="shared" si="3"/>
        <v>0</v>
      </c>
      <c r="J42" s="1641">
        <f t="shared" si="3"/>
        <v>0</v>
      </c>
      <c r="K42" s="1641">
        <f t="shared" si="3"/>
        <v>604877</v>
      </c>
      <c r="L42" s="1641">
        <f t="shared" si="3"/>
        <v>681200</v>
      </c>
    </row>
    <row r="43" spans="1:14" ht="15.75" customHeight="1" thickTop="1" x14ac:dyDescent="0.2">
      <c r="A43" s="601" t="s">
        <v>592</v>
      </c>
      <c r="B43" s="602"/>
      <c r="C43" s="603"/>
      <c r="D43" s="603"/>
      <c r="E43" s="603"/>
      <c r="F43" s="603"/>
      <c r="G43" s="603"/>
      <c r="H43" s="603"/>
      <c r="I43" s="593"/>
      <c r="J43" s="593"/>
      <c r="K43" s="603"/>
      <c r="L43" s="603"/>
    </row>
    <row r="44" spans="1:14" x14ac:dyDescent="0.2">
      <c r="A44" s="1475" t="s">
        <v>814</v>
      </c>
      <c r="B44" s="591">
        <v>2210</v>
      </c>
      <c r="C44" s="477">
        <v>301672</v>
      </c>
      <c r="D44" s="477">
        <v>81748</v>
      </c>
      <c r="E44" s="477">
        <v>200134</v>
      </c>
      <c r="F44" s="477">
        <v>37150</v>
      </c>
      <c r="G44" s="477">
        <v>0</v>
      </c>
      <c r="H44" s="477">
        <v>0</v>
      </c>
      <c r="I44" s="1964">
        <v>0</v>
      </c>
      <c r="J44" s="1964">
        <v>0</v>
      </c>
      <c r="K44" s="1643">
        <f>SUM(C44:J44)</f>
        <v>620704</v>
      </c>
      <c r="L44" s="477">
        <v>722976</v>
      </c>
    </row>
    <row r="45" spans="1:14" x14ac:dyDescent="0.2">
      <c r="A45" s="1475" t="s">
        <v>815</v>
      </c>
      <c r="B45" s="591">
        <v>2220</v>
      </c>
      <c r="C45" s="1963">
        <v>0</v>
      </c>
      <c r="D45" s="1963">
        <v>0</v>
      </c>
      <c r="E45" s="1963">
        <v>0</v>
      </c>
      <c r="F45" s="1963">
        <v>0</v>
      </c>
      <c r="G45" s="1963">
        <v>0</v>
      </c>
      <c r="H45" s="1963">
        <v>0</v>
      </c>
      <c r="I45" s="1964">
        <v>0</v>
      </c>
      <c r="J45" s="1964">
        <v>0</v>
      </c>
      <c r="K45" s="1643">
        <f>SUM(C45:J45)</f>
        <v>0</v>
      </c>
      <c r="L45" s="1985">
        <v>0</v>
      </c>
    </row>
    <row r="46" spans="1:14" x14ac:dyDescent="0.2">
      <c r="A46" s="1475" t="s">
        <v>816</v>
      </c>
      <c r="B46" s="591">
        <v>2230</v>
      </c>
      <c r="C46" s="1963">
        <v>1646373</v>
      </c>
      <c r="D46" s="1963">
        <v>431390</v>
      </c>
      <c r="E46" s="1963">
        <v>161203</v>
      </c>
      <c r="F46" s="1963">
        <v>5428</v>
      </c>
      <c r="G46" s="1963">
        <v>0</v>
      </c>
      <c r="H46" s="1963">
        <v>387</v>
      </c>
      <c r="I46" s="1964">
        <v>0</v>
      </c>
      <c r="J46" s="1964">
        <v>0</v>
      </c>
      <c r="K46" s="1643">
        <f>SUM(C46:J46)</f>
        <v>2244781</v>
      </c>
      <c r="L46" s="1985">
        <v>2578276</v>
      </c>
    </row>
    <row r="47" spans="1:14" ht="12.75" customHeight="1" thickBot="1" x14ac:dyDescent="0.25">
      <c r="A47" s="1639" t="s">
        <v>561</v>
      </c>
      <c r="B47" s="1640" t="s">
        <v>32</v>
      </c>
      <c r="C47" s="1641">
        <f>SUM(C44:C46)</f>
        <v>1948045</v>
      </c>
      <c r="D47" s="1641">
        <f t="shared" ref="D47:K47" si="4">SUM(D44:D46)</f>
        <v>513138</v>
      </c>
      <c r="E47" s="1641">
        <f t="shared" si="4"/>
        <v>361337</v>
      </c>
      <c r="F47" s="1641">
        <f t="shared" si="4"/>
        <v>42578</v>
      </c>
      <c r="G47" s="1641">
        <f t="shared" si="4"/>
        <v>0</v>
      </c>
      <c r="H47" s="1641">
        <f t="shared" si="4"/>
        <v>387</v>
      </c>
      <c r="I47" s="1641">
        <f t="shared" si="4"/>
        <v>0</v>
      </c>
      <c r="J47" s="1641">
        <f t="shared" si="4"/>
        <v>0</v>
      </c>
      <c r="K47" s="1641">
        <f t="shared" si="4"/>
        <v>2865485</v>
      </c>
      <c r="L47" s="1641">
        <f>SUM(L44:L46)</f>
        <v>3301252</v>
      </c>
    </row>
    <row r="48" spans="1:14" ht="15.75" customHeight="1" thickTop="1" x14ac:dyDescent="0.2">
      <c r="A48" s="601" t="s">
        <v>610</v>
      </c>
      <c r="B48" s="602"/>
      <c r="C48" s="603"/>
      <c r="D48" s="603"/>
      <c r="E48" s="603"/>
      <c r="F48" s="603"/>
      <c r="G48" s="603"/>
      <c r="H48" s="603"/>
      <c r="I48" s="593"/>
      <c r="J48" s="593"/>
      <c r="K48" s="603"/>
      <c r="L48" s="603"/>
    </row>
    <row r="49" spans="1:14" x14ac:dyDescent="0.2">
      <c r="A49" s="1475" t="s">
        <v>817</v>
      </c>
      <c r="B49" s="591">
        <v>2310</v>
      </c>
      <c r="C49" s="477">
        <v>0</v>
      </c>
      <c r="D49" s="477">
        <v>0</v>
      </c>
      <c r="E49" s="477">
        <v>0</v>
      </c>
      <c r="F49" s="477">
        <v>0</v>
      </c>
      <c r="G49" s="477">
        <v>0</v>
      </c>
      <c r="H49" s="477">
        <v>0</v>
      </c>
      <c r="I49" s="1964">
        <v>0</v>
      </c>
      <c r="J49" s="1964">
        <v>0</v>
      </c>
      <c r="K49" s="1643">
        <f>SUM(C49:J49)</f>
        <v>0</v>
      </c>
      <c r="L49" s="477">
        <v>0</v>
      </c>
    </row>
    <row r="50" spans="1:14" x14ac:dyDescent="0.2">
      <c r="A50" s="1475" t="s">
        <v>818</v>
      </c>
      <c r="B50" s="591">
        <v>2320</v>
      </c>
      <c r="C50" s="1963">
        <v>1655116</v>
      </c>
      <c r="D50" s="1963">
        <v>350197</v>
      </c>
      <c r="E50" s="1963">
        <v>342129</v>
      </c>
      <c r="F50" s="1963">
        <v>221574</v>
      </c>
      <c r="G50" s="1963">
        <v>36422</v>
      </c>
      <c r="H50" s="1963">
        <v>72836</v>
      </c>
      <c r="I50" s="1964">
        <v>382</v>
      </c>
      <c r="J50" s="1964">
        <v>0</v>
      </c>
      <c r="K50" s="1643">
        <f>SUM(C50:J50)</f>
        <v>2678656</v>
      </c>
      <c r="L50" s="1985">
        <v>2873032</v>
      </c>
    </row>
    <row r="51" spans="1:14" x14ac:dyDescent="0.2">
      <c r="A51" s="1475" t="s">
        <v>42</v>
      </c>
      <c r="B51" s="591">
        <v>2330</v>
      </c>
      <c r="C51" s="1963">
        <v>0</v>
      </c>
      <c r="D51" s="1963">
        <v>0</v>
      </c>
      <c r="E51" s="1963">
        <v>0</v>
      </c>
      <c r="F51" s="1963">
        <v>0</v>
      </c>
      <c r="G51" s="1963">
        <v>0</v>
      </c>
      <c r="H51" s="1963">
        <v>0</v>
      </c>
      <c r="I51" s="1964">
        <v>0</v>
      </c>
      <c r="J51" s="1964">
        <v>0</v>
      </c>
      <c r="K51" s="1643">
        <f>SUM(C51:J51)</f>
        <v>0</v>
      </c>
      <c r="L51" s="1985">
        <v>0</v>
      </c>
    </row>
    <row r="52" spans="1:14" ht="22.5" x14ac:dyDescent="0.2">
      <c r="A52" s="1476" t="s">
        <v>298</v>
      </c>
      <c r="B52" s="604" t="s">
        <v>366</v>
      </c>
      <c r="C52" s="1966">
        <v>0</v>
      </c>
      <c r="D52" s="1966">
        <v>0</v>
      </c>
      <c r="E52" s="1966">
        <v>0</v>
      </c>
      <c r="F52" s="1966">
        <v>0</v>
      </c>
      <c r="G52" s="1966">
        <v>0</v>
      </c>
      <c r="H52" s="1966">
        <v>0</v>
      </c>
      <c r="I52" s="1966">
        <v>0</v>
      </c>
      <c r="J52" s="1966">
        <v>0</v>
      </c>
      <c r="K52" s="1643">
        <f>SUM(C52:J52)</f>
        <v>0</v>
      </c>
      <c r="L52" s="1988">
        <v>0</v>
      </c>
    </row>
    <row r="53" spans="1:14" ht="12.75" customHeight="1" thickBot="1" x14ac:dyDescent="0.25">
      <c r="A53" s="1639" t="s">
        <v>717</v>
      </c>
      <c r="B53" s="1640" t="s">
        <v>33</v>
      </c>
      <c r="C53" s="1641">
        <f>SUM(C49:C52)</f>
        <v>1655116</v>
      </c>
      <c r="D53" s="1641">
        <f t="shared" ref="D53:L53" si="5">SUM(D49:D52)</f>
        <v>350197</v>
      </c>
      <c r="E53" s="1641">
        <f t="shared" si="5"/>
        <v>342129</v>
      </c>
      <c r="F53" s="1641">
        <f t="shared" si="5"/>
        <v>221574</v>
      </c>
      <c r="G53" s="1641">
        <f t="shared" si="5"/>
        <v>36422</v>
      </c>
      <c r="H53" s="1641">
        <f t="shared" si="5"/>
        <v>72836</v>
      </c>
      <c r="I53" s="1641">
        <f t="shared" si="5"/>
        <v>382</v>
      </c>
      <c r="J53" s="1641">
        <f t="shared" si="5"/>
        <v>0</v>
      </c>
      <c r="K53" s="1641">
        <f t="shared" si="5"/>
        <v>2678656</v>
      </c>
      <c r="L53" s="1641">
        <f t="shared" si="5"/>
        <v>2873032</v>
      </c>
    </row>
    <row r="54" spans="1:14" ht="15.75" customHeight="1" thickTop="1" x14ac:dyDescent="0.2">
      <c r="A54" s="601" t="s">
        <v>611</v>
      </c>
      <c r="B54" s="602"/>
      <c r="C54" s="603"/>
      <c r="D54" s="603"/>
      <c r="E54" s="603"/>
      <c r="F54" s="603"/>
      <c r="G54" s="603"/>
      <c r="H54" s="603"/>
      <c r="I54" s="593"/>
      <c r="J54" s="593"/>
      <c r="K54" s="603"/>
      <c r="L54" s="603"/>
    </row>
    <row r="55" spans="1:14" x14ac:dyDescent="0.2">
      <c r="A55" s="1475" t="s">
        <v>1067</v>
      </c>
      <c r="B55" s="591">
        <v>2410</v>
      </c>
      <c r="C55" s="477">
        <v>0</v>
      </c>
      <c r="D55" s="477">
        <v>0</v>
      </c>
      <c r="E55" s="477">
        <v>0</v>
      </c>
      <c r="F55" s="477">
        <v>0</v>
      </c>
      <c r="G55" s="477">
        <v>0</v>
      </c>
      <c r="H55" s="477">
        <v>0</v>
      </c>
      <c r="I55" s="1964">
        <v>0</v>
      </c>
      <c r="J55" s="1964">
        <v>0</v>
      </c>
      <c r="K55" s="1643">
        <f>SUM(C55:J55)</f>
        <v>0</v>
      </c>
      <c r="L55" s="477">
        <v>0</v>
      </c>
    </row>
    <row r="56" spans="1:14" ht="12.75" customHeight="1" x14ac:dyDescent="0.2">
      <c r="A56" s="1479" t="s">
        <v>376</v>
      </c>
      <c r="B56" s="605">
        <v>2490</v>
      </c>
      <c r="C56" s="1963">
        <v>0</v>
      </c>
      <c r="D56" s="1963">
        <v>0</v>
      </c>
      <c r="E56" s="1963">
        <v>0</v>
      </c>
      <c r="F56" s="1963">
        <v>0</v>
      </c>
      <c r="G56" s="1963">
        <v>0</v>
      </c>
      <c r="H56" s="1963">
        <v>0</v>
      </c>
      <c r="I56" s="1964">
        <v>0</v>
      </c>
      <c r="J56" s="1964">
        <v>0</v>
      </c>
      <c r="K56" s="1643">
        <f>SUM(C56:J56)</f>
        <v>0</v>
      </c>
      <c r="L56" s="1985">
        <v>0</v>
      </c>
    </row>
    <row r="57" spans="1:14" s="343" customFormat="1" ht="12.75" customHeight="1" thickBot="1" x14ac:dyDescent="0.25">
      <c r="A57" s="1639" t="s">
        <v>263</v>
      </c>
      <c r="B57" s="1644" t="s">
        <v>34</v>
      </c>
      <c r="C57" s="1645">
        <f>SUM(C55:C56)</f>
        <v>0</v>
      </c>
      <c r="D57" s="1645">
        <f t="shared" ref="D57:K57" si="6">SUM(D55:D56)</f>
        <v>0</v>
      </c>
      <c r="E57" s="1645">
        <f t="shared" si="6"/>
        <v>0</v>
      </c>
      <c r="F57" s="1645">
        <f t="shared" si="6"/>
        <v>0</v>
      </c>
      <c r="G57" s="1645">
        <f t="shared" si="6"/>
        <v>0</v>
      </c>
      <c r="H57" s="1645">
        <f t="shared" si="6"/>
        <v>0</v>
      </c>
      <c r="I57" s="1645">
        <f t="shared" si="6"/>
        <v>0</v>
      </c>
      <c r="J57" s="1645">
        <f t="shared" si="6"/>
        <v>0</v>
      </c>
      <c r="K57" s="1645">
        <f t="shared" si="6"/>
        <v>0</v>
      </c>
      <c r="L57" s="1641">
        <f>SUM(L55:L56)</f>
        <v>0</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5" t="s">
        <v>1068</v>
      </c>
      <c r="B59" s="591">
        <v>2510</v>
      </c>
      <c r="C59" s="477">
        <v>0</v>
      </c>
      <c r="D59" s="477">
        <v>0</v>
      </c>
      <c r="E59" s="477">
        <v>0</v>
      </c>
      <c r="F59" s="477">
        <v>0</v>
      </c>
      <c r="G59" s="477">
        <v>0</v>
      </c>
      <c r="H59" s="477">
        <v>0</v>
      </c>
      <c r="I59" s="1964">
        <v>0</v>
      </c>
      <c r="J59" s="1964">
        <v>0</v>
      </c>
      <c r="K59" s="1643">
        <f t="shared" ref="K59:K64" si="7">SUM(C59:J59)</f>
        <v>0</v>
      </c>
      <c r="L59" s="477">
        <v>0</v>
      </c>
      <c r="M59" s="586"/>
      <c r="N59" s="586"/>
    </row>
    <row r="60" spans="1:14" s="343" customFormat="1" x14ac:dyDescent="0.2">
      <c r="A60" s="1475" t="s">
        <v>463</v>
      </c>
      <c r="B60" s="591">
        <v>2520</v>
      </c>
      <c r="C60" s="1963">
        <v>0</v>
      </c>
      <c r="D60" s="1963">
        <v>0</v>
      </c>
      <c r="E60" s="1963">
        <v>0</v>
      </c>
      <c r="F60" s="1963">
        <v>0</v>
      </c>
      <c r="G60" s="1963">
        <v>0</v>
      </c>
      <c r="H60" s="1963">
        <v>0</v>
      </c>
      <c r="I60" s="1964">
        <v>0</v>
      </c>
      <c r="J60" s="1964">
        <v>0</v>
      </c>
      <c r="K60" s="1643">
        <f t="shared" si="7"/>
        <v>0</v>
      </c>
      <c r="L60" s="1985">
        <v>0</v>
      </c>
      <c r="M60" s="586"/>
      <c r="N60" s="586"/>
    </row>
    <row r="61" spans="1:14" s="343" customFormat="1" x14ac:dyDescent="0.2">
      <c r="A61" s="1475" t="s">
        <v>197</v>
      </c>
      <c r="B61" s="591">
        <v>2540</v>
      </c>
      <c r="C61" s="1963">
        <v>480790</v>
      </c>
      <c r="D61" s="1963">
        <v>153610</v>
      </c>
      <c r="E61" s="1963">
        <v>681197</v>
      </c>
      <c r="F61" s="1963">
        <v>244129</v>
      </c>
      <c r="G61" s="1963">
        <v>70232</v>
      </c>
      <c r="H61" s="1963">
        <v>18265</v>
      </c>
      <c r="I61" s="1964">
        <v>548</v>
      </c>
      <c r="J61" s="1964">
        <v>0</v>
      </c>
      <c r="K61" s="1643">
        <f t="shared" si="7"/>
        <v>1648771</v>
      </c>
      <c r="L61" s="1985">
        <v>795965</v>
      </c>
      <c r="M61" s="586"/>
      <c r="N61" s="586"/>
    </row>
    <row r="62" spans="1:14" s="343" customFormat="1" x14ac:dyDescent="0.2">
      <c r="A62" s="1475" t="s">
        <v>953</v>
      </c>
      <c r="B62" s="591">
        <v>2550</v>
      </c>
      <c r="C62" s="1963">
        <v>0</v>
      </c>
      <c r="D62" s="1963">
        <v>1876</v>
      </c>
      <c r="E62" s="1963">
        <v>1230</v>
      </c>
      <c r="F62" s="1963">
        <v>0</v>
      </c>
      <c r="G62" s="1963">
        <v>405674</v>
      </c>
      <c r="H62" s="1963">
        <v>0</v>
      </c>
      <c r="I62" s="1964">
        <v>0</v>
      </c>
      <c r="J62" s="1964">
        <v>0</v>
      </c>
      <c r="K62" s="1643">
        <f t="shared" si="7"/>
        <v>408780</v>
      </c>
      <c r="L62" s="1985">
        <v>0</v>
      </c>
      <c r="M62" s="586"/>
      <c r="N62" s="586"/>
    </row>
    <row r="63" spans="1:14" s="586" customFormat="1" x14ac:dyDescent="0.2">
      <c r="A63" s="1475" t="s">
        <v>100</v>
      </c>
      <c r="B63" s="591">
        <v>2560</v>
      </c>
      <c r="C63" s="1963">
        <v>136560</v>
      </c>
      <c r="D63" s="1963">
        <v>54922</v>
      </c>
      <c r="E63" s="1963">
        <v>0</v>
      </c>
      <c r="F63" s="1963">
        <v>106873</v>
      </c>
      <c r="G63" s="1963">
        <v>0</v>
      </c>
      <c r="H63" s="1963">
        <v>0</v>
      </c>
      <c r="I63" s="1964">
        <v>0</v>
      </c>
      <c r="J63" s="1964">
        <v>0</v>
      </c>
      <c r="K63" s="1643">
        <f t="shared" si="7"/>
        <v>298355</v>
      </c>
      <c r="L63" s="1985">
        <v>0</v>
      </c>
    </row>
    <row r="64" spans="1:14" s="586" customFormat="1" x14ac:dyDescent="0.2">
      <c r="A64" s="1480" t="s">
        <v>101</v>
      </c>
      <c r="B64" s="607">
        <v>2570</v>
      </c>
      <c r="C64" s="477">
        <v>0</v>
      </c>
      <c r="D64" s="477">
        <v>0</v>
      </c>
      <c r="E64" s="477">
        <v>0</v>
      </c>
      <c r="F64" s="477">
        <v>0</v>
      </c>
      <c r="G64" s="477">
        <v>0</v>
      </c>
      <c r="H64" s="477">
        <v>0</v>
      </c>
      <c r="I64" s="1964">
        <v>0</v>
      </c>
      <c r="J64" s="1964">
        <v>0</v>
      </c>
      <c r="K64" s="1643">
        <f t="shared" si="7"/>
        <v>0</v>
      </c>
      <c r="L64" s="477">
        <v>0</v>
      </c>
    </row>
    <row r="65" spans="1:14" s="343" customFormat="1" ht="12.75" customHeight="1" thickBot="1" x14ac:dyDescent="0.25">
      <c r="A65" s="1639" t="s">
        <v>719</v>
      </c>
      <c r="B65" s="1640" t="s">
        <v>35</v>
      </c>
      <c r="C65" s="1641">
        <f>SUM(C59:C64)</f>
        <v>617350</v>
      </c>
      <c r="D65" s="1641">
        <f t="shared" ref="D65:L65" si="8">SUM(D59:D64)</f>
        <v>210408</v>
      </c>
      <c r="E65" s="1641">
        <f t="shared" si="8"/>
        <v>682427</v>
      </c>
      <c r="F65" s="1641">
        <f t="shared" si="8"/>
        <v>351002</v>
      </c>
      <c r="G65" s="1641">
        <f t="shared" si="8"/>
        <v>475906</v>
      </c>
      <c r="H65" s="1641">
        <f t="shared" si="8"/>
        <v>18265</v>
      </c>
      <c r="I65" s="1641">
        <f t="shared" si="8"/>
        <v>548</v>
      </c>
      <c r="J65" s="1641">
        <f t="shared" si="8"/>
        <v>0</v>
      </c>
      <c r="K65" s="1641">
        <f t="shared" si="8"/>
        <v>2355906</v>
      </c>
      <c r="L65" s="1641">
        <f t="shared" si="8"/>
        <v>795965</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5" t="s">
        <v>1060</v>
      </c>
      <c r="B67" s="591">
        <v>2610</v>
      </c>
      <c r="C67" s="1963">
        <v>0</v>
      </c>
      <c r="D67" s="1963">
        <v>0</v>
      </c>
      <c r="E67" s="1963">
        <v>0</v>
      </c>
      <c r="F67" s="1963">
        <v>0</v>
      </c>
      <c r="G67" s="1963">
        <v>0</v>
      </c>
      <c r="H67" s="1963">
        <v>0</v>
      </c>
      <c r="I67" s="1964">
        <v>0</v>
      </c>
      <c r="J67" s="1964">
        <v>0</v>
      </c>
      <c r="K67" s="1643">
        <f>SUM(C67:J67)</f>
        <v>0</v>
      </c>
      <c r="L67" s="477">
        <v>0</v>
      </c>
      <c r="M67" s="586"/>
      <c r="N67" s="586"/>
    </row>
    <row r="68" spans="1:14" s="343" customFormat="1" x14ac:dyDescent="0.2">
      <c r="A68" s="1475" t="s">
        <v>607</v>
      </c>
      <c r="B68" s="591">
        <v>2620</v>
      </c>
      <c r="C68" s="1963">
        <v>0</v>
      </c>
      <c r="D68" s="1963">
        <v>0</v>
      </c>
      <c r="E68" s="1963">
        <v>0</v>
      </c>
      <c r="F68" s="1963">
        <v>0</v>
      </c>
      <c r="G68" s="1963">
        <v>0</v>
      </c>
      <c r="H68" s="1963">
        <v>0</v>
      </c>
      <c r="I68" s="1964">
        <v>0</v>
      </c>
      <c r="J68" s="1964">
        <v>0</v>
      </c>
      <c r="K68" s="1643">
        <f>SUM(C68:J68)</f>
        <v>0</v>
      </c>
      <c r="L68" s="1985">
        <v>0</v>
      </c>
      <c r="M68" s="586"/>
      <c r="N68" s="586"/>
    </row>
    <row r="69" spans="1:14" s="343" customFormat="1" x14ac:dyDescent="0.2">
      <c r="A69" s="1475" t="s">
        <v>1061</v>
      </c>
      <c r="B69" s="591">
        <v>2630</v>
      </c>
      <c r="C69" s="1963">
        <v>0</v>
      </c>
      <c r="D69" s="1963">
        <v>0</v>
      </c>
      <c r="E69" s="1963">
        <v>0</v>
      </c>
      <c r="F69" s="1963">
        <v>0</v>
      </c>
      <c r="G69" s="1963">
        <v>0</v>
      </c>
      <c r="H69" s="1963">
        <v>0</v>
      </c>
      <c r="I69" s="1964">
        <v>0</v>
      </c>
      <c r="J69" s="1964">
        <v>0</v>
      </c>
      <c r="K69" s="1643">
        <f>SUM(C69:J69)</f>
        <v>0</v>
      </c>
      <c r="L69" s="1985">
        <v>0</v>
      </c>
      <c r="M69" s="586"/>
      <c r="N69" s="586"/>
    </row>
    <row r="70" spans="1:14" s="343" customFormat="1" x14ac:dyDescent="0.2">
      <c r="A70" s="1475" t="s">
        <v>403</v>
      </c>
      <c r="B70" s="591">
        <v>2640</v>
      </c>
      <c r="C70" s="1963">
        <v>0</v>
      </c>
      <c r="D70" s="1963">
        <v>0</v>
      </c>
      <c r="E70" s="1963">
        <v>0</v>
      </c>
      <c r="F70" s="1963">
        <v>0</v>
      </c>
      <c r="G70" s="1963">
        <v>0</v>
      </c>
      <c r="H70" s="1963">
        <v>0</v>
      </c>
      <c r="I70" s="1964">
        <v>0</v>
      </c>
      <c r="J70" s="1964">
        <v>0</v>
      </c>
      <c r="K70" s="1643">
        <f>SUM(C70:J70)</f>
        <v>0</v>
      </c>
      <c r="L70" s="1985">
        <v>0</v>
      </c>
      <c r="M70" s="586"/>
      <c r="N70" s="586"/>
    </row>
    <row r="71" spans="1:14" s="343" customFormat="1" x14ac:dyDescent="0.2">
      <c r="A71" s="1475" t="s">
        <v>404</v>
      </c>
      <c r="B71" s="591">
        <v>2660</v>
      </c>
      <c r="C71" s="1963">
        <v>0</v>
      </c>
      <c r="D71" s="1963">
        <v>0</v>
      </c>
      <c r="E71" s="1963">
        <v>0</v>
      </c>
      <c r="F71" s="1963">
        <v>0</v>
      </c>
      <c r="G71" s="1963">
        <v>0</v>
      </c>
      <c r="H71" s="1963">
        <v>0</v>
      </c>
      <c r="I71" s="1964">
        <v>0</v>
      </c>
      <c r="J71" s="1964">
        <v>0</v>
      </c>
      <c r="K71" s="1643">
        <f>SUM(C71:J71)</f>
        <v>0</v>
      </c>
      <c r="L71" s="1985">
        <v>0</v>
      </c>
      <c r="M71" s="586"/>
      <c r="N71" s="586"/>
    </row>
    <row r="72" spans="1:14" s="343" customFormat="1" ht="12.75" customHeight="1" thickBot="1" x14ac:dyDescent="0.25">
      <c r="A72" s="1639" t="s">
        <v>37</v>
      </c>
      <c r="B72" s="1646" t="s">
        <v>36</v>
      </c>
      <c r="C72" s="1641">
        <f>SUM(C67:C71)</f>
        <v>0</v>
      </c>
      <c r="D72" s="1641">
        <f t="shared" ref="D72:K72" si="9">SUM(D67:D71)</f>
        <v>0</v>
      </c>
      <c r="E72" s="1641">
        <f t="shared" si="9"/>
        <v>0</v>
      </c>
      <c r="F72" s="1641">
        <f t="shared" si="9"/>
        <v>0</v>
      </c>
      <c r="G72" s="1641">
        <f t="shared" si="9"/>
        <v>0</v>
      </c>
      <c r="H72" s="1641">
        <f t="shared" si="9"/>
        <v>0</v>
      </c>
      <c r="I72" s="1641">
        <f t="shared" si="9"/>
        <v>0</v>
      </c>
      <c r="J72" s="1641">
        <f t="shared" si="9"/>
        <v>0</v>
      </c>
      <c r="K72" s="1641">
        <f t="shared" si="9"/>
        <v>0</v>
      </c>
      <c r="L72" s="1641">
        <f>SUM(L67:L71)</f>
        <v>0</v>
      </c>
      <c r="M72" s="586"/>
      <c r="N72" s="586"/>
    </row>
    <row r="73" spans="1:14" s="343" customFormat="1" ht="14.25" thickTop="1" thickBot="1" x14ac:dyDescent="0.25">
      <c r="A73" s="1481" t="s">
        <v>980</v>
      </c>
      <c r="B73" s="609" t="s">
        <v>574</v>
      </c>
      <c r="C73" s="1974">
        <v>889761</v>
      </c>
      <c r="D73" s="1974">
        <v>221611</v>
      </c>
      <c r="E73" s="1974">
        <v>38427</v>
      </c>
      <c r="F73" s="1974">
        <v>96987</v>
      </c>
      <c r="G73" s="1974">
        <v>107820</v>
      </c>
      <c r="H73" s="1974">
        <v>182343</v>
      </c>
      <c r="I73" s="1971">
        <v>57600</v>
      </c>
      <c r="J73" s="1971">
        <v>0</v>
      </c>
      <c r="K73" s="1641">
        <f>SUM(C73:J73)</f>
        <v>1594549</v>
      </c>
      <c r="L73" s="1998">
        <v>1696510</v>
      </c>
      <c r="M73" s="586"/>
      <c r="N73" s="586"/>
    </row>
    <row r="74" spans="1:14" ht="12.75" customHeight="1" thickTop="1" thickBot="1" x14ac:dyDescent="0.25">
      <c r="A74" s="1639" t="s">
        <v>811</v>
      </c>
      <c r="B74" s="1647">
        <v>2000</v>
      </c>
      <c r="C74" s="1648">
        <f>SUM(C42,C47,C53,C57,C65,C72,C73)</f>
        <v>5557473</v>
      </c>
      <c r="D74" s="1648">
        <f t="shared" ref="D74:K74" si="10">SUM(D42,D47,D53,D57,D65,D72,D73)</f>
        <v>1388753</v>
      </c>
      <c r="E74" s="1648">
        <f t="shared" si="10"/>
        <v>1450069</v>
      </c>
      <c r="F74" s="1648">
        <f t="shared" si="10"/>
        <v>750180</v>
      </c>
      <c r="G74" s="1648">
        <f t="shared" si="10"/>
        <v>620148</v>
      </c>
      <c r="H74" s="1648">
        <f t="shared" si="10"/>
        <v>274320</v>
      </c>
      <c r="I74" s="1648">
        <f t="shared" si="10"/>
        <v>58530</v>
      </c>
      <c r="J74" s="1648">
        <f t="shared" si="10"/>
        <v>0</v>
      </c>
      <c r="K74" s="1648">
        <f t="shared" si="10"/>
        <v>10099473</v>
      </c>
      <c r="L74" s="1648">
        <f>SUM(L42,L47,L53,L57,L65,L72,L73)</f>
        <v>9347959</v>
      </c>
    </row>
    <row r="75" spans="1:14" s="259" customFormat="1" ht="15.75" customHeight="1" thickTop="1" thickBot="1" x14ac:dyDescent="0.25">
      <c r="A75" s="1581" t="s">
        <v>47</v>
      </c>
      <c r="B75" s="1582" t="s">
        <v>575</v>
      </c>
      <c r="C75" s="1974">
        <v>0</v>
      </c>
      <c r="D75" s="1974">
        <v>0</v>
      </c>
      <c r="E75" s="1974">
        <v>0</v>
      </c>
      <c r="F75" s="1974">
        <v>0</v>
      </c>
      <c r="G75" s="1974">
        <v>0</v>
      </c>
      <c r="H75" s="1974">
        <v>0</v>
      </c>
      <c r="I75" s="1971">
        <v>0</v>
      </c>
      <c r="J75" s="1971">
        <v>0</v>
      </c>
      <c r="K75" s="1641">
        <f>SUM(C75:J75)</f>
        <v>0</v>
      </c>
      <c r="L75" s="1998">
        <v>0</v>
      </c>
      <c r="M75" s="590"/>
      <c r="N75" s="590"/>
    </row>
    <row r="76" spans="1:14" s="610" customFormat="1" ht="15.75" customHeight="1" thickTop="1" x14ac:dyDescent="0.2">
      <c r="A76" s="1583" t="s">
        <v>365</v>
      </c>
      <c r="B76" s="1580"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5" t="s">
        <v>496</v>
      </c>
      <c r="B78" s="591">
        <v>4110</v>
      </c>
      <c r="C78" s="593"/>
      <c r="D78" s="593"/>
      <c r="E78" s="477">
        <v>0</v>
      </c>
      <c r="F78" s="593"/>
      <c r="G78" s="593"/>
      <c r="H78" s="611">
        <v>0</v>
      </c>
      <c r="I78" s="473"/>
      <c r="J78" s="473"/>
      <c r="K78" s="1642">
        <f t="shared" ref="K78:K83" si="11">SUM(C78:J78)</f>
        <v>0</v>
      </c>
      <c r="L78" s="477">
        <v>0</v>
      </c>
    </row>
    <row r="79" spans="1:14" x14ac:dyDescent="0.2">
      <c r="A79" s="1475" t="s">
        <v>304</v>
      </c>
      <c r="B79" s="591">
        <v>4120</v>
      </c>
      <c r="C79" s="593"/>
      <c r="D79" s="593"/>
      <c r="E79" s="1963">
        <v>0</v>
      </c>
      <c r="F79" s="593"/>
      <c r="G79" s="593"/>
      <c r="H79" s="1963">
        <v>10128593</v>
      </c>
      <c r="I79" s="473"/>
      <c r="J79" s="473"/>
      <c r="K79" s="1642">
        <f t="shared" si="11"/>
        <v>10128593</v>
      </c>
      <c r="L79" s="1985">
        <v>0</v>
      </c>
    </row>
    <row r="80" spans="1:14" x14ac:dyDescent="0.2">
      <c r="A80" s="1475" t="s">
        <v>305</v>
      </c>
      <c r="B80" s="591">
        <v>4130</v>
      </c>
      <c r="C80" s="593"/>
      <c r="D80" s="593"/>
      <c r="E80" s="1963">
        <v>0</v>
      </c>
      <c r="F80" s="593"/>
      <c r="G80" s="593"/>
      <c r="H80" s="1963">
        <v>0</v>
      </c>
      <c r="I80" s="473"/>
      <c r="J80" s="473"/>
      <c r="K80" s="1642">
        <f t="shared" si="11"/>
        <v>0</v>
      </c>
      <c r="L80" s="1985">
        <v>0</v>
      </c>
    </row>
    <row r="81" spans="1:12" x14ac:dyDescent="0.2">
      <c r="A81" s="1475" t="s">
        <v>697</v>
      </c>
      <c r="B81" s="591">
        <v>4140</v>
      </c>
      <c r="C81" s="593"/>
      <c r="D81" s="593"/>
      <c r="E81" s="1963">
        <v>0</v>
      </c>
      <c r="F81" s="593"/>
      <c r="G81" s="593"/>
      <c r="H81" s="1963">
        <v>0</v>
      </c>
      <c r="I81" s="473"/>
      <c r="J81" s="473"/>
      <c r="K81" s="1642">
        <f t="shared" si="11"/>
        <v>0</v>
      </c>
      <c r="L81" s="1985">
        <v>0</v>
      </c>
    </row>
    <row r="82" spans="1:12" x14ac:dyDescent="0.2">
      <c r="A82" s="1475" t="s">
        <v>86</v>
      </c>
      <c r="B82" s="591">
        <v>4170</v>
      </c>
      <c r="C82" s="593"/>
      <c r="D82" s="593"/>
      <c r="E82" s="1963">
        <v>0</v>
      </c>
      <c r="F82" s="593"/>
      <c r="G82" s="593"/>
      <c r="H82" s="1963">
        <v>0</v>
      </c>
      <c r="I82" s="473"/>
      <c r="J82" s="473"/>
      <c r="K82" s="1642">
        <f t="shared" si="11"/>
        <v>0</v>
      </c>
      <c r="L82" s="1985">
        <v>0</v>
      </c>
    </row>
    <row r="83" spans="1:12" x14ac:dyDescent="0.2">
      <c r="A83" s="1479" t="s">
        <v>698</v>
      </c>
      <c r="B83" s="605">
        <v>4190</v>
      </c>
      <c r="C83" s="593"/>
      <c r="D83" s="593"/>
      <c r="E83" s="1963">
        <v>0</v>
      </c>
      <c r="F83" s="593"/>
      <c r="G83" s="593"/>
      <c r="H83" s="1963">
        <v>871710</v>
      </c>
      <c r="I83" s="473"/>
      <c r="J83" s="473"/>
      <c r="K83" s="1642">
        <f t="shared" si="11"/>
        <v>871710</v>
      </c>
      <c r="L83" s="1985">
        <v>0</v>
      </c>
    </row>
    <row r="84" spans="1:12" ht="13.5" thickBot="1" x14ac:dyDescent="0.25">
      <c r="A84" s="1639" t="s">
        <v>1485</v>
      </c>
      <c r="B84" s="1649">
        <v>4100</v>
      </c>
      <c r="C84" s="593"/>
      <c r="D84" s="593"/>
      <c r="E84" s="1641">
        <f>SUM(E78:E83)</f>
        <v>0</v>
      </c>
      <c r="F84" s="593"/>
      <c r="G84" s="593"/>
      <c r="H84" s="1641">
        <f>SUM(H78:H83)</f>
        <v>11000303</v>
      </c>
      <c r="I84" s="473"/>
      <c r="J84" s="473"/>
      <c r="K84" s="1641">
        <f>SUM(K78:K83)</f>
        <v>11000303</v>
      </c>
      <c r="L84" s="1641">
        <f>SUM(L78:L83)</f>
        <v>0</v>
      </c>
    </row>
    <row r="85" spans="1:12" ht="12.75" customHeight="1" thickTop="1" thickBot="1" x14ac:dyDescent="0.25">
      <c r="A85" s="1482" t="s">
        <v>255</v>
      </c>
      <c r="B85" s="612">
        <v>4210</v>
      </c>
      <c r="C85" s="593"/>
      <c r="D85" s="593"/>
      <c r="E85" s="613"/>
      <c r="F85" s="593"/>
      <c r="G85" s="593"/>
      <c r="H85" s="1973">
        <v>0</v>
      </c>
      <c r="I85" s="473"/>
      <c r="J85" s="473"/>
      <c r="K85" s="1648">
        <f>H85</f>
        <v>0</v>
      </c>
      <c r="L85" s="1993">
        <v>0</v>
      </c>
    </row>
    <row r="86" spans="1:12" ht="12.75" customHeight="1" thickTop="1" thickBot="1" x14ac:dyDescent="0.25">
      <c r="A86" s="1483" t="s">
        <v>699</v>
      </c>
      <c r="B86" s="614">
        <v>4220</v>
      </c>
      <c r="C86" s="593"/>
      <c r="D86" s="593"/>
      <c r="E86" s="615"/>
      <c r="F86" s="593"/>
      <c r="G86" s="593"/>
      <c r="H86" s="1964">
        <v>0</v>
      </c>
      <c r="I86" s="473"/>
      <c r="J86" s="473"/>
      <c r="K86" s="1648">
        <f t="shared" ref="K86:K98" si="12">H86</f>
        <v>0</v>
      </c>
      <c r="L86" s="1993">
        <v>0</v>
      </c>
    </row>
    <row r="87" spans="1:12" ht="14.25" thickTop="1" thickBot="1" x14ac:dyDescent="0.25">
      <c r="A87" s="1484" t="s">
        <v>700</v>
      </c>
      <c r="B87" s="616">
        <v>4230</v>
      </c>
      <c r="C87" s="593"/>
      <c r="D87" s="593"/>
      <c r="E87" s="615"/>
      <c r="F87" s="593"/>
      <c r="G87" s="593"/>
      <c r="H87" s="1964">
        <v>0</v>
      </c>
      <c r="I87" s="473"/>
      <c r="J87" s="473"/>
      <c r="K87" s="1648">
        <f t="shared" si="12"/>
        <v>0</v>
      </c>
      <c r="L87" s="1993">
        <v>0</v>
      </c>
    </row>
    <row r="88" spans="1:12" ht="12.75" customHeight="1" thickTop="1" thickBot="1" x14ac:dyDescent="0.25">
      <c r="A88" s="1484" t="s">
        <v>765</v>
      </c>
      <c r="B88" s="616">
        <v>4240</v>
      </c>
      <c r="C88" s="593"/>
      <c r="D88" s="593"/>
      <c r="E88" s="615"/>
      <c r="F88" s="593"/>
      <c r="G88" s="593"/>
      <c r="H88" s="1964">
        <v>0</v>
      </c>
      <c r="I88" s="473"/>
      <c r="J88" s="473"/>
      <c r="K88" s="1648">
        <f t="shared" si="12"/>
        <v>0</v>
      </c>
      <c r="L88" s="1993">
        <v>0</v>
      </c>
    </row>
    <row r="89" spans="1:12" ht="12.75" customHeight="1" thickTop="1" thickBot="1" x14ac:dyDescent="0.25">
      <c r="A89" s="1484" t="s">
        <v>701</v>
      </c>
      <c r="B89" s="616">
        <v>4270</v>
      </c>
      <c r="C89" s="593"/>
      <c r="D89" s="593"/>
      <c r="E89" s="615"/>
      <c r="F89" s="593"/>
      <c r="G89" s="593"/>
      <c r="H89" s="1964">
        <v>0</v>
      </c>
      <c r="I89" s="473"/>
      <c r="J89" s="473"/>
      <c r="K89" s="1648">
        <f t="shared" si="12"/>
        <v>0</v>
      </c>
      <c r="L89" s="1993">
        <v>0</v>
      </c>
    </row>
    <row r="90" spans="1:12" ht="12.75" customHeight="1" thickTop="1" thickBot="1" x14ac:dyDescent="0.25">
      <c r="A90" s="1484" t="s">
        <v>686</v>
      </c>
      <c r="B90" s="616">
        <v>4280</v>
      </c>
      <c r="C90" s="593"/>
      <c r="D90" s="593"/>
      <c r="E90" s="615"/>
      <c r="F90" s="593"/>
      <c r="G90" s="593"/>
      <c r="H90" s="1964">
        <v>0</v>
      </c>
      <c r="I90" s="473"/>
      <c r="J90" s="473"/>
      <c r="K90" s="1648">
        <f t="shared" si="12"/>
        <v>0</v>
      </c>
      <c r="L90" s="1993">
        <v>0</v>
      </c>
    </row>
    <row r="91" spans="1:12" ht="12.75" customHeight="1" thickTop="1" thickBot="1" x14ac:dyDescent="0.25">
      <c r="A91" s="1484" t="s">
        <v>687</v>
      </c>
      <c r="B91" s="616">
        <v>4290</v>
      </c>
      <c r="C91" s="593"/>
      <c r="D91" s="593"/>
      <c r="E91" s="615"/>
      <c r="F91" s="593"/>
      <c r="G91" s="593"/>
      <c r="H91" s="1964">
        <v>0</v>
      </c>
      <c r="I91" s="473"/>
      <c r="J91" s="473"/>
      <c r="K91" s="1648">
        <f t="shared" si="12"/>
        <v>0</v>
      </c>
      <c r="L91" s="1993">
        <v>0</v>
      </c>
    </row>
    <row r="92" spans="1:12" ht="14.25" thickTop="1" thickBot="1" x14ac:dyDescent="0.25">
      <c r="A92" s="1651" t="s">
        <v>1560</v>
      </c>
      <c r="B92" s="1649">
        <v>4200</v>
      </c>
      <c r="C92" s="593"/>
      <c r="D92" s="593"/>
      <c r="E92" s="615"/>
      <c r="F92" s="593"/>
      <c r="G92" s="593"/>
      <c r="H92" s="1641">
        <f>SUM(H85:H91)</f>
        <v>0</v>
      </c>
      <c r="I92" s="473"/>
      <c r="J92" s="473"/>
      <c r="K92" s="1648">
        <f t="shared" si="12"/>
        <v>0</v>
      </c>
      <c r="L92" s="1641">
        <f>SUM(L85:L91)</f>
        <v>0</v>
      </c>
    </row>
    <row r="93" spans="1:12" ht="14.25" thickTop="1" thickBot="1" x14ac:dyDescent="0.25">
      <c r="A93" s="1483" t="s">
        <v>688</v>
      </c>
      <c r="B93" s="617">
        <v>4310</v>
      </c>
      <c r="C93" s="593"/>
      <c r="D93" s="593"/>
      <c r="E93" s="615"/>
      <c r="F93" s="593"/>
      <c r="G93" s="593"/>
      <c r="H93" s="1967">
        <v>0</v>
      </c>
      <c r="I93" s="473"/>
      <c r="J93" s="473"/>
      <c r="K93" s="1648">
        <f t="shared" si="12"/>
        <v>0</v>
      </c>
      <c r="L93" s="1995">
        <v>0</v>
      </c>
    </row>
    <row r="94" spans="1:12" ht="12.75" customHeight="1" thickTop="1" thickBot="1" x14ac:dyDescent="0.25">
      <c r="A94" s="1484" t="s">
        <v>689</v>
      </c>
      <c r="B94" s="616">
        <v>4320</v>
      </c>
      <c r="C94" s="593"/>
      <c r="D94" s="593"/>
      <c r="E94" s="615"/>
      <c r="F94" s="593"/>
      <c r="G94" s="593"/>
      <c r="H94" s="1964">
        <v>0</v>
      </c>
      <c r="I94" s="473"/>
      <c r="J94" s="473"/>
      <c r="K94" s="1648">
        <f t="shared" si="12"/>
        <v>0</v>
      </c>
      <c r="L94" s="1993">
        <v>0</v>
      </c>
    </row>
    <row r="95" spans="1:12" ht="15" customHeight="1" thickTop="1" thickBot="1" x14ac:dyDescent="0.25">
      <c r="A95" s="1484" t="s">
        <v>1488</v>
      </c>
      <c r="B95" s="616">
        <v>4330</v>
      </c>
      <c r="C95" s="593"/>
      <c r="D95" s="593"/>
      <c r="E95" s="615"/>
      <c r="F95" s="593"/>
      <c r="G95" s="593"/>
      <c r="H95" s="1964">
        <v>0</v>
      </c>
      <c r="I95" s="473"/>
      <c r="J95" s="473"/>
      <c r="K95" s="1648">
        <f t="shared" si="12"/>
        <v>0</v>
      </c>
      <c r="L95" s="1993">
        <v>0</v>
      </c>
    </row>
    <row r="96" spans="1:12" ht="14.25" thickTop="1" thickBot="1" x14ac:dyDescent="0.25">
      <c r="A96" s="1484" t="s">
        <v>690</v>
      </c>
      <c r="B96" s="616">
        <v>4340</v>
      </c>
      <c r="C96" s="593"/>
      <c r="D96" s="593"/>
      <c r="E96" s="615"/>
      <c r="F96" s="593"/>
      <c r="G96" s="593"/>
      <c r="H96" s="1964">
        <v>0</v>
      </c>
      <c r="I96" s="473"/>
      <c r="J96" s="473"/>
      <c r="K96" s="1648">
        <f t="shared" si="12"/>
        <v>0</v>
      </c>
      <c r="L96" s="1993">
        <v>0</v>
      </c>
    </row>
    <row r="97" spans="1:14" ht="12.75" customHeight="1" thickTop="1" thickBot="1" x14ac:dyDescent="0.25">
      <c r="A97" s="1484" t="s">
        <v>763</v>
      </c>
      <c r="B97" s="616">
        <v>4370</v>
      </c>
      <c r="C97" s="593"/>
      <c r="D97" s="593"/>
      <c r="E97" s="615"/>
      <c r="F97" s="593"/>
      <c r="G97" s="593"/>
      <c r="H97" s="1964">
        <v>0</v>
      </c>
      <c r="I97" s="473"/>
      <c r="J97" s="473"/>
      <c r="K97" s="1648">
        <f t="shared" si="12"/>
        <v>0</v>
      </c>
      <c r="L97" s="1993">
        <v>0</v>
      </c>
    </row>
    <row r="98" spans="1:14" ht="14.25" thickTop="1" thickBot="1" x14ac:dyDescent="0.25">
      <c r="A98" s="1484" t="s">
        <v>764</v>
      </c>
      <c r="B98" s="616">
        <v>4380</v>
      </c>
      <c r="C98" s="593"/>
      <c r="D98" s="593"/>
      <c r="E98" s="618"/>
      <c r="F98" s="593"/>
      <c r="G98" s="593"/>
      <c r="H98" s="1964">
        <v>0</v>
      </c>
      <c r="I98" s="473"/>
      <c r="J98" s="473"/>
      <c r="K98" s="1648">
        <f t="shared" si="12"/>
        <v>0</v>
      </c>
      <c r="L98" s="1993">
        <v>0</v>
      </c>
    </row>
    <row r="99" spans="1:14" ht="14.25" thickTop="1" thickBot="1" x14ac:dyDescent="0.25">
      <c r="A99" s="1484" t="s">
        <v>367</v>
      </c>
      <c r="B99" s="616">
        <v>4390</v>
      </c>
      <c r="C99" s="593"/>
      <c r="D99" s="593"/>
      <c r="E99" s="1972">
        <v>0</v>
      </c>
      <c r="F99" s="593"/>
      <c r="G99" s="593"/>
      <c r="H99" s="1964">
        <v>0</v>
      </c>
      <c r="I99" s="473"/>
      <c r="J99" s="473"/>
      <c r="K99" s="1648">
        <f>SUM(E99,H99)</f>
        <v>0</v>
      </c>
      <c r="L99" s="1993">
        <v>0</v>
      </c>
    </row>
    <row r="100" spans="1:14" ht="14.25" thickTop="1" thickBot="1" x14ac:dyDescent="0.25">
      <c r="A100" s="1651" t="s">
        <v>1486</v>
      </c>
      <c r="B100" s="1652">
        <v>4300</v>
      </c>
      <c r="C100" s="593"/>
      <c r="D100" s="593"/>
      <c r="E100" s="1648">
        <f>SUM(E93:E99)</f>
        <v>0</v>
      </c>
      <c r="F100" s="593"/>
      <c r="G100" s="593"/>
      <c r="H100" s="1648">
        <f>SUM(H93:H99)</f>
        <v>0</v>
      </c>
      <c r="I100" s="473"/>
      <c r="J100" s="473"/>
      <c r="K100" s="1648">
        <f>SUM(K93:K99)</f>
        <v>0</v>
      </c>
      <c r="L100" s="1648">
        <f>SUM(L93:L99)</f>
        <v>0</v>
      </c>
    </row>
    <row r="101" spans="1:14" ht="12.75" customHeight="1" thickTop="1" thickBot="1" x14ac:dyDescent="0.25">
      <c r="A101" s="1481" t="s">
        <v>1489</v>
      </c>
      <c r="B101" s="619" t="s">
        <v>931</v>
      </c>
      <c r="C101" s="593"/>
      <c r="D101" s="593"/>
      <c r="E101" s="1971">
        <v>0</v>
      </c>
      <c r="F101" s="593"/>
      <c r="G101" s="593"/>
      <c r="H101" s="1971">
        <v>0</v>
      </c>
      <c r="I101" s="473"/>
      <c r="J101" s="473"/>
      <c r="K101" s="1650">
        <f>SUM(C101:J101)</f>
        <v>0</v>
      </c>
      <c r="L101" s="1993">
        <v>0</v>
      </c>
    </row>
    <row r="102" spans="1:14" ht="12.75" customHeight="1" thickTop="1" thickBot="1" x14ac:dyDescent="0.25">
      <c r="A102" s="1639" t="s">
        <v>1487</v>
      </c>
      <c r="B102" s="1649">
        <v>4000</v>
      </c>
      <c r="C102" s="593"/>
      <c r="D102" s="593"/>
      <c r="E102" s="1648">
        <f>SUM(E84,E92,E100,E101)</f>
        <v>0</v>
      </c>
      <c r="F102" s="593"/>
      <c r="G102" s="593"/>
      <c r="H102" s="1648">
        <f>SUM(H84,H92,H100,H101)</f>
        <v>11000303</v>
      </c>
      <c r="I102" s="473"/>
      <c r="J102" s="473"/>
      <c r="K102" s="1648">
        <f>SUM(K84,K92,K100,K101)</f>
        <v>11000303</v>
      </c>
      <c r="L102" s="1648">
        <f>SUM(L84,L92,L100,L101)</f>
        <v>0</v>
      </c>
    </row>
    <row r="103" spans="1:14" s="610" customFormat="1" ht="15.75" customHeight="1" thickTop="1" x14ac:dyDescent="0.2">
      <c r="A103" s="1583" t="s">
        <v>513</v>
      </c>
      <c r="B103" s="1580"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5" t="s">
        <v>87</v>
      </c>
      <c r="B105" s="591">
        <v>5110</v>
      </c>
      <c r="C105" s="593"/>
      <c r="D105" s="593"/>
      <c r="E105" s="593"/>
      <c r="F105" s="593"/>
      <c r="G105" s="593"/>
      <c r="H105" s="477">
        <v>0</v>
      </c>
      <c r="I105" s="467"/>
      <c r="J105" s="467"/>
      <c r="K105" s="1642">
        <f>H105</f>
        <v>0</v>
      </c>
      <c r="L105" s="477">
        <v>0</v>
      </c>
      <c r="M105" s="210"/>
      <c r="N105" s="210"/>
    </row>
    <row r="106" spans="1:14" s="574" customFormat="1" x14ac:dyDescent="0.2">
      <c r="A106" s="1475" t="s">
        <v>88</v>
      </c>
      <c r="B106" s="591">
        <v>5120</v>
      </c>
      <c r="C106" s="593"/>
      <c r="D106" s="593"/>
      <c r="E106" s="593"/>
      <c r="F106" s="593"/>
      <c r="G106" s="593"/>
      <c r="H106" s="1963">
        <v>0</v>
      </c>
      <c r="I106" s="467"/>
      <c r="J106" s="467"/>
      <c r="K106" s="1642">
        <f>H106</f>
        <v>0</v>
      </c>
      <c r="L106" s="1985">
        <v>0</v>
      </c>
      <c r="M106" s="210"/>
      <c r="N106" s="210"/>
    </row>
    <row r="107" spans="1:14" s="574" customFormat="1" ht="12.75" customHeight="1" x14ac:dyDescent="0.2">
      <c r="A107" s="1475" t="s">
        <v>1170</v>
      </c>
      <c r="B107" s="591">
        <v>5130</v>
      </c>
      <c r="C107" s="593"/>
      <c r="D107" s="593"/>
      <c r="E107" s="593"/>
      <c r="F107" s="593"/>
      <c r="G107" s="593"/>
      <c r="H107" s="1963">
        <v>0</v>
      </c>
      <c r="I107" s="467"/>
      <c r="J107" s="467"/>
      <c r="K107" s="1642">
        <f>H107</f>
        <v>0</v>
      </c>
      <c r="L107" s="1985">
        <v>0</v>
      </c>
      <c r="M107" s="210"/>
      <c r="N107" s="210"/>
    </row>
    <row r="108" spans="1:14" s="574" customFormat="1" x14ac:dyDescent="0.2">
      <c r="A108" s="1475" t="s">
        <v>89</v>
      </c>
      <c r="B108" s="591" t="s">
        <v>589</v>
      </c>
      <c r="C108" s="593"/>
      <c r="D108" s="593"/>
      <c r="E108" s="593"/>
      <c r="F108" s="593"/>
      <c r="G108" s="593"/>
      <c r="H108" s="1963">
        <v>0</v>
      </c>
      <c r="I108" s="467"/>
      <c r="J108" s="467"/>
      <c r="K108" s="1642">
        <f>H108</f>
        <v>0</v>
      </c>
      <c r="L108" s="1985">
        <v>0</v>
      </c>
      <c r="M108" s="210"/>
      <c r="N108" s="210"/>
    </row>
    <row r="109" spans="1:14" s="574" customFormat="1" x14ac:dyDescent="0.2">
      <c r="A109" s="1475" t="s">
        <v>254</v>
      </c>
      <c r="B109" s="605">
        <v>5150</v>
      </c>
      <c r="C109" s="593"/>
      <c r="D109" s="593"/>
      <c r="E109" s="593"/>
      <c r="F109" s="593"/>
      <c r="G109" s="593"/>
      <c r="H109" s="1963">
        <v>0</v>
      </c>
      <c r="I109" s="467"/>
      <c r="J109" s="467"/>
      <c r="K109" s="1642">
        <f>H109</f>
        <v>0</v>
      </c>
      <c r="L109" s="1985">
        <v>0</v>
      </c>
      <c r="M109" s="210"/>
      <c r="N109" s="210"/>
    </row>
    <row r="110" spans="1:14" s="574" customFormat="1" ht="12.75" customHeight="1" thickBot="1" x14ac:dyDescent="0.25">
      <c r="A110" s="1639" t="s">
        <v>1102</v>
      </c>
      <c r="B110" s="1646" t="s">
        <v>718</v>
      </c>
      <c r="C110" s="593"/>
      <c r="D110" s="593"/>
      <c r="E110" s="593"/>
      <c r="F110" s="593"/>
      <c r="G110" s="593"/>
      <c r="H110" s="1641">
        <f>SUM(H105:H109)</f>
        <v>0</v>
      </c>
      <c r="I110" s="467"/>
      <c r="J110" s="467"/>
      <c r="K110" s="1641">
        <f>SUM(K105:K109)</f>
        <v>0</v>
      </c>
      <c r="L110" s="1641">
        <f>SUM(L105:L109)</f>
        <v>0</v>
      </c>
      <c r="M110" s="210"/>
      <c r="N110" s="210"/>
    </row>
    <row r="111" spans="1:14" s="574" customFormat="1" ht="12.75" customHeight="1" thickTop="1" thickBot="1" x14ac:dyDescent="0.25">
      <c r="A111" s="1485" t="s">
        <v>368</v>
      </c>
      <c r="B111" s="623" t="s">
        <v>38</v>
      </c>
      <c r="C111" s="593"/>
      <c r="D111" s="593"/>
      <c r="E111" s="593"/>
      <c r="F111" s="593"/>
      <c r="G111" s="593"/>
      <c r="H111" s="1973">
        <v>0</v>
      </c>
      <c r="I111" s="467"/>
      <c r="J111" s="467"/>
      <c r="K111" s="1654">
        <f>H111</f>
        <v>0</v>
      </c>
      <c r="L111" s="1995">
        <v>0</v>
      </c>
      <c r="M111" s="210"/>
      <c r="N111" s="210"/>
    </row>
    <row r="112" spans="1:14" s="574" customFormat="1" ht="12.75" customHeight="1" thickTop="1" thickBot="1" x14ac:dyDescent="0.25">
      <c r="A112" s="1639" t="s">
        <v>638</v>
      </c>
      <c r="B112" s="1640" t="s">
        <v>492</v>
      </c>
      <c r="C112" s="593"/>
      <c r="D112" s="593"/>
      <c r="E112" s="593"/>
      <c r="F112" s="593"/>
      <c r="G112" s="593"/>
      <c r="H112" s="1641">
        <f>SUM(H110:H111)</f>
        <v>0</v>
      </c>
      <c r="I112" s="467"/>
      <c r="J112" s="467"/>
      <c r="K112" s="1641">
        <f>SUM(K110:K111)</f>
        <v>0</v>
      </c>
      <c r="L112" s="1648">
        <f>SUM(L110,L111)</f>
        <v>0</v>
      </c>
      <c r="M112" s="210"/>
      <c r="N112" s="210"/>
    </row>
    <row r="113" spans="1:14" s="259" customFormat="1" ht="15.75" customHeight="1" thickTop="1" thickBot="1" x14ac:dyDescent="0.25">
      <c r="A113" s="1577" t="s">
        <v>514</v>
      </c>
      <c r="B113" s="1584" t="s">
        <v>861</v>
      </c>
      <c r="C113" s="600"/>
      <c r="D113" s="600"/>
      <c r="E113" s="593"/>
      <c r="F113" s="593"/>
      <c r="G113" s="593"/>
      <c r="H113" s="600"/>
      <c r="I113" s="467"/>
      <c r="J113" s="467"/>
      <c r="K113" s="600"/>
      <c r="L113" s="1994">
        <v>0</v>
      </c>
      <c r="M113" s="590"/>
      <c r="N113" s="590"/>
    </row>
    <row r="114" spans="1:14" ht="12.75" customHeight="1" thickTop="1" thickBot="1" x14ac:dyDescent="0.25">
      <c r="A114" s="1639" t="s">
        <v>48</v>
      </c>
      <c r="B114" s="1653"/>
      <c r="C114" s="1641">
        <f>SUM(C33,C74,C75,C102,C112,C113)</f>
        <v>22988926</v>
      </c>
      <c r="D114" s="1641">
        <f t="shared" ref="D114:K114" si="13">SUM(D33,D74,D75,D102,D112,D113)</f>
        <v>6761619</v>
      </c>
      <c r="E114" s="1641">
        <f t="shared" si="13"/>
        <v>2980151</v>
      </c>
      <c r="F114" s="1641">
        <f t="shared" si="13"/>
        <v>933915</v>
      </c>
      <c r="G114" s="1641">
        <f t="shared" si="13"/>
        <v>1066610</v>
      </c>
      <c r="H114" s="1641">
        <f>SUM(H33,H74,H75,H102,H112,H113)</f>
        <v>11442642</v>
      </c>
      <c r="I114" s="1641">
        <f t="shared" si="13"/>
        <v>68078</v>
      </c>
      <c r="J114" s="1641">
        <f t="shared" si="13"/>
        <v>0</v>
      </c>
      <c r="K114" s="1641">
        <f t="shared" si="13"/>
        <v>46241941</v>
      </c>
      <c r="L114" s="1641">
        <f>SUM(L33,L74,L75,L102,L112,L113)</f>
        <v>46721679</v>
      </c>
    </row>
    <row r="115" spans="1:14" ht="13.5" thickTop="1" x14ac:dyDescent="0.2">
      <c r="A115" s="2243" t="s">
        <v>996</v>
      </c>
      <c r="B115" s="2244"/>
      <c r="C115" s="595"/>
      <c r="D115" s="595"/>
      <c r="E115" s="595"/>
      <c r="F115" s="595"/>
      <c r="G115" s="595"/>
      <c r="H115" s="595"/>
      <c r="I115" s="595"/>
      <c r="J115" s="595"/>
      <c r="K115" s="1655">
        <f>'Revenues 9-14'!C268-'Expenditures 15-22'!K114</f>
        <v>-669382</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48" t="s">
        <v>296</v>
      </c>
      <c r="B117" s="2249"/>
      <c r="C117" s="1597"/>
      <c r="D117" s="1598"/>
      <c r="E117" s="1598"/>
      <c r="F117" s="1598"/>
      <c r="G117" s="1598"/>
      <c r="H117" s="1598"/>
      <c r="I117" s="1598"/>
      <c r="J117" s="1598"/>
      <c r="K117" s="1598"/>
      <c r="L117" s="1599"/>
      <c r="M117" s="175"/>
      <c r="N117" s="175"/>
    </row>
    <row r="118" spans="1:14" ht="15.75" customHeight="1" x14ac:dyDescent="0.2">
      <c r="A118" s="1585" t="s">
        <v>1035</v>
      </c>
      <c r="B118" s="1586"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79" t="s">
        <v>2057</v>
      </c>
      <c r="B120" s="605" t="s">
        <v>716</v>
      </c>
      <c r="C120" s="465">
        <v>0</v>
      </c>
      <c r="D120" s="465">
        <v>0</v>
      </c>
      <c r="E120" s="1985">
        <v>0</v>
      </c>
      <c r="F120" s="1985">
        <v>0</v>
      </c>
      <c r="G120" s="1985">
        <v>0</v>
      </c>
      <c r="H120" s="1985">
        <v>0</v>
      </c>
      <c r="I120" s="1985">
        <v>0</v>
      </c>
      <c r="J120" s="1985">
        <v>0</v>
      </c>
      <c r="K120" s="1642">
        <f>SUM(C120:J120)</f>
        <v>0</v>
      </c>
      <c r="L120" s="1985">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5" t="s">
        <v>1068</v>
      </c>
      <c r="B122" s="591">
        <v>2510</v>
      </c>
      <c r="C122" s="1963">
        <v>0</v>
      </c>
      <c r="D122" s="1963">
        <v>0</v>
      </c>
      <c r="E122" s="1963">
        <v>0</v>
      </c>
      <c r="F122" s="1963">
        <v>0</v>
      </c>
      <c r="G122" s="1963">
        <v>0</v>
      </c>
      <c r="H122" s="1963">
        <v>0</v>
      </c>
      <c r="I122" s="1964">
        <v>0</v>
      </c>
      <c r="J122" s="1964">
        <v>0</v>
      </c>
      <c r="K122" s="1641">
        <f>SUM(C122:J122)</f>
        <v>0</v>
      </c>
      <c r="L122" s="1985">
        <v>0</v>
      </c>
    </row>
    <row r="123" spans="1:14" ht="14.25" thickTop="1" thickBot="1" x14ac:dyDescent="0.25">
      <c r="A123" s="1475" t="s">
        <v>4</v>
      </c>
      <c r="B123" s="591">
        <v>2530</v>
      </c>
      <c r="C123" s="1963">
        <v>0</v>
      </c>
      <c r="D123" s="1963">
        <v>0</v>
      </c>
      <c r="E123" s="1963">
        <v>0</v>
      </c>
      <c r="F123" s="1963">
        <v>0</v>
      </c>
      <c r="G123" s="1963">
        <v>0</v>
      </c>
      <c r="H123" s="1963">
        <v>0</v>
      </c>
      <c r="I123" s="1964">
        <v>0</v>
      </c>
      <c r="J123" s="1964">
        <v>0</v>
      </c>
      <c r="K123" s="1641">
        <f>SUM(C123:J123)</f>
        <v>0</v>
      </c>
      <c r="L123" s="1985">
        <v>0</v>
      </c>
    </row>
    <row r="124" spans="1:14" ht="14.25" thickTop="1" thickBot="1" x14ac:dyDescent="0.25">
      <c r="A124" s="1475" t="s">
        <v>197</v>
      </c>
      <c r="B124" s="591">
        <v>2540</v>
      </c>
      <c r="C124" s="1963">
        <v>0</v>
      </c>
      <c r="D124" s="1963">
        <v>0</v>
      </c>
      <c r="E124" s="1963">
        <v>0</v>
      </c>
      <c r="F124" s="1963">
        <v>0</v>
      </c>
      <c r="G124" s="1963">
        <v>0</v>
      </c>
      <c r="H124" s="1963">
        <v>0</v>
      </c>
      <c r="I124" s="1964">
        <v>0</v>
      </c>
      <c r="J124" s="1964">
        <v>0</v>
      </c>
      <c r="K124" s="1641">
        <f>SUM(C124:J124)</f>
        <v>0</v>
      </c>
      <c r="L124" s="1985">
        <v>0</v>
      </c>
    </row>
    <row r="125" spans="1:14" ht="14.25" thickTop="1" thickBot="1" x14ac:dyDescent="0.25">
      <c r="A125" s="1475" t="s">
        <v>953</v>
      </c>
      <c r="B125" s="591">
        <v>2550</v>
      </c>
      <c r="C125" s="1963">
        <v>0</v>
      </c>
      <c r="D125" s="1963">
        <v>0</v>
      </c>
      <c r="E125" s="1963">
        <v>0</v>
      </c>
      <c r="F125" s="1963">
        <v>0</v>
      </c>
      <c r="G125" s="1963">
        <v>0</v>
      </c>
      <c r="H125" s="1963">
        <v>0</v>
      </c>
      <c r="I125" s="1964">
        <v>0</v>
      </c>
      <c r="J125" s="1964">
        <v>0</v>
      </c>
      <c r="K125" s="1641">
        <f>SUM(C125:J125)</f>
        <v>0</v>
      </c>
      <c r="L125" s="1985">
        <v>0</v>
      </c>
    </row>
    <row r="126" spans="1:14" ht="14.25" thickTop="1" thickBot="1" x14ac:dyDescent="0.25">
      <c r="A126" s="1475" t="s">
        <v>100</v>
      </c>
      <c r="B126" s="591">
        <v>2560</v>
      </c>
      <c r="C126" s="630"/>
      <c r="D126" s="630"/>
      <c r="E126" s="630"/>
      <c r="F126" s="630"/>
      <c r="G126" s="1963">
        <v>0</v>
      </c>
      <c r="H126" s="630"/>
      <c r="I126" s="1966">
        <v>0</v>
      </c>
      <c r="J126" s="593"/>
      <c r="K126" s="1641">
        <f>SUM(C126:J126)</f>
        <v>0</v>
      </c>
      <c r="L126" s="1985">
        <v>0</v>
      </c>
    </row>
    <row r="127" spans="1:14" ht="12.75" customHeight="1" thickTop="1" thickBot="1" x14ac:dyDescent="0.25">
      <c r="A127" s="1639" t="s">
        <v>719</v>
      </c>
      <c r="B127" s="1640" t="s">
        <v>35</v>
      </c>
      <c r="C127" s="1641">
        <f>SUM(C122:C126)</f>
        <v>0</v>
      </c>
      <c r="D127" s="1641">
        <f t="shared" ref="D127:L127" si="14">SUM(D122:D126)</f>
        <v>0</v>
      </c>
      <c r="E127" s="1641">
        <f t="shared" si="14"/>
        <v>0</v>
      </c>
      <c r="F127" s="1641">
        <f t="shared" si="14"/>
        <v>0</v>
      </c>
      <c r="G127" s="1641">
        <f t="shared" si="14"/>
        <v>0</v>
      </c>
      <c r="H127" s="1641">
        <f t="shared" si="14"/>
        <v>0</v>
      </c>
      <c r="I127" s="1641">
        <f t="shared" si="14"/>
        <v>0</v>
      </c>
      <c r="J127" s="1641">
        <f t="shared" si="14"/>
        <v>0</v>
      </c>
      <c r="K127" s="1641">
        <f t="shared" si="14"/>
        <v>0</v>
      </c>
      <c r="L127" s="1641">
        <f t="shared" si="14"/>
        <v>0</v>
      </c>
    </row>
    <row r="128" spans="1:14" ht="12.75" customHeight="1" thickTop="1" x14ac:dyDescent="0.2">
      <c r="A128" s="1482" t="s">
        <v>980</v>
      </c>
      <c r="B128" s="631" t="s">
        <v>574</v>
      </c>
      <c r="C128" s="1979">
        <v>0</v>
      </c>
      <c r="D128" s="1979">
        <v>0</v>
      </c>
      <c r="E128" s="1979">
        <v>0</v>
      </c>
      <c r="F128" s="1979">
        <v>0</v>
      </c>
      <c r="G128" s="1979">
        <v>0</v>
      </c>
      <c r="H128" s="1979">
        <v>0</v>
      </c>
      <c r="I128" s="1973">
        <v>0</v>
      </c>
      <c r="J128" s="1973">
        <v>0</v>
      </c>
      <c r="K128" s="1656">
        <f>SUM(C128:J128)</f>
        <v>0</v>
      </c>
      <c r="L128" s="1979">
        <v>0</v>
      </c>
    </row>
    <row r="129" spans="1:14" ht="12.75" customHeight="1" thickBot="1" x14ac:dyDescent="0.25">
      <c r="A129" s="1657" t="s">
        <v>811</v>
      </c>
      <c r="B129" s="1658" t="s">
        <v>569</v>
      </c>
      <c r="C129" s="1648">
        <f>SUM(C120,C127,C128)</f>
        <v>0</v>
      </c>
      <c r="D129" s="1648">
        <f t="shared" ref="D129:L129" si="15">SUM(D120,D127,D128)</f>
        <v>0</v>
      </c>
      <c r="E129" s="1648">
        <f t="shared" si="15"/>
        <v>0</v>
      </c>
      <c r="F129" s="1648">
        <f t="shared" si="15"/>
        <v>0</v>
      </c>
      <c r="G129" s="1648">
        <f t="shared" si="15"/>
        <v>0</v>
      </c>
      <c r="H129" s="1648">
        <f t="shared" si="15"/>
        <v>0</v>
      </c>
      <c r="I129" s="1648">
        <f t="shared" si="15"/>
        <v>0</v>
      </c>
      <c r="J129" s="1648">
        <f t="shared" si="15"/>
        <v>0</v>
      </c>
      <c r="K129" s="1648">
        <f t="shared" si="15"/>
        <v>0</v>
      </c>
      <c r="L129" s="1648">
        <f t="shared" si="15"/>
        <v>0</v>
      </c>
    </row>
    <row r="130" spans="1:14" ht="15.75" customHeight="1" thickTop="1" thickBot="1" x14ac:dyDescent="0.25">
      <c r="A130" s="1581" t="s">
        <v>1036</v>
      </c>
      <c r="B130" s="1582" t="s">
        <v>575</v>
      </c>
      <c r="C130" s="1976">
        <v>0</v>
      </c>
      <c r="D130" s="1976">
        <v>0</v>
      </c>
      <c r="E130" s="1976">
        <v>0</v>
      </c>
      <c r="F130" s="1976">
        <v>0</v>
      </c>
      <c r="G130" s="1976">
        <v>0</v>
      </c>
      <c r="H130" s="1976">
        <v>0</v>
      </c>
      <c r="I130" s="1971">
        <v>0</v>
      </c>
      <c r="J130" s="1971">
        <v>0</v>
      </c>
      <c r="K130" s="1641">
        <f>SUM(C130:J130)</f>
        <v>0</v>
      </c>
      <c r="L130" s="1998">
        <v>0</v>
      </c>
    </row>
    <row r="131" spans="1:14" ht="15.75" customHeight="1" thickTop="1" x14ac:dyDescent="0.2">
      <c r="A131" s="1587" t="s">
        <v>616</v>
      </c>
      <c r="B131" s="1580"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1" t="s">
        <v>496</v>
      </c>
      <c r="B133" s="1812" t="s">
        <v>1842</v>
      </c>
      <c r="C133" s="467"/>
      <c r="D133" s="467"/>
      <c r="E133" s="1967">
        <v>0</v>
      </c>
      <c r="F133" s="467"/>
      <c r="G133" s="467"/>
      <c r="H133" s="1967">
        <v>0</v>
      </c>
      <c r="I133" s="467"/>
      <c r="J133" s="467"/>
      <c r="K133" s="1792">
        <f>SUM(E133,H133)</f>
        <v>0</v>
      </c>
      <c r="L133" s="1989">
        <v>0</v>
      </c>
      <c r="M133" s="206"/>
      <c r="N133" s="206"/>
    </row>
    <row r="134" spans="1:14" x14ac:dyDescent="0.2">
      <c r="A134" s="1475" t="s">
        <v>304</v>
      </c>
      <c r="B134" s="591">
        <v>4120</v>
      </c>
      <c r="C134" s="593"/>
      <c r="D134" s="593"/>
      <c r="E134" s="474">
        <v>0</v>
      </c>
      <c r="F134" s="593"/>
      <c r="G134" s="593"/>
      <c r="H134" s="477">
        <v>0</v>
      </c>
      <c r="I134" s="473"/>
      <c r="J134" s="593"/>
      <c r="K134" s="1643">
        <f>SUM(E134,H134)</f>
        <v>0</v>
      </c>
      <c r="L134" s="477">
        <v>0</v>
      </c>
    </row>
    <row r="135" spans="1:14" x14ac:dyDescent="0.2">
      <c r="A135" s="1475" t="s">
        <v>697</v>
      </c>
      <c r="B135" s="591">
        <v>4140</v>
      </c>
      <c r="C135" s="593"/>
      <c r="D135" s="593"/>
      <c r="E135" s="1964">
        <v>0</v>
      </c>
      <c r="F135" s="593"/>
      <c r="G135" s="593"/>
      <c r="H135" s="1963">
        <v>0</v>
      </c>
      <c r="I135" s="473"/>
      <c r="J135" s="593"/>
      <c r="K135" s="1643">
        <f>SUM(E135,H135)</f>
        <v>0</v>
      </c>
      <c r="L135" s="1985">
        <v>0</v>
      </c>
    </row>
    <row r="136" spans="1:14" x14ac:dyDescent="0.2">
      <c r="A136" s="1479" t="s">
        <v>698</v>
      </c>
      <c r="B136" s="605">
        <v>4190</v>
      </c>
      <c r="C136" s="593"/>
      <c r="D136" s="593"/>
      <c r="E136" s="1964">
        <v>0</v>
      </c>
      <c r="F136" s="593"/>
      <c r="G136" s="593"/>
      <c r="H136" s="1963">
        <v>0</v>
      </c>
      <c r="I136" s="473"/>
      <c r="J136" s="593"/>
      <c r="K136" s="1643">
        <f>SUM(E136,H136)</f>
        <v>0</v>
      </c>
      <c r="L136" s="1985">
        <v>0</v>
      </c>
    </row>
    <row r="137" spans="1:14" ht="12.75" customHeight="1" thickBot="1" x14ac:dyDescent="0.25">
      <c r="A137" s="1639" t="s">
        <v>480</v>
      </c>
      <c r="B137" s="1649">
        <v>4100</v>
      </c>
      <c r="C137" s="593"/>
      <c r="D137" s="593"/>
      <c r="E137" s="1641">
        <f>SUM(E133:E136)</f>
        <v>0</v>
      </c>
      <c r="F137" s="593"/>
      <c r="G137" s="593"/>
      <c r="H137" s="1641">
        <f>SUM(H133:H136)</f>
        <v>0</v>
      </c>
      <c r="I137" s="473"/>
      <c r="J137" s="593"/>
      <c r="K137" s="1641">
        <f>SUM(K133:K136)</f>
        <v>0</v>
      </c>
      <c r="L137" s="1641">
        <f>SUM(L133:L136)</f>
        <v>0</v>
      </c>
    </row>
    <row r="138" spans="1:14" ht="12.75" customHeight="1" thickTop="1" thickBot="1" x14ac:dyDescent="0.25">
      <c r="A138" s="1481" t="s">
        <v>96</v>
      </c>
      <c r="B138" s="619" t="s">
        <v>931</v>
      </c>
      <c r="C138" s="593"/>
      <c r="D138" s="593"/>
      <c r="E138" s="475"/>
      <c r="F138" s="593"/>
      <c r="G138" s="593"/>
      <c r="H138" s="1976">
        <v>0</v>
      </c>
      <c r="I138" s="473"/>
      <c r="J138" s="593"/>
      <c r="K138" s="1643">
        <f>SUM(E138,H138)</f>
        <v>0</v>
      </c>
      <c r="L138" s="1976">
        <v>0</v>
      </c>
    </row>
    <row r="139" spans="1:14" ht="12.75" customHeight="1" thickTop="1" thickBot="1" x14ac:dyDescent="0.25">
      <c r="A139" s="1639" t="s">
        <v>1487</v>
      </c>
      <c r="B139" s="1649">
        <v>4000</v>
      </c>
      <c r="C139" s="593"/>
      <c r="D139" s="593"/>
      <c r="E139" s="1641">
        <f>SUM(E137,E138)</f>
        <v>0</v>
      </c>
      <c r="F139" s="593"/>
      <c r="G139" s="593"/>
      <c r="H139" s="1650">
        <f>SUM(H137:H138)</f>
        <v>0</v>
      </c>
      <c r="I139" s="473"/>
      <c r="J139" s="593"/>
      <c r="K139" s="1643">
        <f>SUM(K137,K138)</f>
        <v>0</v>
      </c>
      <c r="L139" s="1650">
        <f>SUM(L137,L138)</f>
        <v>0</v>
      </c>
    </row>
    <row r="140" spans="1:14" ht="15.75" customHeight="1" thickTop="1" x14ac:dyDescent="0.2">
      <c r="A140" s="1583" t="s">
        <v>1037</v>
      </c>
      <c r="B140" s="1584"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5" t="s">
        <v>87</v>
      </c>
      <c r="B142" s="591">
        <v>5110</v>
      </c>
      <c r="C142" s="593"/>
      <c r="D142" s="593"/>
      <c r="E142" s="593"/>
      <c r="F142" s="593"/>
      <c r="G142" s="593"/>
      <c r="H142" s="477">
        <v>0</v>
      </c>
      <c r="I142" s="467"/>
      <c r="J142" s="593"/>
      <c r="K142" s="1643">
        <f>SUM(H142)</f>
        <v>0</v>
      </c>
      <c r="L142" s="477">
        <v>0</v>
      </c>
    </row>
    <row r="143" spans="1:14" x14ac:dyDescent="0.2">
      <c r="A143" s="1475" t="s">
        <v>88</v>
      </c>
      <c r="B143" s="591">
        <v>5120</v>
      </c>
      <c r="C143" s="593"/>
      <c r="D143" s="593"/>
      <c r="E143" s="593"/>
      <c r="F143" s="593"/>
      <c r="G143" s="593"/>
      <c r="H143" s="1963">
        <v>0</v>
      </c>
      <c r="I143" s="467"/>
      <c r="J143" s="593"/>
      <c r="K143" s="1643">
        <f>SUM(H143)</f>
        <v>0</v>
      </c>
      <c r="L143" s="1985">
        <v>0</v>
      </c>
    </row>
    <row r="144" spans="1:14" ht="12.75" customHeight="1" x14ac:dyDescent="0.2">
      <c r="A144" s="1475" t="s">
        <v>1170</v>
      </c>
      <c r="B144" s="605" t="s">
        <v>617</v>
      </c>
      <c r="C144" s="593"/>
      <c r="D144" s="593"/>
      <c r="E144" s="593"/>
      <c r="F144" s="593"/>
      <c r="G144" s="593"/>
      <c r="H144" s="1963">
        <v>0</v>
      </c>
      <c r="I144" s="467"/>
      <c r="J144" s="593"/>
      <c r="K144" s="1643">
        <f>SUM(H144)</f>
        <v>0</v>
      </c>
      <c r="L144" s="1985">
        <v>0</v>
      </c>
    </row>
    <row r="145" spans="1:14" x14ac:dyDescent="0.2">
      <c r="A145" s="1475" t="s">
        <v>89</v>
      </c>
      <c r="B145" s="591" t="s">
        <v>589</v>
      </c>
      <c r="C145" s="593"/>
      <c r="D145" s="593"/>
      <c r="E145" s="593"/>
      <c r="F145" s="593"/>
      <c r="G145" s="593"/>
      <c r="H145" s="1963">
        <v>0</v>
      </c>
      <c r="I145" s="467"/>
      <c r="J145" s="593"/>
      <c r="K145" s="1643">
        <f>SUM(H145)</f>
        <v>0</v>
      </c>
      <c r="L145" s="1985">
        <v>0</v>
      </c>
    </row>
    <row r="146" spans="1:14" ht="12.75" customHeight="1" x14ac:dyDescent="0.2">
      <c r="A146" s="1475" t="s">
        <v>619</v>
      </c>
      <c r="B146" s="591" t="s">
        <v>618</v>
      </c>
      <c r="C146" s="593"/>
      <c r="D146" s="593"/>
      <c r="E146" s="593"/>
      <c r="F146" s="593"/>
      <c r="G146" s="593"/>
      <c r="H146" s="1963">
        <v>0</v>
      </c>
      <c r="I146" s="467"/>
      <c r="J146" s="593"/>
      <c r="K146" s="1643">
        <f>SUM(H146)</f>
        <v>0</v>
      </c>
      <c r="L146" s="1985">
        <v>0</v>
      </c>
    </row>
    <row r="147" spans="1:14" ht="12.75" customHeight="1" thickBot="1" x14ac:dyDescent="0.25">
      <c r="A147" s="1486" t="s">
        <v>626</v>
      </c>
      <c r="B147" s="634" t="s">
        <v>718</v>
      </c>
      <c r="C147" s="593"/>
      <c r="D147" s="593"/>
      <c r="E147" s="593"/>
      <c r="F147" s="593"/>
      <c r="G147" s="593"/>
      <c r="H147" s="1659">
        <f>SUM(H142:H146)</f>
        <v>0</v>
      </c>
      <c r="I147" s="467"/>
      <c r="J147" s="593"/>
      <c r="K147" s="1641">
        <f>SUM(K142:K146)</f>
        <v>0</v>
      </c>
      <c r="L147" s="1659">
        <f>SUM(L142:L146)</f>
        <v>0</v>
      </c>
    </row>
    <row r="148" spans="1:14" ht="15.75" customHeight="1" thickTop="1" x14ac:dyDescent="0.2">
      <c r="A148" s="635" t="s">
        <v>1103</v>
      </c>
      <c r="B148" s="636" t="s">
        <v>38</v>
      </c>
      <c r="C148" s="593"/>
      <c r="D148" s="593"/>
      <c r="E148" s="593"/>
      <c r="F148" s="593"/>
      <c r="G148" s="593"/>
      <c r="H148" s="1968">
        <v>0</v>
      </c>
      <c r="I148" s="467"/>
      <c r="J148" s="593"/>
      <c r="K148" s="1643">
        <f>SUM(H148)</f>
        <v>0</v>
      </c>
      <c r="L148" s="1992">
        <v>0</v>
      </c>
    </row>
    <row r="149" spans="1:14" ht="12.75" customHeight="1" thickBot="1" x14ac:dyDescent="0.25">
      <c r="A149" s="1478" t="s">
        <v>638</v>
      </c>
      <c r="B149" s="594" t="s">
        <v>492</v>
      </c>
      <c r="C149" s="593"/>
      <c r="D149" s="593"/>
      <c r="E149" s="593"/>
      <c r="F149" s="593"/>
      <c r="G149" s="593"/>
      <c r="H149" s="1641">
        <f>SUM(H147,H148)</f>
        <v>0</v>
      </c>
      <c r="I149" s="467"/>
      <c r="J149" s="593"/>
      <c r="K149" s="1641">
        <f>SUM(K147:K148)</f>
        <v>0</v>
      </c>
      <c r="L149" s="1641">
        <f>SUM(L142:L146,L148)</f>
        <v>0</v>
      </c>
    </row>
    <row r="150" spans="1:14" ht="15.75" customHeight="1" thickTop="1" thickBot="1" x14ac:dyDescent="0.25">
      <c r="A150" s="1577" t="s">
        <v>1038</v>
      </c>
      <c r="B150" s="1584" t="s">
        <v>861</v>
      </c>
      <c r="C150" s="593"/>
      <c r="D150" s="593"/>
      <c r="E150" s="593"/>
      <c r="F150" s="593"/>
      <c r="G150" s="593"/>
      <c r="H150" s="637"/>
      <c r="I150" s="514"/>
      <c r="J150" s="593"/>
      <c r="K150" s="600"/>
      <c r="L150" s="1997">
        <v>0</v>
      </c>
    </row>
    <row r="151" spans="1:14" ht="12.75" customHeight="1" thickTop="1" thickBot="1" x14ac:dyDescent="0.25">
      <c r="A151" s="2260" t="s">
        <v>620</v>
      </c>
      <c r="B151" s="2240"/>
      <c r="C151" s="1641">
        <f>SUM(C129,C130,C139,C149,C150)</f>
        <v>0</v>
      </c>
      <c r="D151" s="1641">
        <f t="shared" ref="D151:K151" si="16">SUM(D129,D130,D139,D149,D150)</f>
        <v>0</v>
      </c>
      <c r="E151" s="1641">
        <f t="shared" si="16"/>
        <v>0</v>
      </c>
      <c r="F151" s="1641">
        <f t="shared" si="16"/>
        <v>0</v>
      </c>
      <c r="G151" s="1641">
        <f t="shared" si="16"/>
        <v>0</v>
      </c>
      <c r="H151" s="1641">
        <f t="shared" si="16"/>
        <v>0</v>
      </c>
      <c r="I151" s="1641">
        <f t="shared" si="16"/>
        <v>0</v>
      </c>
      <c r="J151" s="1641">
        <f t="shared" si="16"/>
        <v>0</v>
      </c>
      <c r="K151" s="1641">
        <f t="shared" si="16"/>
        <v>0</v>
      </c>
      <c r="L151" s="1641">
        <f>SUM(L129,L130,L139,L149,L150)</f>
        <v>0</v>
      </c>
    </row>
    <row r="152" spans="1:14" ht="12.75" customHeight="1" thickTop="1" x14ac:dyDescent="0.2">
      <c r="A152" s="2263" t="s">
        <v>1178</v>
      </c>
      <c r="B152" s="2264"/>
      <c r="C152" s="595"/>
      <c r="D152" s="595"/>
      <c r="E152" s="595"/>
      <c r="F152" s="595"/>
      <c r="G152" s="595"/>
      <c r="H152" s="595"/>
      <c r="I152" s="595"/>
      <c r="J152" s="593"/>
      <c r="K152" s="1655">
        <f>'Revenues 9-14'!D268-'Expenditures 15-22'!K151</f>
        <v>0</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48" t="s">
        <v>621</v>
      </c>
      <c r="B154" s="2250"/>
      <c r="C154" s="1597"/>
      <c r="D154" s="1598"/>
      <c r="E154" s="1598"/>
      <c r="F154" s="1598"/>
      <c r="G154" s="1598"/>
      <c r="H154" s="1598"/>
      <c r="I154" s="1598"/>
      <c r="J154" s="1598"/>
      <c r="K154" s="1598"/>
      <c r="L154" s="1599"/>
      <c r="M154" s="642"/>
      <c r="N154" s="642"/>
    </row>
    <row r="155" spans="1:14" s="597" customFormat="1" ht="15.75" customHeight="1" thickBot="1" x14ac:dyDescent="0.25">
      <c r="A155" s="1588" t="s">
        <v>81</v>
      </c>
      <c r="B155" s="1589" t="s">
        <v>860</v>
      </c>
      <c r="C155" s="593"/>
      <c r="D155" s="593"/>
      <c r="E155" s="593"/>
      <c r="F155" s="593"/>
      <c r="G155" s="593"/>
      <c r="H155" s="1813"/>
      <c r="I155" s="593"/>
      <c r="J155" s="593"/>
      <c r="K155" s="1796"/>
      <c r="L155" s="1813"/>
      <c r="M155" s="596"/>
      <c r="N155" s="596"/>
    </row>
    <row r="156" spans="1:14" s="597" customFormat="1" ht="15.75" customHeight="1" thickTop="1" x14ac:dyDescent="0.2">
      <c r="A156" s="1793" t="s">
        <v>1843</v>
      </c>
      <c r="B156" s="1794"/>
      <c r="C156" s="593"/>
      <c r="D156" s="593"/>
      <c r="E156" s="593"/>
      <c r="F156" s="593"/>
      <c r="G156" s="593"/>
      <c r="H156" s="1814"/>
      <c r="I156" s="593"/>
      <c r="J156" s="593"/>
      <c r="K156" s="1795"/>
      <c r="L156" s="1814"/>
      <c r="M156" s="596"/>
      <c r="N156" s="596"/>
    </row>
    <row r="157" spans="1:14" s="597" customFormat="1" ht="12" x14ac:dyDescent="0.2">
      <c r="A157" s="1797" t="s">
        <v>496</v>
      </c>
      <c r="B157" s="1798" t="s">
        <v>1842</v>
      </c>
      <c r="C157" s="593"/>
      <c r="D157" s="593"/>
      <c r="E157" s="593"/>
      <c r="F157" s="593"/>
      <c r="G157" s="593"/>
      <c r="H157" s="1967">
        <v>0</v>
      </c>
      <c r="I157" s="593"/>
      <c r="J157" s="593"/>
      <c r="K157" s="1642">
        <f>H157</f>
        <v>0</v>
      </c>
      <c r="L157" s="1986">
        <v>0</v>
      </c>
      <c r="M157" s="596"/>
      <c r="N157" s="596"/>
    </row>
    <row r="158" spans="1:14" s="597" customFormat="1" ht="12" x14ac:dyDescent="0.2">
      <c r="A158" s="1797" t="s">
        <v>304</v>
      </c>
      <c r="B158" s="1798" t="s">
        <v>1844</v>
      </c>
      <c r="C158" s="593"/>
      <c r="D158" s="593"/>
      <c r="E158" s="593"/>
      <c r="F158" s="593"/>
      <c r="G158" s="593"/>
      <c r="H158" s="1964">
        <v>0</v>
      </c>
      <c r="I158" s="593"/>
      <c r="J158" s="593"/>
      <c r="K158" s="1642">
        <f>H158</f>
        <v>0</v>
      </c>
      <c r="L158" s="1986">
        <v>0</v>
      </c>
      <c r="M158" s="596"/>
      <c r="N158" s="596"/>
    </row>
    <row r="159" spans="1:14" s="597" customFormat="1" ht="12" x14ac:dyDescent="0.2">
      <c r="A159" s="1797" t="s">
        <v>1845</v>
      </c>
      <c r="B159" s="1798" t="s">
        <v>558</v>
      </c>
      <c r="C159" s="593"/>
      <c r="D159" s="593"/>
      <c r="E159" s="593"/>
      <c r="F159" s="593"/>
      <c r="G159" s="593"/>
      <c r="H159" s="1964">
        <v>0</v>
      </c>
      <c r="I159" s="593"/>
      <c r="J159" s="593"/>
      <c r="K159" s="1642">
        <f>H159</f>
        <v>0</v>
      </c>
      <c r="L159" s="1986">
        <v>0</v>
      </c>
      <c r="M159" s="596"/>
      <c r="N159" s="596"/>
    </row>
    <row r="160" spans="1:14" s="597" customFormat="1" ht="15.75" customHeight="1" thickBot="1" x14ac:dyDescent="0.25">
      <c r="A160" s="1799" t="s">
        <v>1846</v>
      </c>
      <c r="B160" s="1800" t="s">
        <v>860</v>
      </c>
      <c r="C160" s="593"/>
      <c r="D160" s="593"/>
      <c r="E160" s="593"/>
      <c r="F160" s="593"/>
      <c r="G160" s="593"/>
      <c r="H160" s="1659">
        <f>SUM(H157:H159)</f>
        <v>0</v>
      </c>
      <c r="I160" s="593"/>
      <c r="J160" s="593"/>
      <c r="K160" s="1641">
        <f>SUM(K157:K159)</f>
        <v>0</v>
      </c>
      <c r="L160" s="1659">
        <f>SUM(L157:L159)</f>
        <v>0</v>
      </c>
      <c r="M160" s="596"/>
      <c r="N160" s="596"/>
    </row>
    <row r="161" spans="1:14" s="259" customFormat="1" ht="15.75" customHeight="1" thickTop="1" x14ac:dyDescent="0.2">
      <c r="A161" s="1583" t="s">
        <v>82</v>
      </c>
      <c r="B161" s="1584"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5" t="s">
        <v>87</v>
      </c>
      <c r="B163" s="591">
        <v>5110</v>
      </c>
      <c r="C163" s="593"/>
      <c r="D163" s="593"/>
      <c r="E163" s="593"/>
      <c r="F163" s="593"/>
      <c r="G163" s="593"/>
      <c r="H163" s="1963">
        <v>0</v>
      </c>
      <c r="I163" s="593"/>
      <c r="J163" s="593"/>
      <c r="K163" s="1642">
        <f>SUM(C163:J163)</f>
        <v>0</v>
      </c>
      <c r="L163" s="1985">
        <v>0</v>
      </c>
    </row>
    <row r="164" spans="1:14" x14ac:dyDescent="0.2">
      <c r="A164" s="1475" t="s">
        <v>88</v>
      </c>
      <c r="B164" s="591">
        <v>5120</v>
      </c>
      <c r="C164" s="593"/>
      <c r="D164" s="593"/>
      <c r="E164" s="593"/>
      <c r="F164" s="593"/>
      <c r="G164" s="593"/>
      <c r="H164" s="1963">
        <v>0</v>
      </c>
      <c r="I164" s="593"/>
      <c r="J164" s="593"/>
      <c r="K164" s="1642">
        <f>SUM(C164:J164)</f>
        <v>0</v>
      </c>
      <c r="L164" s="1985">
        <v>0</v>
      </c>
    </row>
    <row r="165" spans="1:14" ht="12.75" customHeight="1" x14ac:dyDescent="0.2">
      <c r="A165" s="1475" t="s">
        <v>1170</v>
      </c>
      <c r="B165" s="591" t="s">
        <v>617</v>
      </c>
      <c r="C165" s="593"/>
      <c r="D165" s="593"/>
      <c r="E165" s="593"/>
      <c r="F165" s="593"/>
      <c r="G165" s="593"/>
      <c r="H165" s="1963">
        <v>0</v>
      </c>
      <c r="I165" s="593"/>
      <c r="J165" s="593"/>
      <c r="K165" s="1642">
        <f>SUM(C165:J165)</f>
        <v>0</v>
      </c>
      <c r="L165" s="1985">
        <v>0</v>
      </c>
    </row>
    <row r="166" spans="1:14" x14ac:dyDescent="0.2">
      <c r="A166" s="1475" t="s">
        <v>89</v>
      </c>
      <c r="B166" s="605" t="s">
        <v>589</v>
      </c>
      <c r="C166" s="593"/>
      <c r="D166" s="593"/>
      <c r="E166" s="593"/>
      <c r="F166" s="593"/>
      <c r="G166" s="593"/>
      <c r="H166" s="1963">
        <v>0</v>
      </c>
      <c r="I166" s="593"/>
      <c r="J166" s="593"/>
      <c r="K166" s="1642">
        <f>SUM(C166:J166)</f>
        <v>0</v>
      </c>
      <c r="L166" s="1985">
        <v>0</v>
      </c>
    </row>
    <row r="167" spans="1:14" ht="12.75" customHeight="1" x14ac:dyDescent="0.2">
      <c r="A167" s="1475" t="s">
        <v>619</v>
      </c>
      <c r="B167" s="591" t="s">
        <v>618</v>
      </c>
      <c r="C167" s="593"/>
      <c r="D167" s="593"/>
      <c r="E167" s="593"/>
      <c r="F167" s="593"/>
      <c r="G167" s="593"/>
      <c r="H167" s="1963">
        <v>0</v>
      </c>
      <c r="I167" s="593"/>
      <c r="J167" s="593"/>
      <c r="K167" s="1642">
        <f>SUM(C167:J167)</f>
        <v>0</v>
      </c>
      <c r="L167" s="1985">
        <v>0</v>
      </c>
    </row>
    <row r="168" spans="1:14" ht="13.5" thickBot="1" x14ac:dyDescent="0.25">
      <c r="A168" s="1639" t="s">
        <v>276</v>
      </c>
      <c r="B168" s="1646" t="s">
        <v>718</v>
      </c>
      <c r="C168" s="593"/>
      <c r="D168" s="593"/>
      <c r="E168" s="593"/>
      <c r="F168" s="593"/>
      <c r="G168" s="593"/>
      <c r="H168" s="1641">
        <f>SUM(H163:H167)</f>
        <v>0</v>
      </c>
      <c r="I168" s="593"/>
      <c r="J168" s="593"/>
      <c r="K168" s="1641">
        <f>SUM(K163:K167)</f>
        <v>0</v>
      </c>
      <c r="L168" s="1641">
        <f>SUM(L163:L167)</f>
        <v>0</v>
      </c>
    </row>
    <row r="169" spans="1:14" ht="15.75" customHeight="1" thickTop="1" x14ac:dyDescent="0.2">
      <c r="A169" s="644" t="s">
        <v>83</v>
      </c>
      <c r="B169" s="645" t="s">
        <v>38</v>
      </c>
      <c r="C169" s="593"/>
      <c r="D169" s="593"/>
      <c r="E169" s="593"/>
      <c r="F169" s="593"/>
      <c r="G169" s="593"/>
      <c r="H169" s="1979">
        <v>0</v>
      </c>
      <c r="I169" s="593"/>
      <c r="J169" s="593"/>
      <c r="K169" s="1642">
        <f>SUM(C169:H169)</f>
        <v>0</v>
      </c>
      <c r="L169" s="2000">
        <v>0</v>
      </c>
    </row>
    <row r="170" spans="1:14" ht="33.75" customHeight="1" x14ac:dyDescent="0.2">
      <c r="A170" s="644" t="s">
        <v>1670</v>
      </c>
      <c r="B170" s="646" t="s">
        <v>31</v>
      </c>
      <c r="C170" s="593"/>
      <c r="D170" s="593"/>
      <c r="E170" s="593"/>
      <c r="F170" s="593"/>
      <c r="G170" s="593"/>
      <c r="H170" s="1969">
        <v>0</v>
      </c>
      <c r="I170" s="593"/>
      <c r="J170" s="593"/>
      <c r="K170" s="1642">
        <f>SUM(C170:J170)</f>
        <v>0</v>
      </c>
      <c r="L170" s="1991">
        <v>0</v>
      </c>
    </row>
    <row r="171" spans="1:14" ht="15.75" customHeight="1" x14ac:dyDescent="0.2">
      <c r="A171" s="598" t="s">
        <v>766</v>
      </c>
      <c r="B171" s="647" t="s">
        <v>84</v>
      </c>
      <c r="C171" s="593"/>
      <c r="D171" s="593"/>
      <c r="E171" s="1963">
        <v>0</v>
      </c>
      <c r="F171" s="593"/>
      <c r="G171" s="593"/>
      <c r="H171" s="1969">
        <v>0</v>
      </c>
      <c r="I171" s="473"/>
      <c r="J171" s="593"/>
      <c r="K171" s="1642">
        <f>SUM(C171:J171)</f>
        <v>0</v>
      </c>
      <c r="L171" s="1991">
        <v>0</v>
      </c>
    </row>
    <row r="172" spans="1:14" ht="12.75" customHeight="1" thickBot="1" x14ac:dyDescent="0.25">
      <c r="A172" s="1639" t="s">
        <v>638</v>
      </c>
      <c r="B172" s="1640" t="s">
        <v>492</v>
      </c>
      <c r="C172" s="593"/>
      <c r="D172" s="593"/>
      <c r="E172" s="1648">
        <f>SUM(E168,E169,E170,E171)</f>
        <v>0</v>
      </c>
      <c r="F172" s="593"/>
      <c r="G172" s="593"/>
      <c r="H172" s="1648">
        <f>SUM(H168,H169,H170,H171)</f>
        <v>0</v>
      </c>
      <c r="I172" s="615"/>
      <c r="J172" s="593"/>
      <c r="K172" s="1648">
        <f>SUM(K168,K169,K170,K171)</f>
        <v>0</v>
      </c>
      <c r="L172" s="1648">
        <f>SUM(L168,L169,L170,L171)</f>
        <v>0</v>
      </c>
    </row>
    <row r="173" spans="1:14" ht="15.75" customHeight="1" thickTop="1" thickBot="1" x14ac:dyDescent="0.25">
      <c r="A173" s="1590" t="s">
        <v>85</v>
      </c>
      <c r="B173" s="1582" t="s">
        <v>861</v>
      </c>
      <c r="C173" s="593"/>
      <c r="D173" s="593"/>
      <c r="E173" s="600"/>
      <c r="F173" s="593"/>
      <c r="G173" s="593"/>
      <c r="H173" s="603"/>
      <c r="I173" s="615"/>
      <c r="J173" s="593"/>
      <c r="K173" s="600"/>
      <c r="L173" s="1998">
        <v>0</v>
      </c>
    </row>
    <row r="174" spans="1:14" ht="12.75" customHeight="1" thickTop="1" thickBot="1" x14ac:dyDescent="0.25">
      <c r="A174" s="1660" t="s">
        <v>90</v>
      </c>
      <c r="B174" s="1661"/>
      <c r="C174" s="593"/>
      <c r="D174" s="593"/>
      <c r="E174" s="1648">
        <f>SUM(E172,E173)</f>
        <v>0</v>
      </c>
      <c r="F174" s="593"/>
      <c r="G174" s="593"/>
      <c r="H174" s="1648">
        <f>SUM(H160,H172,H173)</f>
        <v>0</v>
      </c>
      <c r="I174" s="615"/>
      <c r="J174" s="593"/>
      <c r="K174" s="1648">
        <f>SUM(K160,K172,K173)</f>
        <v>0</v>
      </c>
      <c r="L174" s="1648">
        <f>SUM(L160,L172,L173)</f>
        <v>0</v>
      </c>
    </row>
    <row r="175" spans="1:14" ht="13.5" thickTop="1" x14ac:dyDescent="0.2">
      <c r="A175" s="2243" t="s">
        <v>996</v>
      </c>
      <c r="B175" s="2244"/>
      <c r="C175" s="593"/>
      <c r="D175" s="593"/>
      <c r="E175" s="593"/>
      <c r="F175" s="593"/>
      <c r="G175" s="593"/>
      <c r="H175" s="595"/>
      <c r="I175" s="593"/>
      <c r="J175" s="593"/>
      <c r="K175" s="1655">
        <f>'Revenues 9-14'!E268-'Expenditures 15-22'!K174</f>
        <v>0</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5" t="s">
        <v>937</v>
      </c>
      <c r="B177" s="1526"/>
      <c r="C177" s="1522"/>
      <c r="D177" s="1523"/>
      <c r="E177" s="1523"/>
      <c r="F177" s="1523"/>
      <c r="G177" s="1523"/>
      <c r="H177" s="1523"/>
      <c r="I177" s="1523"/>
      <c r="J177" s="1523"/>
      <c r="K177" s="1523"/>
      <c r="L177" s="1524"/>
      <c r="M177" s="586"/>
      <c r="N177" s="586"/>
    </row>
    <row r="178" spans="1:14" s="649" customFormat="1" ht="15.75" customHeight="1" x14ac:dyDescent="0.2">
      <c r="A178" s="1591" t="s">
        <v>938</v>
      </c>
      <c r="B178" s="1592"/>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5" t="s">
        <v>2057</v>
      </c>
      <c r="B180" s="591" t="s">
        <v>716</v>
      </c>
      <c r="C180" s="465">
        <v>0</v>
      </c>
      <c r="D180" s="465">
        <v>0</v>
      </c>
      <c r="E180" s="465">
        <v>0</v>
      </c>
      <c r="F180" s="465">
        <v>0</v>
      </c>
      <c r="G180" s="465">
        <v>0</v>
      </c>
      <c r="H180" s="465">
        <v>0</v>
      </c>
      <c r="I180" s="466">
        <v>0</v>
      </c>
      <c r="J180" s="466">
        <v>0</v>
      </c>
      <c r="K180" s="1642">
        <f>SUM(C180:J180)</f>
        <v>0</v>
      </c>
      <c r="L180" s="1985">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5" t="s">
        <v>953</v>
      </c>
      <c r="B182" s="591">
        <v>2550</v>
      </c>
      <c r="C182" s="1963">
        <v>646286</v>
      </c>
      <c r="D182" s="1963">
        <v>119791</v>
      </c>
      <c r="E182" s="1963">
        <v>1925819</v>
      </c>
      <c r="F182" s="1963">
        <v>111836</v>
      </c>
      <c r="G182" s="1963">
        <v>79121</v>
      </c>
      <c r="H182" s="1963">
        <v>4956</v>
      </c>
      <c r="I182" s="1964">
        <v>0</v>
      </c>
      <c r="J182" s="1964">
        <v>0</v>
      </c>
      <c r="K182" s="1642">
        <f>SUM(C182:J182)</f>
        <v>2887809</v>
      </c>
      <c r="L182" s="1985">
        <v>3730867</v>
      </c>
    </row>
    <row r="183" spans="1:14" ht="12.75" customHeight="1" thickBot="1" x14ac:dyDescent="0.25">
      <c r="A183" s="1480" t="s">
        <v>980</v>
      </c>
      <c r="B183" s="652">
        <v>2900</v>
      </c>
      <c r="C183" s="1974">
        <v>0</v>
      </c>
      <c r="D183" s="1974">
        <v>0</v>
      </c>
      <c r="E183" s="1974">
        <v>0</v>
      </c>
      <c r="F183" s="1974">
        <v>0</v>
      </c>
      <c r="G183" s="1974">
        <v>0</v>
      </c>
      <c r="H183" s="1974">
        <v>0</v>
      </c>
      <c r="I183" s="1972">
        <v>0</v>
      </c>
      <c r="J183" s="1972">
        <v>0</v>
      </c>
      <c r="K183" s="1648">
        <f>SUM(C183:J183)</f>
        <v>0</v>
      </c>
      <c r="L183" s="1997">
        <v>0</v>
      </c>
    </row>
    <row r="184" spans="1:14" ht="12.75" customHeight="1" thickTop="1" thickBot="1" x14ac:dyDescent="0.25">
      <c r="A184" s="1662" t="s">
        <v>811</v>
      </c>
      <c r="B184" s="1640" t="s">
        <v>569</v>
      </c>
      <c r="C184" s="1648">
        <f>SUM(C180,C182,C183)</f>
        <v>646286</v>
      </c>
      <c r="D184" s="1648">
        <f t="shared" ref="D184:J184" si="17">SUM(D180,D182,D183)</f>
        <v>119791</v>
      </c>
      <c r="E184" s="1648">
        <f t="shared" si="17"/>
        <v>1925819</v>
      </c>
      <c r="F184" s="1648">
        <f t="shared" si="17"/>
        <v>111836</v>
      </c>
      <c r="G184" s="1648">
        <f t="shared" si="17"/>
        <v>79121</v>
      </c>
      <c r="H184" s="1648">
        <f t="shared" si="17"/>
        <v>4956</v>
      </c>
      <c r="I184" s="1648">
        <f t="shared" si="17"/>
        <v>0</v>
      </c>
      <c r="J184" s="1648">
        <f t="shared" si="17"/>
        <v>0</v>
      </c>
      <c r="K184" s="1648">
        <f>SUM(K180,K182,K183)</f>
        <v>2887809</v>
      </c>
      <c r="L184" s="1648">
        <f>SUM(L180, L182:L183)</f>
        <v>3730867</v>
      </c>
    </row>
    <row r="185" spans="1:14" ht="15.75" customHeight="1" thickTop="1" thickBot="1" x14ac:dyDescent="0.25">
      <c r="A185" s="1593" t="s">
        <v>939</v>
      </c>
      <c r="B185" s="1582">
        <v>3000</v>
      </c>
      <c r="C185" s="561"/>
      <c r="D185" s="561"/>
      <c r="E185" s="561"/>
      <c r="F185" s="561"/>
      <c r="G185" s="561"/>
      <c r="H185" s="561"/>
      <c r="I185" s="523"/>
      <c r="J185" s="523"/>
      <c r="K185" s="1641">
        <f>SUM(C185:J185)</f>
        <v>0</v>
      </c>
      <c r="L185" s="1998">
        <v>0</v>
      </c>
    </row>
    <row r="186" spans="1:14" s="649" customFormat="1" ht="15.75" customHeight="1" thickTop="1" x14ac:dyDescent="0.2">
      <c r="A186" s="1577" t="s">
        <v>91</v>
      </c>
      <c r="B186" s="1580"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5" t="s">
        <v>496</v>
      </c>
      <c r="B188" s="591">
        <v>4110</v>
      </c>
      <c r="C188" s="593"/>
      <c r="D188" s="593"/>
      <c r="E188" s="1963">
        <v>0</v>
      </c>
      <c r="F188" s="593"/>
      <c r="G188" s="593"/>
      <c r="H188" s="1963">
        <v>0</v>
      </c>
      <c r="I188" s="473"/>
      <c r="J188" s="593"/>
      <c r="K188" s="1642">
        <f t="shared" ref="K188:K193" si="18">SUM(E188,H188)</f>
        <v>0</v>
      </c>
      <c r="L188" s="1985">
        <v>0</v>
      </c>
    </row>
    <row r="189" spans="1:14" x14ac:dyDescent="0.2">
      <c r="A189" s="1475" t="s">
        <v>304</v>
      </c>
      <c r="B189" s="591">
        <v>4120</v>
      </c>
      <c r="C189" s="593"/>
      <c r="D189" s="593"/>
      <c r="E189" s="1963">
        <v>0</v>
      </c>
      <c r="F189" s="593"/>
      <c r="G189" s="593"/>
      <c r="H189" s="1963">
        <v>0</v>
      </c>
      <c r="I189" s="473"/>
      <c r="J189" s="593"/>
      <c r="K189" s="1642">
        <f t="shared" si="18"/>
        <v>0</v>
      </c>
      <c r="L189" s="1985">
        <v>0</v>
      </c>
    </row>
    <row r="190" spans="1:14" x14ac:dyDescent="0.2">
      <c r="A190" s="1475" t="s">
        <v>305</v>
      </c>
      <c r="B190" s="605">
        <v>4130</v>
      </c>
      <c r="C190" s="593"/>
      <c r="D190" s="593"/>
      <c r="E190" s="1963">
        <v>0</v>
      </c>
      <c r="F190" s="593"/>
      <c r="G190" s="593"/>
      <c r="H190" s="1963">
        <v>0</v>
      </c>
      <c r="I190" s="473"/>
      <c r="J190" s="593"/>
      <c r="K190" s="1642">
        <f t="shared" si="18"/>
        <v>0</v>
      </c>
      <c r="L190" s="1985">
        <v>0</v>
      </c>
    </row>
    <row r="191" spans="1:14" x14ac:dyDescent="0.2">
      <c r="A191" s="1475" t="s">
        <v>697</v>
      </c>
      <c r="B191" s="591">
        <v>4140</v>
      </c>
      <c r="C191" s="593"/>
      <c r="D191" s="593"/>
      <c r="E191" s="1963">
        <v>0</v>
      </c>
      <c r="F191" s="593"/>
      <c r="G191" s="593"/>
      <c r="H191" s="1963">
        <v>0</v>
      </c>
      <c r="I191" s="473"/>
      <c r="J191" s="593"/>
      <c r="K191" s="1642">
        <f t="shared" si="18"/>
        <v>0</v>
      </c>
      <c r="L191" s="1985">
        <v>0</v>
      </c>
    </row>
    <row r="192" spans="1:14" x14ac:dyDescent="0.2">
      <c r="A192" s="1475" t="s">
        <v>86</v>
      </c>
      <c r="B192" s="591">
        <v>4170</v>
      </c>
      <c r="C192" s="593"/>
      <c r="D192" s="593"/>
      <c r="E192" s="1963">
        <v>0</v>
      </c>
      <c r="F192" s="593"/>
      <c r="G192" s="593"/>
      <c r="H192" s="1963">
        <v>0</v>
      </c>
      <c r="I192" s="473"/>
      <c r="J192" s="593"/>
      <c r="K192" s="1642">
        <f t="shared" si="18"/>
        <v>0</v>
      </c>
      <c r="L192" s="1985">
        <v>0</v>
      </c>
    </row>
    <row r="193" spans="1:14" x14ac:dyDescent="0.2">
      <c r="A193" s="1479" t="s">
        <v>698</v>
      </c>
      <c r="B193" s="605">
        <v>4190</v>
      </c>
      <c r="C193" s="593"/>
      <c r="D193" s="593"/>
      <c r="E193" s="1963">
        <v>0</v>
      </c>
      <c r="F193" s="593"/>
      <c r="G193" s="593"/>
      <c r="H193" s="1963">
        <v>0</v>
      </c>
      <c r="I193" s="473"/>
      <c r="J193" s="593"/>
      <c r="K193" s="1642">
        <f t="shared" si="18"/>
        <v>0</v>
      </c>
      <c r="L193" s="1985">
        <v>0</v>
      </c>
    </row>
    <row r="194" spans="1:14" ht="12.75" customHeight="1" thickBot="1" x14ac:dyDescent="0.25">
      <c r="A194" s="1639" t="s">
        <v>1140</v>
      </c>
      <c r="B194" s="1640" t="s">
        <v>559</v>
      </c>
      <c r="C194" s="593"/>
      <c r="D194" s="593"/>
      <c r="E194" s="1641">
        <f>SUM(E188:E193)</f>
        <v>0</v>
      </c>
      <c r="F194" s="593"/>
      <c r="G194" s="593"/>
      <c r="H194" s="1641">
        <f>SUM(H188:H193)</f>
        <v>0</v>
      </c>
      <c r="I194" s="473"/>
      <c r="J194" s="593"/>
      <c r="K194" s="1641">
        <f>SUM(K188:K193)</f>
        <v>0</v>
      </c>
      <c r="L194" s="1641">
        <f>SUM(L188:L193)</f>
        <v>0</v>
      </c>
    </row>
    <row r="195" spans="1:14" ht="15.75" customHeight="1" thickTop="1" x14ac:dyDescent="0.2">
      <c r="A195" s="644" t="s">
        <v>92</v>
      </c>
      <c r="B195" s="653" t="s">
        <v>931</v>
      </c>
      <c r="C195" s="593"/>
      <c r="D195" s="593"/>
      <c r="E195" s="1979">
        <v>0</v>
      </c>
      <c r="F195" s="593"/>
      <c r="G195" s="593"/>
      <c r="H195" s="1979">
        <v>0</v>
      </c>
      <c r="I195" s="473"/>
      <c r="J195" s="593"/>
      <c r="K195" s="1656">
        <f>SUM(E195,H195)</f>
        <v>0</v>
      </c>
      <c r="L195" s="2000">
        <v>0</v>
      </c>
    </row>
    <row r="196" spans="1:14" ht="12.75" customHeight="1" thickBot="1" x14ac:dyDescent="0.25">
      <c r="A196" s="1639" t="s">
        <v>1487</v>
      </c>
      <c r="B196" s="1640" t="s">
        <v>860</v>
      </c>
      <c r="C196" s="593"/>
      <c r="D196" s="593"/>
      <c r="E196" s="1648">
        <f>SUM(E194,E195)</f>
        <v>0</v>
      </c>
      <c r="F196" s="593"/>
      <c r="G196" s="593"/>
      <c r="H196" s="1648">
        <f>SUM(H194,H195)</f>
        <v>0</v>
      </c>
      <c r="I196" s="473"/>
      <c r="J196" s="593"/>
      <c r="K196" s="1648">
        <f>SUM(K194,K195)</f>
        <v>0</v>
      </c>
      <c r="L196" s="1648">
        <f>SUM(L194,L195)</f>
        <v>0</v>
      </c>
    </row>
    <row r="197" spans="1:14" s="649" customFormat="1" ht="15.75" customHeight="1" thickTop="1" x14ac:dyDescent="0.2">
      <c r="A197" s="1583" t="s">
        <v>940</v>
      </c>
      <c r="B197" s="1580"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5" t="s">
        <v>87</v>
      </c>
      <c r="B199" s="591">
        <v>5110</v>
      </c>
      <c r="C199" s="593"/>
      <c r="D199" s="593"/>
      <c r="E199" s="593"/>
      <c r="F199" s="593"/>
      <c r="G199" s="593"/>
      <c r="H199" s="1963">
        <v>0</v>
      </c>
      <c r="I199" s="593"/>
      <c r="J199" s="593"/>
      <c r="K199" s="1642">
        <f>SUM(H199)</f>
        <v>0</v>
      </c>
      <c r="L199" s="1985">
        <v>0</v>
      </c>
    </row>
    <row r="200" spans="1:14" x14ac:dyDescent="0.2">
      <c r="A200" s="1475" t="s">
        <v>88</v>
      </c>
      <c r="B200" s="591">
        <v>5120</v>
      </c>
      <c r="C200" s="593"/>
      <c r="D200" s="593"/>
      <c r="E200" s="593"/>
      <c r="F200" s="593"/>
      <c r="G200" s="593"/>
      <c r="H200" s="1963">
        <v>0</v>
      </c>
      <c r="I200" s="593"/>
      <c r="J200" s="593"/>
      <c r="K200" s="1642">
        <f>SUM(H200)</f>
        <v>0</v>
      </c>
      <c r="L200" s="1985">
        <v>0</v>
      </c>
    </row>
    <row r="201" spans="1:14" ht="12.75" customHeight="1" x14ac:dyDescent="0.2">
      <c r="A201" s="1475" t="s">
        <v>1170</v>
      </c>
      <c r="B201" s="605" t="s">
        <v>617</v>
      </c>
      <c r="C201" s="593"/>
      <c r="D201" s="593"/>
      <c r="E201" s="593"/>
      <c r="F201" s="593"/>
      <c r="G201" s="593"/>
      <c r="H201" s="1963">
        <v>0</v>
      </c>
      <c r="I201" s="593"/>
      <c r="J201" s="593"/>
      <c r="K201" s="1642">
        <f>SUM(H201)</f>
        <v>0</v>
      </c>
      <c r="L201" s="1985">
        <v>0</v>
      </c>
    </row>
    <row r="202" spans="1:14" x14ac:dyDescent="0.2">
      <c r="A202" s="1475" t="s">
        <v>89</v>
      </c>
      <c r="B202" s="591" t="s">
        <v>589</v>
      </c>
      <c r="C202" s="593"/>
      <c r="D202" s="593"/>
      <c r="E202" s="593"/>
      <c r="F202" s="593"/>
      <c r="G202" s="593"/>
      <c r="H202" s="1963">
        <v>0</v>
      </c>
      <c r="I202" s="593"/>
      <c r="J202" s="593"/>
      <c r="K202" s="1642">
        <f>SUM(H202)</f>
        <v>0</v>
      </c>
      <c r="L202" s="1985">
        <v>0</v>
      </c>
    </row>
    <row r="203" spans="1:14" x14ac:dyDescent="0.2">
      <c r="A203" s="1487" t="s">
        <v>619</v>
      </c>
      <c r="B203" s="591" t="s">
        <v>618</v>
      </c>
      <c r="C203" s="593"/>
      <c r="D203" s="593"/>
      <c r="E203" s="593"/>
      <c r="F203" s="593"/>
      <c r="G203" s="593"/>
      <c r="H203" s="1965">
        <v>0</v>
      </c>
      <c r="I203" s="593"/>
      <c r="J203" s="593"/>
      <c r="K203" s="1642">
        <f>SUM(H203)</f>
        <v>0</v>
      </c>
      <c r="L203" s="1987">
        <v>0</v>
      </c>
    </row>
    <row r="204" spans="1:14" ht="13.5" thickBot="1" x14ac:dyDescent="0.25">
      <c r="A204" s="1639" t="s">
        <v>276</v>
      </c>
      <c r="B204" s="1640" t="s">
        <v>718</v>
      </c>
      <c r="C204" s="593"/>
      <c r="D204" s="593"/>
      <c r="E204" s="593"/>
      <c r="F204" s="593"/>
      <c r="G204" s="593"/>
      <c r="H204" s="1641">
        <f>SUM(H199:H203)</f>
        <v>0</v>
      </c>
      <c r="I204" s="593"/>
      <c r="J204" s="593"/>
      <c r="K204" s="1641">
        <f>SUM(K199:K203)</f>
        <v>0</v>
      </c>
      <c r="L204" s="1641">
        <f>SUM(L199:L203)</f>
        <v>0</v>
      </c>
    </row>
    <row r="205" spans="1:14" ht="15.75" customHeight="1" thickTop="1" x14ac:dyDescent="0.2">
      <c r="A205" s="654" t="s">
        <v>83</v>
      </c>
      <c r="B205" s="655" t="s">
        <v>38</v>
      </c>
      <c r="C205" s="593"/>
      <c r="D205" s="593"/>
      <c r="E205" s="593"/>
      <c r="F205" s="593"/>
      <c r="G205" s="593"/>
      <c r="H205" s="1973">
        <v>0</v>
      </c>
      <c r="I205" s="593"/>
      <c r="J205" s="593"/>
      <c r="K205" s="1656">
        <f>SUM(H205)</f>
        <v>0</v>
      </c>
      <c r="L205" s="1996">
        <v>0</v>
      </c>
    </row>
    <row r="206" spans="1:14" ht="30" customHeight="1" x14ac:dyDescent="0.2">
      <c r="A206" s="656" t="s">
        <v>1671</v>
      </c>
      <c r="B206" s="647" t="s">
        <v>31</v>
      </c>
      <c r="C206" s="593"/>
      <c r="D206" s="593"/>
      <c r="E206" s="593"/>
      <c r="F206" s="593"/>
      <c r="G206" s="593"/>
      <c r="H206" s="1963">
        <v>0</v>
      </c>
      <c r="I206" s="593"/>
      <c r="J206" s="593"/>
      <c r="K206" s="1642">
        <f>SUM(H206)</f>
        <v>0</v>
      </c>
      <c r="L206" s="1985">
        <v>0</v>
      </c>
    </row>
    <row r="207" spans="1:14" ht="15.75" customHeight="1" x14ac:dyDescent="0.2">
      <c r="A207" s="598" t="s">
        <v>766</v>
      </c>
      <c r="B207" s="647" t="s">
        <v>84</v>
      </c>
      <c r="C207" s="593"/>
      <c r="D207" s="593"/>
      <c r="E207" s="593"/>
      <c r="F207" s="593"/>
      <c r="G207" s="593"/>
      <c r="H207" s="1964">
        <v>0</v>
      </c>
      <c r="I207" s="593"/>
      <c r="J207" s="593"/>
      <c r="K207" s="1642">
        <f>H207</f>
        <v>0</v>
      </c>
      <c r="L207" s="1985">
        <v>0</v>
      </c>
    </row>
    <row r="208" spans="1:14" ht="12.75" customHeight="1" thickBot="1" x14ac:dyDescent="0.25">
      <c r="A208" s="1657" t="s">
        <v>638</v>
      </c>
      <c r="B208" s="1658" t="s">
        <v>492</v>
      </c>
      <c r="C208" s="593"/>
      <c r="D208" s="593"/>
      <c r="E208" s="593"/>
      <c r="F208" s="593"/>
      <c r="G208" s="593"/>
      <c r="H208" s="1648">
        <f>SUM(H204,H205,H206,H207)</f>
        <v>0</v>
      </c>
      <c r="I208" s="593"/>
      <c r="J208" s="593"/>
      <c r="K208" s="1648">
        <f>SUM(K204,K205,K206,K207)</f>
        <v>0</v>
      </c>
      <c r="L208" s="1648">
        <f>SUM(L204,L205,L206,L207)</f>
        <v>0</v>
      </c>
    </row>
    <row r="209" spans="1:14" ht="15.75" customHeight="1" thickTop="1" thickBot="1" x14ac:dyDescent="0.25">
      <c r="A209" s="1577" t="s">
        <v>872</v>
      </c>
      <c r="B209" s="1584" t="s">
        <v>861</v>
      </c>
      <c r="C209" s="600"/>
      <c r="D209" s="600"/>
      <c r="E209" s="600"/>
      <c r="F209" s="600"/>
      <c r="G209" s="600"/>
      <c r="H209" s="600"/>
      <c r="I209" s="593"/>
      <c r="J209" s="593"/>
      <c r="K209" s="600"/>
      <c r="L209" s="1998">
        <v>0</v>
      </c>
    </row>
    <row r="210" spans="1:14" ht="12.75" customHeight="1" thickTop="1" thickBot="1" x14ac:dyDescent="0.25">
      <c r="A210" s="1663" t="s">
        <v>277</v>
      </c>
      <c r="B210" s="1664"/>
      <c r="C210" s="1641">
        <f>SUM(C184,C185)</f>
        <v>646286</v>
      </c>
      <c r="D210" s="1641">
        <f>SUM(D184,D185)</f>
        <v>119791</v>
      </c>
      <c r="E210" s="1641">
        <f>SUM(E184,E185,E196)</f>
        <v>1925819</v>
      </c>
      <c r="F210" s="1641">
        <f>SUM(F184,F185)</f>
        <v>111836</v>
      </c>
      <c r="G210" s="1641">
        <f>SUM(G184,G185)</f>
        <v>79121</v>
      </c>
      <c r="H210" s="1641">
        <f>SUM(H184,H185,H196,H208,H209)</f>
        <v>4956</v>
      </c>
      <c r="I210" s="1641">
        <f>SUM(I184,I185)</f>
        <v>0</v>
      </c>
      <c r="J210" s="1641">
        <f>SUM(J184,J185)</f>
        <v>0</v>
      </c>
      <c r="K210" s="1642">
        <f>SUM(K184,K185,K196,K208,K209)</f>
        <v>2887809</v>
      </c>
      <c r="L210" s="1641">
        <f>SUM(L184,L185,L196,L208,L209)</f>
        <v>3730867</v>
      </c>
    </row>
    <row r="211" spans="1:14" ht="13.5" thickTop="1" x14ac:dyDescent="0.2">
      <c r="A211" s="2243" t="s">
        <v>996</v>
      </c>
      <c r="B211" s="2244"/>
      <c r="C211" s="595"/>
      <c r="D211" s="595"/>
      <c r="E211" s="595"/>
      <c r="F211" s="595"/>
      <c r="G211" s="595"/>
      <c r="H211" s="595"/>
      <c r="I211" s="593"/>
      <c r="J211" s="593"/>
      <c r="K211" s="1655">
        <f>'Revenues 9-14'!F268-'Expenditures 15-22'!K210</f>
        <v>59677</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65" t="s">
        <v>965</v>
      </c>
      <c r="B213" s="2266"/>
      <c r="C213" s="1522"/>
      <c r="D213" s="1523"/>
      <c r="E213" s="1523"/>
      <c r="F213" s="1523"/>
      <c r="G213" s="1523"/>
      <c r="H213" s="1523"/>
      <c r="I213" s="1523"/>
      <c r="J213" s="1523"/>
      <c r="K213" s="1523"/>
      <c r="L213" s="1524"/>
      <c r="M213" s="586"/>
      <c r="N213" s="586"/>
    </row>
    <row r="214" spans="1:14" s="649" customFormat="1" ht="15.75" customHeight="1" x14ac:dyDescent="0.2">
      <c r="A214" s="1594" t="s">
        <v>873</v>
      </c>
      <c r="B214" s="1586" t="s">
        <v>570</v>
      </c>
      <c r="C214" s="593"/>
      <c r="D214" s="600"/>
      <c r="E214" s="593"/>
      <c r="F214" s="593"/>
      <c r="G214" s="593"/>
      <c r="H214" s="593"/>
      <c r="I214" s="593"/>
      <c r="J214" s="593"/>
      <c r="K214" s="600"/>
      <c r="L214" s="600"/>
      <c r="M214" s="640"/>
      <c r="N214" s="640"/>
    </row>
    <row r="215" spans="1:14" x14ac:dyDescent="0.2">
      <c r="A215" s="1475" t="s">
        <v>961</v>
      </c>
      <c r="B215" s="591">
        <v>1100</v>
      </c>
      <c r="C215" s="593"/>
      <c r="D215" s="1963">
        <v>0</v>
      </c>
      <c r="E215" s="593"/>
      <c r="F215" s="593"/>
      <c r="G215" s="593"/>
      <c r="H215" s="593"/>
      <c r="I215" s="593"/>
      <c r="J215" s="593"/>
      <c r="K215" s="1642">
        <f>D215</f>
        <v>0</v>
      </c>
      <c r="L215" s="1985">
        <v>0</v>
      </c>
    </row>
    <row r="216" spans="1:14" x14ac:dyDescent="0.2">
      <c r="A216" s="1475" t="s">
        <v>163</v>
      </c>
      <c r="B216" s="591" t="s">
        <v>967</v>
      </c>
      <c r="C216" s="593"/>
      <c r="D216" s="1964">
        <v>0</v>
      </c>
      <c r="E216" s="593"/>
      <c r="F216" s="593"/>
      <c r="G216" s="593"/>
      <c r="H216" s="593"/>
      <c r="I216" s="593"/>
      <c r="J216" s="593"/>
      <c r="K216" s="1642">
        <f t="shared" ref="K216:K228" si="19">D216</f>
        <v>0</v>
      </c>
      <c r="L216" s="1985">
        <v>0</v>
      </c>
    </row>
    <row r="217" spans="1:14" x14ac:dyDescent="0.2">
      <c r="A217" s="1475" t="s">
        <v>164</v>
      </c>
      <c r="B217" s="591">
        <v>1200</v>
      </c>
      <c r="C217" s="593"/>
      <c r="D217" s="1963">
        <v>0</v>
      </c>
      <c r="E217" s="593"/>
      <c r="F217" s="593"/>
      <c r="G217" s="593"/>
      <c r="H217" s="593"/>
      <c r="I217" s="593"/>
      <c r="J217" s="593"/>
      <c r="K217" s="1642">
        <f t="shared" si="19"/>
        <v>0</v>
      </c>
      <c r="L217" s="1985">
        <v>0</v>
      </c>
    </row>
    <row r="218" spans="1:14" x14ac:dyDescent="0.2">
      <c r="A218" s="1475" t="s">
        <v>278</v>
      </c>
      <c r="B218" s="591" t="s">
        <v>968</v>
      </c>
      <c r="C218" s="593"/>
      <c r="D218" s="1964">
        <v>0</v>
      </c>
      <c r="E218" s="593"/>
      <c r="F218" s="593"/>
      <c r="G218" s="593"/>
      <c r="H218" s="593"/>
      <c r="I218" s="593"/>
      <c r="J218" s="593"/>
      <c r="K218" s="1642">
        <f t="shared" si="19"/>
        <v>0</v>
      </c>
      <c r="L218" s="1985">
        <v>0</v>
      </c>
    </row>
    <row r="219" spans="1:14" x14ac:dyDescent="0.2">
      <c r="A219" s="1475" t="s">
        <v>279</v>
      </c>
      <c r="B219" s="591">
        <v>1250</v>
      </c>
      <c r="C219" s="593"/>
      <c r="D219" s="1963">
        <v>0</v>
      </c>
      <c r="E219" s="593"/>
      <c r="F219" s="593"/>
      <c r="G219" s="593"/>
      <c r="H219" s="593"/>
      <c r="I219" s="593"/>
      <c r="J219" s="593"/>
      <c r="K219" s="1642">
        <f t="shared" si="19"/>
        <v>0</v>
      </c>
      <c r="L219" s="1985">
        <v>0</v>
      </c>
    </row>
    <row r="220" spans="1:14" x14ac:dyDescent="0.2">
      <c r="A220" s="1475" t="s">
        <v>280</v>
      </c>
      <c r="B220" s="591" t="s">
        <v>161</v>
      </c>
      <c r="C220" s="593"/>
      <c r="D220" s="1964">
        <v>0</v>
      </c>
      <c r="E220" s="593"/>
      <c r="F220" s="593"/>
      <c r="G220" s="593"/>
      <c r="H220" s="593"/>
      <c r="I220" s="593"/>
      <c r="J220" s="593"/>
      <c r="K220" s="1642">
        <f t="shared" si="19"/>
        <v>0</v>
      </c>
      <c r="L220" s="1985">
        <v>0</v>
      </c>
    </row>
    <row r="221" spans="1:14" x14ac:dyDescent="0.2">
      <c r="A221" s="1475" t="s">
        <v>962</v>
      </c>
      <c r="B221" s="591">
        <v>1300</v>
      </c>
      <c r="C221" s="593"/>
      <c r="D221" s="1963">
        <v>0</v>
      </c>
      <c r="E221" s="593"/>
      <c r="F221" s="593"/>
      <c r="G221" s="593"/>
      <c r="H221" s="593"/>
      <c r="I221" s="593"/>
      <c r="J221" s="593"/>
      <c r="K221" s="1642">
        <f t="shared" si="19"/>
        <v>0</v>
      </c>
      <c r="L221" s="1985">
        <v>0</v>
      </c>
    </row>
    <row r="222" spans="1:14" x14ac:dyDescent="0.2">
      <c r="A222" s="1475" t="s">
        <v>723</v>
      </c>
      <c r="B222" s="591">
        <v>1400</v>
      </c>
      <c r="C222" s="593"/>
      <c r="D222" s="1963">
        <v>0</v>
      </c>
      <c r="E222" s="593"/>
      <c r="F222" s="593"/>
      <c r="G222" s="593"/>
      <c r="H222" s="593"/>
      <c r="I222" s="593"/>
      <c r="J222" s="593"/>
      <c r="K222" s="1642">
        <f t="shared" si="19"/>
        <v>0</v>
      </c>
      <c r="L222" s="1985">
        <v>0</v>
      </c>
    </row>
    <row r="223" spans="1:14" x14ac:dyDescent="0.2">
      <c r="A223" s="1475" t="s">
        <v>963</v>
      </c>
      <c r="B223" s="591">
        <v>1500</v>
      </c>
      <c r="C223" s="593"/>
      <c r="D223" s="1963">
        <v>0</v>
      </c>
      <c r="E223" s="593"/>
      <c r="F223" s="593"/>
      <c r="G223" s="593"/>
      <c r="H223" s="593"/>
      <c r="I223" s="593"/>
      <c r="J223" s="593"/>
      <c r="K223" s="1642">
        <f t="shared" si="19"/>
        <v>0</v>
      </c>
      <c r="L223" s="1985">
        <v>0</v>
      </c>
    </row>
    <row r="224" spans="1:14" x14ac:dyDescent="0.2">
      <c r="A224" s="1475" t="s">
        <v>964</v>
      </c>
      <c r="B224" s="591">
        <v>1600</v>
      </c>
      <c r="C224" s="593"/>
      <c r="D224" s="1963">
        <v>0</v>
      </c>
      <c r="E224" s="593"/>
      <c r="F224" s="593"/>
      <c r="G224" s="593"/>
      <c r="H224" s="593"/>
      <c r="I224" s="593"/>
      <c r="J224" s="593"/>
      <c r="K224" s="1642">
        <f t="shared" si="19"/>
        <v>0</v>
      </c>
      <c r="L224" s="1985">
        <v>0</v>
      </c>
    </row>
    <row r="225" spans="1:12" x14ac:dyDescent="0.2">
      <c r="A225" s="1475" t="s">
        <v>987</v>
      </c>
      <c r="B225" s="591">
        <v>1650</v>
      </c>
      <c r="C225" s="593"/>
      <c r="D225" s="1963">
        <v>0</v>
      </c>
      <c r="E225" s="593"/>
      <c r="F225" s="593"/>
      <c r="G225" s="593"/>
      <c r="H225" s="593"/>
      <c r="I225" s="593"/>
      <c r="J225" s="593"/>
      <c r="K225" s="1642">
        <f t="shared" si="19"/>
        <v>0</v>
      </c>
      <c r="L225" s="1985">
        <v>0</v>
      </c>
    </row>
    <row r="226" spans="1:12" x14ac:dyDescent="0.2">
      <c r="A226" s="1475" t="s">
        <v>724</v>
      </c>
      <c r="B226" s="591" t="s">
        <v>162</v>
      </c>
      <c r="C226" s="593"/>
      <c r="D226" s="1964">
        <v>0</v>
      </c>
      <c r="E226" s="593"/>
      <c r="F226" s="593"/>
      <c r="G226" s="593"/>
      <c r="H226" s="593"/>
      <c r="I226" s="593"/>
      <c r="J226" s="593"/>
      <c r="K226" s="1642">
        <f t="shared" si="19"/>
        <v>0</v>
      </c>
      <c r="L226" s="1985">
        <v>0</v>
      </c>
    </row>
    <row r="227" spans="1:12" x14ac:dyDescent="0.2">
      <c r="A227" s="1475" t="s">
        <v>1087</v>
      </c>
      <c r="B227" s="591">
        <v>1800</v>
      </c>
      <c r="C227" s="593"/>
      <c r="D227" s="1963">
        <v>0</v>
      </c>
      <c r="E227" s="593"/>
      <c r="F227" s="593"/>
      <c r="G227" s="593"/>
      <c r="H227" s="593"/>
      <c r="I227" s="593"/>
      <c r="J227" s="593"/>
      <c r="K227" s="1642">
        <f t="shared" si="19"/>
        <v>0</v>
      </c>
      <c r="L227" s="1985">
        <v>0</v>
      </c>
    </row>
    <row r="228" spans="1:12" x14ac:dyDescent="0.2">
      <c r="A228" s="1475" t="s">
        <v>1088</v>
      </c>
      <c r="B228" s="591">
        <v>1900</v>
      </c>
      <c r="C228" s="593"/>
      <c r="D228" s="1963">
        <v>0</v>
      </c>
      <c r="E228" s="593"/>
      <c r="F228" s="593"/>
      <c r="G228" s="593"/>
      <c r="H228" s="593"/>
      <c r="I228" s="593"/>
      <c r="J228" s="593"/>
      <c r="K228" s="1642">
        <f t="shared" si="19"/>
        <v>0</v>
      </c>
      <c r="L228" s="1985">
        <v>0</v>
      </c>
    </row>
    <row r="229" spans="1:12" ht="12.75" customHeight="1" thickBot="1" x14ac:dyDescent="0.25">
      <c r="A229" s="1639" t="s">
        <v>715</v>
      </c>
      <c r="B229" s="1646" t="s">
        <v>570</v>
      </c>
      <c r="C229" s="593"/>
      <c r="D229" s="1641">
        <f>SUM(D215:D228)</f>
        <v>0</v>
      </c>
      <c r="E229" s="593"/>
      <c r="F229" s="593"/>
      <c r="G229" s="593"/>
      <c r="H229" s="593"/>
      <c r="I229" s="593"/>
      <c r="J229" s="593"/>
      <c r="K229" s="1641">
        <f>SUM(K215:K228)</f>
        <v>0</v>
      </c>
      <c r="L229" s="1641">
        <f>SUM(L215:L228)</f>
        <v>0</v>
      </c>
    </row>
    <row r="230" spans="1:12" ht="15.75" customHeight="1" thickTop="1" x14ac:dyDescent="0.2">
      <c r="A230" s="1583" t="s">
        <v>874</v>
      </c>
      <c r="B230" s="1584"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5" t="s">
        <v>1089</v>
      </c>
      <c r="B232" s="591">
        <v>2110</v>
      </c>
      <c r="C232" s="593"/>
      <c r="D232" s="1963">
        <v>0</v>
      </c>
      <c r="E232" s="593"/>
      <c r="F232" s="593"/>
      <c r="G232" s="593"/>
      <c r="H232" s="593"/>
      <c r="I232" s="593"/>
      <c r="J232" s="593"/>
      <c r="K232" s="1642">
        <f t="shared" ref="K232:K237" si="20">D232</f>
        <v>0</v>
      </c>
      <c r="L232" s="1985">
        <v>0</v>
      </c>
    </row>
    <row r="233" spans="1:12" x14ac:dyDescent="0.2">
      <c r="A233" s="1475" t="s">
        <v>1090</v>
      </c>
      <c r="B233" s="591">
        <v>2120</v>
      </c>
      <c r="C233" s="593"/>
      <c r="D233" s="1963">
        <v>0</v>
      </c>
      <c r="E233" s="593"/>
      <c r="F233" s="593"/>
      <c r="G233" s="593"/>
      <c r="H233" s="593"/>
      <c r="I233" s="593"/>
      <c r="J233" s="593"/>
      <c r="K233" s="1642">
        <f t="shared" si="20"/>
        <v>0</v>
      </c>
      <c r="L233" s="1985">
        <v>0</v>
      </c>
    </row>
    <row r="234" spans="1:12" x14ac:dyDescent="0.2">
      <c r="A234" s="1475" t="s">
        <v>198</v>
      </c>
      <c r="B234" s="591">
        <v>2130</v>
      </c>
      <c r="C234" s="593"/>
      <c r="D234" s="1963">
        <v>0</v>
      </c>
      <c r="E234" s="593"/>
      <c r="F234" s="593"/>
      <c r="G234" s="593"/>
      <c r="H234" s="593"/>
      <c r="I234" s="593"/>
      <c r="J234" s="593"/>
      <c r="K234" s="1642">
        <f t="shared" si="20"/>
        <v>0</v>
      </c>
      <c r="L234" s="1985">
        <v>0</v>
      </c>
    </row>
    <row r="235" spans="1:12" x14ac:dyDescent="0.2">
      <c r="A235" s="1475" t="s">
        <v>199</v>
      </c>
      <c r="B235" s="591">
        <v>2140</v>
      </c>
      <c r="C235" s="593"/>
      <c r="D235" s="1963">
        <v>0</v>
      </c>
      <c r="E235" s="593"/>
      <c r="F235" s="593"/>
      <c r="G235" s="593"/>
      <c r="H235" s="593"/>
      <c r="I235" s="593"/>
      <c r="J235" s="593"/>
      <c r="K235" s="1642">
        <f t="shared" si="20"/>
        <v>0</v>
      </c>
      <c r="L235" s="1985">
        <v>0</v>
      </c>
    </row>
    <row r="236" spans="1:12" x14ac:dyDescent="0.2">
      <c r="A236" s="1475" t="s">
        <v>200</v>
      </c>
      <c r="B236" s="591">
        <v>2150</v>
      </c>
      <c r="C236" s="593"/>
      <c r="D236" s="1963">
        <v>0</v>
      </c>
      <c r="E236" s="593"/>
      <c r="F236" s="593"/>
      <c r="G236" s="593"/>
      <c r="H236" s="593"/>
      <c r="I236" s="593"/>
      <c r="J236" s="593"/>
      <c r="K236" s="1642">
        <f t="shared" si="20"/>
        <v>0</v>
      </c>
      <c r="L236" s="1985">
        <v>0</v>
      </c>
    </row>
    <row r="237" spans="1:12" x14ac:dyDescent="0.2">
      <c r="A237" s="1475" t="s">
        <v>165</v>
      </c>
      <c r="B237" s="591">
        <v>2190</v>
      </c>
      <c r="C237" s="593"/>
      <c r="D237" s="1963">
        <v>0</v>
      </c>
      <c r="E237" s="593"/>
      <c r="F237" s="593"/>
      <c r="G237" s="593"/>
      <c r="H237" s="593"/>
      <c r="I237" s="593"/>
      <c r="J237" s="593"/>
      <c r="K237" s="1642">
        <f t="shared" si="20"/>
        <v>0</v>
      </c>
      <c r="L237" s="1985">
        <v>0</v>
      </c>
    </row>
    <row r="238" spans="1:12" ht="12.75" customHeight="1" thickBot="1" x14ac:dyDescent="0.25">
      <c r="A238" s="1639" t="s">
        <v>560</v>
      </c>
      <c r="B238" s="1646" t="s">
        <v>716</v>
      </c>
      <c r="C238" s="593"/>
      <c r="D238" s="1641">
        <f>SUM(D232:D237)</f>
        <v>0</v>
      </c>
      <c r="E238" s="593"/>
      <c r="F238" s="593"/>
      <c r="G238" s="593"/>
      <c r="H238" s="593"/>
      <c r="I238" s="593"/>
      <c r="J238" s="593"/>
      <c r="K238" s="1641">
        <f>SUM(K232:K237)</f>
        <v>0</v>
      </c>
      <c r="L238" s="1641">
        <f>SUM(L232:L237)</f>
        <v>0</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5" t="s">
        <v>814</v>
      </c>
      <c r="B240" s="591">
        <v>2210</v>
      </c>
      <c r="C240" s="593"/>
      <c r="D240" s="477">
        <v>0</v>
      </c>
      <c r="E240" s="593"/>
      <c r="F240" s="593"/>
      <c r="G240" s="593"/>
      <c r="H240" s="593"/>
      <c r="I240" s="593"/>
      <c r="J240" s="593"/>
      <c r="K240" s="1643">
        <f>D240</f>
        <v>0</v>
      </c>
      <c r="L240" s="477">
        <v>0</v>
      </c>
    </row>
    <row r="241" spans="1:12" x14ac:dyDescent="0.2">
      <c r="A241" s="1475" t="s">
        <v>815</v>
      </c>
      <c r="B241" s="591">
        <v>2220</v>
      </c>
      <c r="C241" s="593"/>
      <c r="D241" s="1963">
        <v>0</v>
      </c>
      <c r="E241" s="593"/>
      <c r="F241" s="593"/>
      <c r="G241" s="593"/>
      <c r="H241" s="593"/>
      <c r="I241" s="593"/>
      <c r="J241" s="593"/>
      <c r="K241" s="1643">
        <f>D241</f>
        <v>0</v>
      </c>
      <c r="L241" s="1985">
        <v>0</v>
      </c>
    </row>
    <row r="242" spans="1:12" x14ac:dyDescent="0.2">
      <c r="A242" s="1475" t="s">
        <v>816</v>
      </c>
      <c r="B242" s="591">
        <v>2230</v>
      </c>
      <c r="C242" s="593"/>
      <c r="D242" s="1963">
        <v>0</v>
      </c>
      <c r="E242" s="593"/>
      <c r="F242" s="593"/>
      <c r="G242" s="593"/>
      <c r="H242" s="593"/>
      <c r="I242" s="593"/>
      <c r="J242" s="593"/>
      <c r="K242" s="1643">
        <f>D242</f>
        <v>0</v>
      </c>
      <c r="L242" s="1985">
        <v>0</v>
      </c>
    </row>
    <row r="243" spans="1:12" ht="12.75" customHeight="1" thickBot="1" x14ac:dyDescent="0.25">
      <c r="A243" s="1665" t="s">
        <v>561</v>
      </c>
      <c r="B243" s="1666">
        <v>2200</v>
      </c>
      <c r="C243" s="593"/>
      <c r="D243" s="1641">
        <f>SUM(D240:D242)</f>
        <v>0</v>
      </c>
      <c r="E243" s="593"/>
      <c r="F243" s="593"/>
      <c r="G243" s="593"/>
      <c r="H243" s="593"/>
      <c r="I243" s="593"/>
      <c r="J243" s="593"/>
      <c r="K243" s="1641">
        <f>SUM(K240:K242)</f>
        <v>0</v>
      </c>
      <c r="L243" s="1641">
        <f>SUM(L240:L242)</f>
        <v>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5" t="s">
        <v>817</v>
      </c>
      <c r="B245" s="591">
        <v>2310</v>
      </c>
      <c r="C245" s="593"/>
      <c r="D245" s="477">
        <v>0</v>
      </c>
      <c r="E245" s="593"/>
      <c r="F245" s="593"/>
      <c r="G245" s="593"/>
      <c r="H245" s="593"/>
      <c r="I245" s="593"/>
      <c r="J245" s="593"/>
      <c r="K245" s="1643">
        <f>D245</f>
        <v>0</v>
      </c>
      <c r="L245" s="477">
        <v>0</v>
      </c>
    </row>
    <row r="246" spans="1:12" x14ac:dyDescent="0.2">
      <c r="A246" s="1475" t="s">
        <v>818</v>
      </c>
      <c r="B246" s="591">
        <v>2320</v>
      </c>
      <c r="C246" s="593"/>
      <c r="D246" s="1963">
        <v>0</v>
      </c>
      <c r="E246" s="593"/>
      <c r="F246" s="593"/>
      <c r="G246" s="593"/>
      <c r="H246" s="593"/>
      <c r="I246" s="593"/>
      <c r="J246" s="593"/>
      <c r="K246" s="1643">
        <f t="shared" ref="K246:K256" si="21">D246</f>
        <v>0</v>
      </c>
      <c r="L246" s="1985">
        <v>0</v>
      </c>
    </row>
    <row r="247" spans="1:12" x14ac:dyDescent="0.2">
      <c r="A247" s="1475" t="s">
        <v>819</v>
      </c>
      <c r="B247" s="591">
        <v>2330</v>
      </c>
      <c r="C247" s="593"/>
      <c r="D247" s="1963">
        <v>0</v>
      </c>
      <c r="E247" s="593"/>
      <c r="F247" s="593"/>
      <c r="G247" s="593"/>
      <c r="H247" s="593"/>
      <c r="I247" s="593"/>
      <c r="J247" s="593"/>
      <c r="K247" s="1643">
        <f t="shared" si="21"/>
        <v>0</v>
      </c>
      <c r="L247" s="1985">
        <v>0</v>
      </c>
    </row>
    <row r="248" spans="1:12" x14ac:dyDescent="0.2">
      <c r="A248" s="1476" t="s">
        <v>299</v>
      </c>
      <c r="B248" s="579" t="s">
        <v>281</v>
      </c>
      <c r="C248" s="593"/>
      <c r="D248" s="1966">
        <v>0</v>
      </c>
      <c r="E248" s="593"/>
      <c r="F248" s="593"/>
      <c r="G248" s="593"/>
      <c r="H248" s="593"/>
      <c r="I248" s="593"/>
      <c r="J248" s="593"/>
      <c r="K248" s="1643">
        <f t="shared" si="21"/>
        <v>0</v>
      </c>
      <c r="L248" s="1985">
        <v>0</v>
      </c>
    </row>
    <row r="249" spans="1:12" x14ac:dyDescent="0.2">
      <c r="A249" s="1477" t="s">
        <v>1802</v>
      </c>
      <c r="B249" s="658" t="s">
        <v>282</v>
      </c>
      <c r="C249" s="593"/>
      <c r="D249" s="1966">
        <v>0</v>
      </c>
      <c r="E249" s="593"/>
      <c r="F249" s="593"/>
      <c r="G249" s="593"/>
      <c r="H249" s="593"/>
      <c r="I249" s="593"/>
      <c r="J249" s="593"/>
      <c r="K249" s="1643">
        <f t="shared" si="21"/>
        <v>0</v>
      </c>
      <c r="L249" s="1985">
        <v>0</v>
      </c>
    </row>
    <row r="250" spans="1:12" x14ac:dyDescent="0.2">
      <c r="A250" s="1476" t="s">
        <v>1803</v>
      </c>
      <c r="B250" s="579" t="s">
        <v>283</v>
      </c>
      <c r="C250" s="593"/>
      <c r="D250" s="1966">
        <v>0</v>
      </c>
      <c r="E250" s="593"/>
      <c r="F250" s="593"/>
      <c r="G250" s="593"/>
      <c r="H250" s="593"/>
      <c r="I250" s="593"/>
      <c r="J250" s="593"/>
      <c r="K250" s="1643">
        <f t="shared" si="21"/>
        <v>0</v>
      </c>
      <c r="L250" s="1985">
        <v>0</v>
      </c>
    </row>
    <row r="251" spans="1:12" x14ac:dyDescent="0.2">
      <c r="A251" s="1476" t="s">
        <v>238</v>
      </c>
      <c r="B251" s="579" t="s">
        <v>284</v>
      </c>
      <c r="C251" s="593"/>
      <c r="D251" s="1966">
        <v>0</v>
      </c>
      <c r="E251" s="593"/>
      <c r="F251" s="593"/>
      <c r="G251" s="593"/>
      <c r="H251" s="593"/>
      <c r="I251" s="593"/>
      <c r="J251" s="593"/>
      <c r="K251" s="1643">
        <f t="shared" si="21"/>
        <v>0</v>
      </c>
      <c r="L251" s="1985">
        <v>0</v>
      </c>
    </row>
    <row r="252" spans="1:12" x14ac:dyDescent="0.2">
      <c r="A252" s="1476" t="s">
        <v>702</v>
      </c>
      <c r="B252" s="579" t="s">
        <v>285</v>
      </c>
      <c r="C252" s="593"/>
      <c r="D252" s="1966">
        <v>0</v>
      </c>
      <c r="E252" s="593"/>
      <c r="F252" s="593"/>
      <c r="G252" s="593"/>
      <c r="H252" s="593"/>
      <c r="I252" s="593"/>
      <c r="J252" s="593"/>
      <c r="K252" s="1643">
        <f t="shared" si="21"/>
        <v>0</v>
      </c>
      <c r="L252" s="1985">
        <v>0</v>
      </c>
    </row>
    <row r="253" spans="1:12" x14ac:dyDescent="0.2">
      <c r="A253" s="1476" t="s">
        <v>239</v>
      </c>
      <c r="B253" s="579" t="s">
        <v>286</v>
      </c>
      <c r="C253" s="593"/>
      <c r="D253" s="1966">
        <v>0</v>
      </c>
      <c r="E253" s="593"/>
      <c r="F253" s="593"/>
      <c r="G253" s="593"/>
      <c r="H253" s="593"/>
      <c r="I253" s="593"/>
      <c r="J253" s="593"/>
      <c r="K253" s="1643">
        <f t="shared" si="21"/>
        <v>0</v>
      </c>
      <c r="L253" s="1985">
        <v>0</v>
      </c>
    </row>
    <row r="254" spans="1:12" ht="22.5" x14ac:dyDescent="0.2">
      <c r="A254" s="1476" t="s">
        <v>1029</v>
      </c>
      <c r="B254" s="658" t="s">
        <v>287</v>
      </c>
      <c r="C254" s="593"/>
      <c r="D254" s="1966">
        <v>0</v>
      </c>
      <c r="E254" s="593"/>
      <c r="F254" s="593"/>
      <c r="G254" s="593"/>
      <c r="H254" s="593"/>
      <c r="I254" s="593"/>
      <c r="J254" s="593"/>
      <c r="K254" s="1643">
        <f t="shared" si="21"/>
        <v>0</v>
      </c>
      <c r="L254" s="1985">
        <v>0</v>
      </c>
    </row>
    <row r="255" spans="1:12" x14ac:dyDescent="0.2">
      <c r="A255" s="1476" t="s">
        <v>1030</v>
      </c>
      <c r="B255" s="579" t="s">
        <v>288</v>
      </c>
      <c r="C255" s="593"/>
      <c r="D255" s="1966">
        <v>0</v>
      </c>
      <c r="E255" s="593"/>
      <c r="F255" s="593"/>
      <c r="G255" s="593"/>
      <c r="H255" s="593"/>
      <c r="I255" s="593"/>
      <c r="J255" s="593"/>
      <c r="K255" s="1643">
        <f t="shared" si="21"/>
        <v>0</v>
      </c>
      <c r="L255" s="1985">
        <v>0</v>
      </c>
    </row>
    <row r="256" spans="1:12" x14ac:dyDescent="0.2">
      <c r="A256" s="1476" t="s">
        <v>971</v>
      </c>
      <c r="B256" s="591" t="s">
        <v>289</v>
      </c>
      <c r="C256" s="593"/>
      <c r="D256" s="1966">
        <v>0</v>
      </c>
      <c r="E256" s="593"/>
      <c r="F256" s="593"/>
      <c r="G256" s="593"/>
      <c r="H256" s="593"/>
      <c r="I256" s="593"/>
      <c r="J256" s="593"/>
      <c r="K256" s="1643">
        <f t="shared" si="21"/>
        <v>0</v>
      </c>
      <c r="L256" s="1985">
        <v>0</v>
      </c>
    </row>
    <row r="257" spans="1:14" ht="12.75" customHeight="1" thickBot="1" x14ac:dyDescent="0.25">
      <c r="A257" s="1639" t="s">
        <v>717</v>
      </c>
      <c r="B257" s="1667">
        <v>2300</v>
      </c>
      <c r="C257" s="593"/>
      <c r="D257" s="1641">
        <f>SUM(D245:D256)</f>
        <v>0</v>
      </c>
      <c r="E257" s="593"/>
      <c r="F257" s="593"/>
      <c r="G257" s="593"/>
      <c r="H257" s="593"/>
      <c r="I257" s="593"/>
      <c r="J257" s="593"/>
      <c r="K257" s="1641">
        <f>SUM(K245:K256)</f>
        <v>0</v>
      </c>
      <c r="L257" s="1641">
        <f>SUM(L245:L256)</f>
        <v>0</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5" t="s">
        <v>1067</v>
      </c>
      <c r="B259" s="660">
        <v>2410</v>
      </c>
      <c r="C259" s="593"/>
      <c r="D259" s="477">
        <v>0</v>
      </c>
      <c r="E259" s="593"/>
      <c r="F259" s="593"/>
      <c r="G259" s="593"/>
      <c r="H259" s="593"/>
      <c r="I259" s="593"/>
      <c r="J259" s="593"/>
      <c r="K259" s="1643">
        <f>D259</f>
        <v>0</v>
      </c>
      <c r="L259" s="477">
        <v>0</v>
      </c>
    </row>
    <row r="260" spans="1:14" s="574" customFormat="1" x14ac:dyDescent="0.2">
      <c r="A260" s="1493" t="s">
        <v>1801</v>
      </c>
      <c r="B260" s="605">
        <v>2490</v>
      </c>
      <c r="C260" s="593"/>
      <c r="D260" s="1963">
        <v>0</v>
      </c>
      <c r="E260" s="593"/>
      <c r="F260" s="593"/>
      <c r="G260" s="593"/>
      <c r="H260" s="593"/>
      <c r="I260" s="593"/>
      <c r="J260" s="593"/>
      <c r="K260" s="1643">
        <f>D260</f>
        <v>0</v>
      </c>
      <c r="L260" s="1985">
        <v>0</v>
      </c>
      <c r="M260" s="210"/>
      <c r="N260" s="210"/>
    </row>
    <row r="261" spans="1:14" ht="12.75" customHeight="1" thickBot="1" x14ac:dyDescent="0.25">
      <c r="A261" s="1663" t="s">
        <v>263</v>
      </c>
      <c r="B261" s="1668" t="s">
        <v>34</v>
      </c>
      <c r="C261" s="593"/>
      <c r="D261" s="1641">
        <f>SUM(D259:D260)</f>
        <v>0</v>
      </c>
      <c r="E261" s="593"/>
      <c r="F261" s="593"/>
      <c r="G261" s="593"/>
      <c r="H261" s="593"/>
      <c r="I261" s="593"/>
      <c r="J261" s="593"/>
      <c r="K261" s="1641">
        <f>SUM(K259:K260)</f>
        <v>0</v>
      </c>
      <c r="L261" s="1641">
        <f>SUM(L259:L260)</f>
        <v>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5" t="s">
        <v>1068</v>
      </c>
      <c r="B263" s="660">
        <v>2510</v>
      </c>
      <c r="C263" s="593"/>
      <c r="D263" s="1963">
        <v>0</v>
      </c>
      <c r="E263" s="593"/>
      <c r="F263" s="593"/>
      <c r="G263" s="593"/>
      <c r="H263" s="593"/>
      <c r="I263" s="593"/>
      <c r="J263" s="593"/>
      <c r="K263" s="1643">
        <f>D263</f>
        <v>0</v>
      </c>
      <c r="L263" s="477">
        <v>0</v>
      </c>
    </row>
    <row r="264" spans="1:14" x14ac:dyDescent="0.2">
      <c r="A264" s="1475" t="s">
        <v>463</v>
      </c>
      <c r="B264" s="660">
        <v>2520</v>
      </c>
      <c r="C264" s="593"/>
      <c r="D264" s="1963">
        <v>0</v>
      </c>
      <c r="E264" s="593"/>
      <c r="F264" s="593"/>
      <c r="G264" s="593"/>
      <c r="H264" s="593"/>
      <c r="I264" s="593"/>
      <c r="J264" s="593"/>
      <c r="K264" s="1643">
        <f t="shared" ref="K264:K269" si="22">D264</f>
        <v>0</v>
      </c>
      <c r="L264" s="1985">
        <v>0</v>
      </c>
    </row>
    <row r="265" spans="1:14" x14ac:dyDescent="0.2">
      <c r="A265" s="1475" t="s">
        <v>4</v>
      </c>
      <c r="B265" s="591">
        <v>2530</v>
      </c>
      <c r="C265" s="593"/>
      <c r="D265" s="1963">
        <v>0</v>
      </c>
      <c r="E265" s="593"/>
      <c r="F265" s="593"/>
      <c r="G265" s="593"/>
      <c r="H265" s="593"/>
      <c r="I265" s="593"/>
      <c r="J265" s="593"/>
      <c r="K265" s="1643">
        <f t="shared" si="22"/>
        <v>0</v>
      </c>
      <c r="L265" s="1985">
        <v>0</v>
      </c>
    </row>
    <row r="266" spans="1:14" x14ac:dyDescent="0.2">
      <c r="A266" s="1475" t="s">
        <v>197</v>
      </c>
      <c r="B266" s="591">
        <v>2540</v>
      </c>
      <c r="C266" s="593"/>
      <c r="D266" s="1963">
        <v>0</v>
      </c>
      <c r="E266" s="593"/>
      <c r="F266" s="593"/>
      <c r="G266" s="593"/>
      <c r="H266" s="593"/>
      <c r="I266" s="593"/>
      <c r="J266" s="593"/>
      <c r="K266" s="1643">
        <f t="shared" si="22"/>
        <v>0</v>
      </c>
      <c r="L266" s="1985">
        <v>0</v>
      </c>
    </row>
    <row r="267" spans="1:14" x14ac:dyDescent="0.2">
      <c r="A267" s="1475" t="s">
        <v>953</v>
      </c>
      <c r="B267" s="591">
        <v>2550</v>
      </c>
      <c r="C267" s="593"/>
      <c r="D267" s="1963">
        <v>0</v>
      </c>
      <c r="E267" s="593"/>
      <c r="F267" s="593"/>
      <c r="G267" s="593"/>
      <c r="H267" s="593"/>
      <c r="I267" s="593"/>
      <c r="J267" s="593"/>
      <c r="K267" s="1643">
        <f t="shared" si="22"/>
        <v>0</v>
      </c>
      <c r="L267" s="1985">
        <v>0</v>
      </c>
    </row>
    <row r="268" spans="1:14" x14ac:dyDescent="0.2">
      <c r="A268" s="1475" t="s">
        <v>100</v>
      </c>
      <c r="B268" s="591">
        <v>2560</v>
      </c>
      <c r="C268" s="593"/>
      <c r="D268" s="1963">
        <v>0</v>
      </c>
      <c r="E268" s="593"/>
      <c r="F268" s="593"/>
      <c r="G268" s="593"/>
      <c r="H268" s="593"/>
      <c r="I268" s="593"/>
      <c r="J268" s="593"/>
      <c r="K268" s="1643">
        <f t="shared" si="22"/>
        <v>0</v>
      </c>
      <c r="L268" s="1985">
        <v>0</v>
      </c>
    </row>
    <row r="269" spans="1:14" x14ac:dyDescent="0.2">
      <c r="A269" s="1475" t="s">
        <v>101</v>
      </c>
      <c r="B269" s="591">
        <v>2570</v>
      </c>
      <c r="C269" s="593"/>
      <c r="D269" s="1963">
        <v>0</v>
      </c>
      <c r="E269" s="593"/>
      <c r="F269" s="593"/>
      <c r="G269" s="593"/>
      <c r="H269" s="593"/>
      <c r="I269" s="593"/>
      <c r="J269" s="593"/>
      <c r="K269" s="1643">
        <f t="shared" si="22"/>
        <v>0</v>
      </c>
      <c r="L269" s="1985">
        <v>0</v>
      </c>
    </row>
    <row r="270" spans="1:14" ht="12.75" customHeight="1" thickBot="1" x14ac:dyDescent="0.25">
      <c r="A270" s="1639" t="s">
        <v>719</v>
      </c>
      <c r="B270" s="1646" t="s">
        <v>35</v>
      </c>
      <c r="C270" s="593"/>
      <c r="D270" s="1641">
        <f>SUM(D263:D269)</f>
        <v>0</v>
      </c>
      <c r="E270" s="593"/>
      <c r="F270" s="593"/>
      <c r="G270" s="593"/>
      <c r="H270" s="593"/>
      <c r="I270" s="593"/>
      <c r="J270" s="593"/>
      <c r="K270" s="1641">
        <f>SUM(K263:K269)</f>
        <v>0</v>
      </c>
      <c r="L270" s="1641">
        <f>SUM(L263:L269)</f>
        <v>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5" t="s">
        <v>1060</v>
      </c>
      <c r="B272" s="591">
        <v>2610</v>
      </c>
      <c r="C272" s="593"/>
      <c r="D272" s="477">
        <v>0</v>
      </c>
      <c r="E272" s="593"/>
      <c r="F272" s="593"/>
      <c r="G272" s="593"/>
      <c r="H272" s="593"/>
      <c r="I272" s="593"/>
      <c r="J272" s="593"/>
      <c r="K272" s="1643">
        <f>D272</f>
        <v>0</v>
      </c>
      <c r="L272" s="477">
        <v>0</v>
      </c>
    </row>
    <row r="273" spans="1:12" x14ac:dyDescent="0.2">
      <c r="A273" s="1475" t="s">
        <v>607</v>
      </c>
      <c r="B273" s="605">
        <v>2620</v>
      </c>
      <c r="C273" s="593"/>
      <c r="D273" s="1963">
        <v>0</v>
      </c>
      <c r="E273" s="593"/>
      <c r="F273" s="593"/>
      <c r="G273" s="593"/>
      <c r="H273" s="593"/>
      <c r="I273" s="593"/>
      <c r="J273" s="593"/>
      <c r="K273" s="1643">
        <f>D273</f>
        <v>0</v>
      </c>
      <c r="L273" s="1985">
        <v>0</v>
      </c>
    </row>
    <row r="274" spans="1:12" ht="12" customHeight="1" x14ac:dyDescent="0.2">
      <c r="A274" s="1475" t="s">
        <v>1061</v>
      </c>
      <c r="B274" s="591">
        <v>2630</v>
      </c>
      <c r="C274" s="593"/>
      <c r="D274" s="1963">
        <v>0</v>
      </c>
      <c r="E274" s="593"/>
      <c r="F274" s="593"/>
      <c r="G274" s="593"/>
      <c r="H274" s="593"/>
      <c r="I274" s="593"/>
      <c r="J274" s="593"/>
      <c r="K274" s="1643">
        <f>D274</f>
        <v>0</v>
      </c>
      <c r="L274" s="1985">
        <v>0</v>
      </c>
    </row>
    <row r="275" spans="1:12" x14ac:dyDescent="0.2">
      <c r="A275" s="1475" t="s">
        <v>403</v>
      </c>
      <c r="B275" s="591">
        <v>2640</v>
      </c>
      <c r="C275" s="593"/>
      <c r="D275" s="1963">
        <v>0</v>
      </c>
      <c r="E275" s="593"/>
      <c r="F275" s="593"/>
      <c r="G275" s="593"/>
      <c r="H275" s="593"/>
      <c r="I275" s="593"/>
      <c r="J275" s="593"/>
      <c r="K275" s="1643">
        <f>D275</f>
        <v>0</v>
      </c>
      <c r="L275" s="1985">
        <v>0</v>
      </c>
    </row>
    <row r="276" spans="1:12" x14ac:dyDescent="0.2">
      <c r="A276" s="1475" t="s">
        <v>404</v>
      </c>
      <c r="B276" s="591">
        <v>2660</v>
      </c>
      <c r="C276" s="593"/>
      <c r="D276" s="1963">
        <v>0</v>
      </c>
      <c r="E276" s="593"/>
      <c r="F276" s="593"/>
      <c r="G276" s="593"/>
      <c r="H276" s="593"/>
      <c r="I276" s="593"/>
      <c r="J276" s="593"/>
      <c r="K276" s="1643">
        <f>D276</f>
        <v>0</v>
      </c>
      <c r="L276" s="1985">
        <v>0</v>
      </c>
    </row>
    <row r="277" spans="1:12" ht="12.75" customHeight="1" thickBot="1" x14ac:dyDescent="0.25">
      <c r="A277" s="1662" t="s">
        <v>37</v>
      </c>
      <c r="B277" s="1640" t="s">
        <v>36</v>
      </c>
      <c r="C277" s="593"/>
      <c r="D277" s="1641">
        <f>SUM(D272:D276)</f>
        <v>0</v>
      </c>
      <c r="E277" s="593"/>
      <c r="F277" s="593"/>
      <c r="G277" s="593"/>
      <c r="H277" s="593"/>
      <c r="I277" s="593"/>
      <c r="J277" s="593"/>
      <c r="K277" s="1641">
        <f>SUM(K272:K276)</f>
        <v>0</v>
      </c>
      <c r="L277" s="1641">
        <f>SUM(L272:L276)</f>
        <v>0</v>
      </c>
    </row>
    <row r="278" spans="1:12" ht="13.5" customHeight="1" thickTop="1" x14ac:dyDescent="0.2">
      <c r="A278" s="1481" t="s">
        <v>980</v>
      </c>
      <c r="B278" s="631" t="s">
        <v>574</v>
      </c>
      <c r="C278" s="593"/>
      <c r="D278" s="1979">
        <v>0</v>
      </c>
      <c r="E278" s="593"/>
      <c r="F278" s="593"/>
      <c r="G278" s="593"/>
      <c r="H278" s="593"/>
      <c r="I278" s="593"/>
      <c r="J278" s="593"/>
      <c r="K278" s="1656">
        <f>D278</f>
        <v>0</v>
      </c>
      <c r="L278" s="2000">
        <v>0</v>
      </c>
    </row>
    <row r="279" spans="1:12" ht="12.75" customHeight="1" thickBot="1" x14ac:dyDescent="0.25">
      <c r="A279" s="1669" t="s">
        <v>811</v>
      </c>
      <c r="B279" s="1652">
        <v>2000</v>
      </c>
      <c r="C279" s="593"/>
      <c r="D279" s="1648">
        <f>SUM(D238,D243,D257,D261,D270,D277,D278)</f>
        <v>0</v>
      </c>
      <c r="E279" s="593"/>
      <c r="F279" s="593"/>
      <c r="G279" s="593"/>
      <c r="H279" s="593"/>
      <c r="I279" s="593"/>
      <c r="J279" s="593"/>
      <c r="K279" s="1648">
        <f>SUM(K238,K243,K257,K261,K270,K277,K278)</f>
        <v>0</v>
      </c>
      <c r="L279" s="1648">
        <f>SUM(L238,L243,L257,L261,L270,L277,L278)</f>
        <v>0</v>
      </c>
    </row>
    <row r="280" spans="1:12" ht="15.75" customHeight="1" thickTop="1" thickBot="1" x14ac:dyDescent="0.25">
      <c r="A280" s="1595" t="s">
        <v>875</v>
      </c>
      <c r="B280" s="1584">
        <v>3000</v>
      </c>
      <c r="C280" s="593"/>
      <c r="D280" s="1998">
        <v>0</v>
      </c>
      <c r="E280" s="593"/>
      <c r="F280" s="593"/>
      <c r="G280" s="593"/>
      <c r="H280" s="593"/>
      <c r="I280" s="593"/>
      <c r="J280" s="593"/>
      <c r="K280" s="1650">
        <f>D280</f>
        <v>0</v>
      </c>
      <c r="L280" s="1998">
        <v>0</v>
      </c>
    </row>
    <row r="281" spans="1:12" ht="15.75" customHeight="1" thickTop="1" x14ac:dyDescent="0.2">
      <c r="A281" s="1585" t="s">
        <v>142</v>
      </c>
      <c r="B281" s="1586" t="s">
        <v>860</v>
      </c>
      <c r="C281" s="593"/>
      <c r="D281" s="554"/>
      <c r="E281" s="593"/>
      <c r="F281" s="593"/>
      <c r="G281" s="593"/>
      <c r="H281" s="593"/>
      <c r="I281" s="593"/>
      <c r="J281" s="593"/>
      <c r="K281" s="593"/>
      <c r="L281" s="593"/>
    </row>
    <row r="282" spans="1:12" ht="15.75" customHeight="1" x14ac:dyDescent="0.2">
      <c r="A282" s="1801" t="s">
        <v>496</v>
      </c>
      <c r="B282" s="665" t="s">
        <v>1842</v>
      </c>
      <c r="C282" s="593"/>
      <c r="D282" s="1964">
        <v>0</v>
      </c>
      <c r="E282" s="593"/>
      <c r="F282" s="593"/>
      <c r="G282" s="593"/>
      <c r="H282" s="593"/>
      <c r="I282" s="593"/>
      <c r="J282" s="593"/>
      <c r="K282" s="1642">
        <f>D282</f>
        <v>0</v>
      </c>
      <c r="L282" s="1986">
        <v>0</v>
      </c>
    </row>
    <row r="283" spans="1:12" x14ac:dyDescent="0.2">
      <c r="A283" s="1475" t="s">
        <v>304</v>
      </c>
      <c r="B283" s="591">
        <v>4120</v>
      </c>
      <c r="C283" s="593"/>
      <c r="D283" s="1963">
        <v>0</v>
      </c>
      <c r="E283" s="593"/>
      <c r="F283" s="593"/>
      <c r="G283" s="593"/>
      <c r="H283" s="593"/>
      <c r="I283" s="593"/>
      <c r="J283" s="593"/>
      <c r="K283" s="1642">
        <f>D283</f>
        <v>0</v>
      </c>
      <c r="L283" s="1985">
        <v>0</v>
      </c>
    </row>
    <row r="284" spans="1:12" x14ac:dyDescent="0.2">
      <c r="A284" s="1475" t="s">
        <v>697</v>
      </c>
      <c r="B284" s="591">
        <v>4140</v>
      </c>
      <c r="C284" s="593"/>
      <c r="D284" s="1964">
        <v>0</v>
      </c>
      <c r="E284" s="593"/>
      <c r="F284" s="593"/>
      <c r="G284" s="593"/>
      <c r="H284" s="593"/>
      <c r="I284" s="593"/>
      <c r="J284" s="593"/>
      <c r="K284" s="1642">
        <f>D284</f>
        <v>0</v>
      </c>
      <c r="L284" s="1985">
        <v>0</v>
      </c>
    </row>
    <row r="285" spans="1:12" ht="12.75" customHeight="1" thickBot="1" x14ac:dyDescent="0.25">
      <c r="A285" s="1639" t="s">
        <v>1487</v>
      </c>
      <c r="B285" s="1640" t="s">
        <v>860</v>
      </c>
      <c r="C285" s="593"/>
      <c r="D285" s="1641">
        <f>SUM(D282:D284)</f>
        <v>0</v>
      </c>
      <c r="E285" s="593"/>
      <c r="F285" s="593"/>
      <c r="G285" s="593"/>
      <c r="H285" s="593"/>
      <c r="I285" s="593"/>
      <c r="J285" s="593"/>
      <c r="K285" s="1641">
        <f>SUM(K282:K284)</f>
        <v>0</v>
      </c>
      <c r="L285" s="1641">
        <f>SUM(L282:L284)</f>
        <v>0</v>
      </c>
    </row>
    <row r="286" spans="1:12" ht="15.75" customHeight="1" thickTop="1" x14ac:dyDescent="0.2">
      <c r="A286" s="1583" t="s">
        <v>876</v>
      </c>
      <c r="B286" s="1580"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5" t="s">
        <v>87</v>
      </c>
      <c r="B288" s="591">
        <v>5110</v>
      </c>
      <c r="C288" s="593"/>
      <c r="D288" s="593"/>
      <c r="E288" s="593"/>
      <c r="F288" s="593"/>
      <c r="G288" s="593"/>
      <c r="H288" s="1963">
        <v>0</v>
      </c>
      <c r="I288" s="593"/>
      <c r="J288" s="593"/>
      <c r="K288" s="1642">
        <f>H288</f>
        <v>0</v>
      </c>
      <c r="L288" s="1985">
        <v>0</v>
      </c>
    </row>
    <row r="289" spans="1:14" x14ac:dyDescent="0.2">
      <c r="A289" s="1475" t="s">
        <v>88</v>
      </c>
      <c r="B289" s="591">
        <v>5120</v>
      </c>
      <c r="C289" s="593"/>
      <c r="D289" s="593"/>
      <c r="E289" s="593"/>
      <c r="F289" s="593"/>
      <c r="G289" s="593"/>
      <c r="H289" s="1963">
        <v>0</v>
      </c>
      <c r="I289" s="593"/>
      <c r="J289" s="593"/>
      <c r="K289" s="1642">
        <f>H289</f>
        <v>0</v>
      </c>
      <c r="L289" s="1985">
        <v>0</v>
      </c>
    </row>
    <row r="290" spans="1:14" ht="12.75" customHeight="1" x14ac:dyDescent="0.2">
      <c r="A290" s="1475" t="s">
        <v>1170</v>
      </c>
      <c r="B290" s="605" t="s">
        <v>617</v>
      </c>
      <c r="C290" s="593"/>
      <c r="D290" s="593"/>
      <c r="E290" s="593"/>
      <c r="F290" s="593"/>
      <c r="G290" s="593"/>
      <c r="H290" s="1963">
        <v>0</v>
      </c>
      <c r="I290" s="593"/>
      <c r="J290" s="593"/>
      <c r="K290" s="1642">
        <f>H290</f>
        <v>0</v>
      </c>
      <c r="L290" s="1985">
        <v>0</v>
      </c>
    </row>
    <row r="291" spans="1:14" x14ac:dyDescent="0.2">
      <c r="A291" s="1475" t="s">
        <v>89</v>
      </c>
      <c r="B291" s="591" t="s">
        <v>589</v>
      </c>
      <c r="C291" s="593"/>
      <c r="D291" s="593"/>
      <c r="E291" s="593"/>
      <c r="F291" s="593"/>
      <c r="G291" s="593"/>
      <c r="H291" s="1963">
        <v>0</v>
      </c>
      <c r="I291" s="593"/>
      <c r="J291" s="593"/>
      <c r="K291" s="1642">
        <f>H291</f>
        <v>0</v>
      </c>
      <c r="L291" s="1985">
        <v>0</v>
      </c>
    </row>
    <row r="292" spans="1:14" x14ac:dyDescent="0.2">
      <c r="A292" s="1475" t="s">
        <v>762</v>
      </c>
      <c r="B292" s="591" t="s">
        <v>618</v>
      </c>
      <c r="C292" s="593"/>
      <c r="D292" s="593"/>
      <c r="E292" s="593"/>
      <c r="F292" s="593"/>
      <c r="G292" s="593"/>
      <c r="H292" s="1963">
        <v>0</v>
      </c>
      <c r="I292" s="593"/>
      <c r="J292" s="593"/>
      <c r="K292" s="1642">
        <f>H292</f>
        <v>0</v>
      </c>
      <c r="L292" s="1985">
        <v>0</v>
      </c>
    </row>
    <row r="293" spans="1:14" ht="12.75" customHeight="1" thickBot="1" x14ac:dyDescent="0.25">
      <c r="A293" s="1639" t="s">
        <v>484</v>
      </c>
      <c r="B293" s="1640" t="s">
        <v>492</v>
      </c>
      <c r="C293" s="593"/>
      <c r="D293" s="593"/>
      <c r="E293" s="593"/>
      <c r="F293" s="593"/>
      <c r="G293" s="593"/>
      <c r="H293" s="1641">
        <f>SUM(H288:H292)</f>
        <v>0</v>
      </c>
      <c r="I293" s="593"/>
      <c r="J293" s="593"/>
      <c r="K293" s="1641">
        <f>SUM(K288:K292)</f>
        <v>0</v>
      </c>
      <c r="L293" s="1641">
        <f>SUM(L288:L292)</f>
        <v>0</v>
      </c>
    </row>
    <row r="294" spans="1:14" ht="15.75" customHeight="1" thickTop="1" thickBot="1" x14ac:dyDescent="0.25">
      <c r="A294" s="1596" t="s">
        <v>877</v>
      </c>
      <c r="B294" s="1584" t="s">
        <v>861</v>
      </c>
      <c r="C294" s="593"/>
      <c r="D294" s="600"/>
      <c r="E294" s="593"/>
      <c r="F294" s="593"/>
      <c r="G294" s="593"/>
      <c r="H294" s="661"/>
      <c r="I294" s="593"/>
      <c r="J294" s="593"/>
      <c r="K294" s="661"/>
      <c r="L294" s="1999">
        <v>0</v>
      </c>
    </row>
    <row r="295" spans="1:14" ht="12.75" customHeight="1" thickTop="1" thickBot="1" x14ac:dyDescent="0.25">
      <c r="A295" s="2261" t="s">
        <v>505</v>
      </c>
      <c r="B295" s="2262"/>
      <c r="C295" s="593"/>
      <c r="D295" s="1641">
        <f>SUM(D229,D279,D280,D285)</f>
        <v>0</v>
      </c>
      <c r="E295" s="593"/>
      <c r="F295" s="593"/>
      <c r="G295" s="593"/>
      <c r="H295" s="1641">
        <f>H293</f>
        <v>0</v>
      </c>
      <c r="I295" s="593"/>
      <c r="J295" s="593"/>
      <c r="K295" s="1641">
        <f>SUM(K229,K279,K280,K285,K293,K294)</f>
        <v>0</v>
      </c>
      <c r="L295" s="1641">
        <f>SUM(L229,L279,L280,L285,L293,L294)</f>
        <v>0</v>
      </c>
    </row>
    <row r="296" spans="1:14" ht="13.5" thickTop="1" x14ac:dyDescent="0.2">
      <c r="A296" s="2243" t="s">
        <v>996</v>
      </c>
      <c r="B296" s="2244"/>
      <c r="C296" s="593"/>
      <c r="D296" s="595"/>
      <c r="E296" s="593"/>
      <c r="F296" s="593"/>
      <c r="G296" s="593"/>
      <c r="H296" s="662"/>
      <c r="I296" s="593"/>
      <c r="J296" s="593"/>
      <c r="K296" s="1655">
        <f>'Revenues 9-14'!G268-'Expenditures 15-22'!K295</f>
        <v>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53" t="s">
        <v>143</v>
      </c>
      <c r="B298" s="2247"/>
      <c r="C298" s="1522"/>
      <c r="D298" s="1523"/>
      <c r="E298" s="1523"/>
      <c r="F298" s="1523"/>
      <c r="G298" s="1523"/>
      <c r="H298" s="1523"/>
      <c r="I298" s="1523"/>
      <c r="J298" s="1523"/>
      <c r="K298" s="1523"/>
      <c r="L298" s="1524"/>
    </row>
    <row r="299" spans="1:14" ht="15.75" customHeight="1" x14ac:dyDescent="0.2">
      <c r="A299" s="1583" t="s">
        <v>144</v>
      </c>
      <c r="B299" s="1586"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88" t="s">
        <v>608</v>
      </c>
      <c r="B301" s="664">
        <v>2530</v>
      </c>
      <c r="C301" s="1963">
        <v>0</v>
      </c>
      <c r="D301" s="1963">
        <v>0</v>
      </c>
      <c r="E301" s="1963">
        <v>0</v>
      </c>
      <c r="F301" s="1963">
        <v>0</v>
      </c>
      <c r="G301" s="1963">
        <v>0</v>
      </c>
      <c r="H301" s="1963">
        <v>0</v>
      </c>
      <c r="I301" s="1964">
        <v>0</v>
      </c>
      <c r="J301" s="1964">
        <v>0</v>
      </c>
      <c r="K301" s="1642">
        <f>SUM(C301:J301)</f>
        <v>0</v>
      </c>
      <c r="L301" s="1986">
        <v>0</v>
      </c>
    </row>
    <row r="302" spans="1:14" ht="13.5" customHeight="1" x14ac:dyDescent="0.2">
      <c r="A302" s="1488" t="s">
        <v>980</v>
      </c>
      <c r="B302" s="591" t="s">
        <v>574</v>
      </c>
      <c r="C302" s="1963">
        <v>0</v>
      </c>
      <c r="D302" s="1963">
        <v>0</v>
      </c>
      <c r="E302" s="1963">
        <v>0</v>
      </c>
      <c r="F302" s="1963">
        <v>0</v>
      </c>
      <c r="G302" s="1963">
        <v>0</v>
      </c>
      <c r="H302" s="1963">
        <v>0</v>
      </c>
      <c r="I302" s="1964">
        <v>0</v>
      </c>
      <c r="J302" s="1964">
        <v>0</v>
      </c>
      <c r="K302" s="1642">
        <f>SUM(C302:J302)</f>
        <v>0</v>
      </c>
      <c r="L302" s="1985">
        <v>0</v>
      </c>
    </row>
    <row r="303" spans="1:14" ht="12.75" customHeight="1" thickBot="1" x14ac:dyDescent="0.25">
      <c r="A303" s="1639" t="s">
        <v>811</v>
      </c>
      <c r="B303" s="1640" t="s">
        <v>569</v>
      </c>
      <c r="C303" s="1648">
        <f>SUM(C301:C302)</f>
        <v>0</v>
      </c>
      <c r="D303" s="1648">
        <f t="shared" ref="D303:L303" si="23">SUM(D301:D302)</f>
        <v>0</v>
      </c>
      <c r="E303" s="1648">
        <f t="shared" si="23"/>
        <v>0</v>
      </c>
      <c r="F303" s="1648">
        <f t="shared" si="23"/>
        <v>0</v>
      </c>
      <c r="G303" s="1648">
        <f t="shared" si="23"/>
        <v>0</v>
      </c>
      <c r="H303" s="1648">
        <f t="shared" si="23"/>
        <v>0</v>
      </c>
      <c r="I303" s="1648">
        <f t="shared" si="23"/>
        <v>0</v>
      </c>
      <c r="J303" s="1648">
        <f t="shared" si="23"/>
        <v>0</v>
      </c>
      <c r="K303" s="1648">
        <f t="shared" si="23"/>
        <v>0</v>
      </c>
      <c r="L303" s="1648">
        <f t="shared" si="23"/>
        <v>0</v>
      </c>
    </row>
    <row r="304" spans="1:14" ht="15.75" customHeight="1" thickTop="1" x14ac:dyDescent="0.2">
      <c r="A304" s="1583" t="s">
        <v>145</v>
      </c>
      <c r="B304" s="1584"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89" t="s">
        <v>1847</v>
      </c>
      <c r="B306" s="665" t="s">
        <v>1842</v>
      </c>
      <c r="C306" s="593"/>
      <c r="D306" s="593"/>
      <c r="E306" s="1964">
        <v>0</v>
      </c>
      <c r="F306" s="593"/>
      <c r="G306" s="593"/>
      <c r="H306" s="1964">
        <v>0</v>
      </c>
      <c r="I306" s="593"/>
      <c r="J306" s="593"/>
      <c r="K306" s="1642">
        <f>SUM(E306,H306)</f>
        <v>0</v>
      </c>
      <c r="L306" s="1986">
        <v>0</v>
      </c>
    </row>
    <row r="307" spans="1:14" x14ac:dyDescent="0.2">
      <c r="A307" s="1475" t="s">
        <v>304</v>
      </c>
      <c r="B307" s="591">
        <v>4120</v>
      </c>
      <c r="C307" s="593"/>
      <c r="D307" s="593"/>
      <c r="E307" s="1964">
        <v>0</v>
      </c>
      <c r="F307" s="593"/>
      <c r="G307" s="593"/>
      <c r="H307" s="1964">
        <v>0</v>
      </c>
      <c r="I307" s="473"/>
      <c r="J307" s="593"/>
      <c r="K307" s="1642">
        <f>SUM(E307,H307)</f>
        <v>0</v>
      </c>
      <c r="L307" s="1985">
        <v>0</v>
      </c>
    </row>
    <row r="308" spans="1:14" x14ac:dyDescent="0.2">
      <c r="A308" s="1475" t="s">
        <v>697</v>
      </c>
      <c r="B308" s="591">
        <v>4140</v>
      </c>
      <c r="C308" s="593"/>
      <c r="D308" s="593"/>
      <c r="E308" s="1964">
        <v>0</v>
      </c>
      <c r="F308" s="593"/>
      <c r="G308" s="593"/>
      <c r="H308" s="1964">
        <v>0</v>
      </c>
      <c r="I308" s="473"/>
      <c r="J308" s="593"/>
      <c r="K308" s="1642">
        <f>SUM(E308,H308)</f>
        <v>0</v>
      </c>
      <c r="L308" s="1985">
        <v>0</v>
      </c>
    </row>
    <row r="309" spans="1:14" ht="12.75" customHeight="1" x14ac:dyDescent="0.2">
      <c r="A309" s="1479" t="s">
        <v>698</v>
      </c>
      <c r="B309" s="605">
        <v>4190</v>
      </c>
      <c r="C309" s="593"/>
      <c r="D309" s="593"/>
      <c r="E309" s="1964">
        <v>0</v>
      </c>
      <c r="F309" s="593"/>
      <c r="G309" s="593"/>
      <c r="H309" s="1964">
        <v>0</v>
      </c>
      <c r="I309" s="473"/>
      <c r="J309" s="593"/>
      <c r="K309" s="1642">
        <f>SUM(E309,H309)</f>
        <v>0</v>
      </c>
      <c r="L309" s="1985">
        <v>0</v>
      </c>
    </row>
    <row r="310" spans="1:14" ht="12.75" customHeight="1" thickBot="1" x14ac:dyDescent="0.25">
      <c r="A310" s="1639" t="s">
        <v>1487</v>
      </c>
      <c r="B310" s="1646" t="s">
        <v>860</v>
      </c>
      <c r="C310" s="593"/>
      <c r="D310" s="593"/>
      <c r="E310" s="1641">
        <f>SUM(E306:E309)</f>
        <v>0</v>
      </c>
      <c r="F310" s="593"/>
      <c r="G310" s="593"/>
      <c r="H310" s="1641">
        <f>SUM(H306:H309)</f>
        <v>0</v>
      </c>
      <c r="I310" s="473"/>
      <c r="J310" s="593"/>
      <c r="K310" s="1641">
        <f>SUM(K306:K309)</f>
        <v>0</v>
      </c>
      <c r="L310" s="1648">
        <f>SUM(L306:L309)</f>
        <v>0</v>
      </c>
    </row>
    <row r="311" spans="1:14" ht="15.75" customHeight="1" thickTop="1" thickBot="1" x14ac:dyDescent="0.25">
      <c r="A311" s="1590" t="s">
        <v>895</v>
      </c>
      <c r="B311" s="1582" t="s">
        <v>861</v>
      </c>
      <c r="C311" s="600"/>
      <c r="D311" s="600"/>
      <c r="E311" s="600"/>
      <c r="F311" s="600"/>
      <c r="G311" s="600"/>
      <c r="H311" s="600"/>
      <c r="I311" s="600"/>
      <c r="J311" s="593"/>
      <c r="K311" s="600"/>
      <c r="L311" s="1998">
        <v>0</v>
      </c>
    </row>
    <row r="312" spans="1:14" s="649" customFormat="1" ht="12.75" customHeight="1" thickTop="1" thickBot="1" x14ac:dyDescent="0.25">
      <c r="A312" s="2258" t="s">
        <v>277</v>
      </c>
      <c r="B312" s="2259"/>
      <c r="C312" s="1641">
        <f>SUM(C303)</f>
        <v>0</v>
      </c>
      <c r="D312" s="1641">
        <f>SUM(D303)</f>
        <v>0</v>
      </c>
      <c r="E312" s="1641">
        <f>SUM(E303,E310)</f>
        <v>0</v>
      </c>
      <c r="F312" s="1641">
        <f>SUM(F303)</f>
        <v>0</v>
      </c>
      <c r="G312" s="1641">
        <f>SUM(G303)</f>
        <v>0</v>
      </c>
      <c r="H312" s="1641">
        <f>SUM(H303,H310)</f>
        <v>0</v>
      </c>
      <c r="I312" s="1641">
        <f>SUM(I303)</f>
        <v>0</v>
      </c>
      <c r="J312" s="1641">
        <f>SUM(J303)</f>
        <v>0</v>
      </c>
      <c r="K312" s="1641">
        <f>SUM(K303,K310,K311)</f>
        <v>0</v>
      </c>
      <c r="L312" s="1641">
        <f>SUM(L303,L310,L311)</f>
        <v>0</v>
      </c>
      <c r="M312" s="640"/>
      <c r="N312" s="640"/>
    </row>
    <row r="313" spans="1:14" ht="13.5" thickTop="1" x14ac:dyDescent="0.2">
      <c r="A313" s="2254" t="s">
        <v>996</v>
      </c>
      <c r="B313" s="2255"/>
      <c r="C313" s="603"/>
      <c r="D313" s="603"/>
      <c r="E313" s="603"/>
      <c r="F313" s="603"/>
      <c r="G313" s="603"/>
      <c r="H313" s="603"/>
      <c r="I313" s="603"/>
      <c r="J313" s="603"/>
      <c r="K313" s="1656">
        <f>'Revenues 9-14'!H268-'Expenditures 15-22'!K312</f>
        <v>0</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67" t="s">
        <v>149</v>
      </c>
      <c r="B315" s="2268"/>
      <c r="C315" s="1527"/>
      <c r="D315" s="1528"/>
      <c r="E315" s="1528"/>
      <c r="F315" s="1528"/>
      <c r="G315" s="1528"/>
      <c r="H315" s="1528"/>
      <c r="I315" s="1528"/>
      <c r="J315" s="1528"/>
      <c r="K315" s="1528"/>
      <c r="L315" s="1529"/>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69" t="s">
        <v>898</v>
      </c>
      <c r="B317" s="2268"/>
      <c r="C317" s="1527"/>
      <c r="D317" s="1528"/>
      <c r="E317" s="1528"/>
      <c r="F317" s="1528"/>
      <c r="G317" s="1528"/>
      <c r="H317" s="1528"/>
      <c r="I317" s="1528"/>
      <c r="J317" s="1528"/>
      <c r="K317" s="1528"/>
      <c r="L317" s="1529"/>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0" t="s">
        <v>299</v>
      </c>
      <c r="B319" s="672" t="s">
        <v>281</v>
      </c>
      <c r="C319" s="1964">
        <v>0</v>
      </c>
      <c r="D319" s="1964">
        <v>0</v>
      </c>
      <c r="E319" s="1964">
        <v>0</v>
      </c>
      <c r="F319" s="1964">
        <v>0</v>
      </c>
      <c r="G319" s="1964">
        <v>0</v>
      </c>
      <c r="H319" s="1964">
        <v>0</v>
      </c>
      <c r="I319" s="1964">
        <v>0</v>
      </c>
      <c r="J319" s="1964">
        <v>0</v>
      </c>
      <c r="K319" s="1642">
        <f>SUM(C319:J319)</f>
        <v>0</v>
      </c>
      <c r="L319" s="1986">
        <v>0</v>
      </c>
      <c r="M319" s="640"/>
      <c r="N319" s="640"/>
    </row>
    <row r="320" spans="1:14" s="649" customFormat="1" x14ac:dyDescent="0.2">
      <c r="A320" s="1494" t="s">
        <v>1802</v>
      </c>
      <c r="B320" s="673" t="s">
        <v>282</v>
      </c>
      <c r="C320" s="1964">
        <v>0</v>
      </c>
      <c r="D320" s="1964">
        <v>0</v>
      </c>
      <c r="E320" s="1964">
        <v>0</v>
      </c>
      <c r="F320" s="1964">
        <v>0</v>
      </c>
      <c r="G320" s="1964">
        <v>0</v>
      </c>
      <c r="H320" s="1964">
        <v>0</v>
      </c>
      <c r="I320" s="1964">
        <v>0</v>
      </c>
      <c r="J320" s="1964">
        <v>0</v>
      </c>
      <c r="K320" s="1642">
        <f t="shared" ref="K320:K327" si="24">SUM(C320:J320)</f>
        <v>0</v>
      </c>
      <c r="L320" s="1986">
        <v>0</v>
      </c>
      <c r="M320" s="640"/>
      <c r="N320" s="640"/>
    </row>
    <row r="321" spans="1:14" s="649" customFormat="1" x14ac:dyDescent="0.2">
      <c r="A321" s="1490" t="s">
        <v>300</v>
      </c>
      <c r="B321" s="672" t="s">
        <v>283</v>
      </c>
      <c r="C321" s="1964">
        <v>0</v>
      </c>
      <c r="D321" s="1964">
        <v>0</v>
      </c>
      <c r="E321" s="1964">
        <v>0</v>
      </c>
      <c r="F321" s="1964">
        <v>0</v>
      </c>
      <c r="G321" s="1964">
        <v>0</v>
      </c>
      <c r="H321" s="1964">
        <v>0</v>
      </c>
      <c r="I321" s="1964">
        <v>0</v>
      </c>
      <c r="J321" s="1964">
        <v>0</v>
      </c>
      <c r="K321" s="1642">
        <f t="shared" si="24"/>
        <v>0</v>
      </c>
      <c r="L321" s="1986">
        <v>0</v>
      </c>
      <c r="M321" s="640"/>
      <c r="N321" s="640"/>
    </row>
    <row r="322" spans="1:14" s="649" customFormat="1" x14ac:dyDescent="0.2">
      <c r="A322" s="1490" t="s">
        <v>238</v>
      </c>
      <c r="B322" s="672" t="s">
        <v>284</v>
      </c>
      <c r="C322" s="1964">
        <v>0</v>
      </c>
      <c r="D322" s="1964">
        <v>0</v>
      </c>
      <c r="E322" s="1964">
        <v>0</v>
      </c>
      <c r="F322" s="1964">
        <v>0</v>
      </c>
      <c r="G322" s="1964">
        <v>0</v>
      </c>
      <c r="H322" s="1964">
        <v>0</v>
      </c>
      <c r="I322" s="1964">
        <v>0</v>
      </c>
      <c r="J322" s="1964">
        <v>0</v>
      </c>
      <c r="K322" s="1642">
        <f t="shared" si="24"/>
        <v>0</v>
      </c>
      <c r="L322" s="1986">
        <v>0</v>
      </c>
      <c r="M322" s="640"/>
      <c r="N322" s="640"/>
    </row>
    <row r="323" spans="1:14" s="649" customFormat="1" x14ac:dyDescent="0.2">
      <c r="A323" s="1490" t="s">
        <v>702</v>
      </c>
      <c r="B323" s="672" t="s">
        <v>285</v>
      </c>
      <c r="C323" s="1964">
        <v>0</v>
      </c>
      <c r="D323" s="1964">
        <v>0</v>
      </c>
      <c r="E323" s="1964">
        <v>0</v>
      </c>
      <c r="F323" s="1964">
        <v>0</v>
      </c>
      <c r="G323" s="1964">
        <v>0</v>
      </c>
      <c r="H323" s="1964">
        <v>0</v>
      </c>
      <c r="I323" s="1964">
        <v>0</v>
      </c>
      <c r="J323" s="1964">
        <v>0</v>
      </c>
      <c r="K323" s="1642">
        <f t="shared" si="24"/>
        <v>0</v>
      </c>
      <c r="L323" s="1986">
        <v>0</v>
      </c>
      <c r="M323" s="640"/>
      <c r="N323" s="640"/>
    </row>
    <row r="324" spans="1:14" s="649" customFormat="1" x14ac:dyDescent="0.2">
      <c r="A324" s="1490" t="s">
        <v>239</v>
      </c>
      <c r="B324" s="672" t="s">
        <v>286</v>
      </c>
      <c r="C324" s="1964">
        <v>0</v>
      </c>
      <c r="D324" s="1964">
        <v>0</v>
      </c>
      <c r="E324" s="1964">
        <v>0</v>
      </c>
      <c r="F324" s="1964">
        <v>0</v>
      </c>
      <c r="G324" s="1964">
        <v>0</v>
      </c>
      <c r="H324" s="1964">
        <v>0</v>
      </c>
      <c r="I324" s="1964">
        <v>0</v>
      </c>
      <c r="J324" s="1964">
        <v>0</v>
      </c>
      <c r="K324" s="1642">
        <f t="shared" si="24"/>
        <v>0</v>
      </c>
      <c r="L324" s="1986">
        <v>0</v>
      </c>
      <c r="M324" s="640"/>
      <c r="N324" s="640"/>
    </row>
    <row r="325" spans="1:14" s="649" customFormat="1" ht="22.5" x14ac:dyDescent="0.2">
      <c r="A325" s="1490" t="s">
        <v>1029</v>
      </c>
      <c r="B325" s="673" t="s">
        <v>287</v>
      </c>
      <c r="C325" s="1964">
        <v>0</v>
      </c>
      <c r="D325" s="1964">
        <v>0</v>
      </c>
      <c r="E325" s="1964">
        <v>0</v>
      </c>
      <c r="F325" s="1964">
        <v>0</v>
      </c>
      <c r="G325" s="1964">
        <v>0</v>
      </c>
      <c r="H325" s="1964">
        <v>0</v>
      </c>
      <c r="I325" s="1964">
        <v>0</v>
      </c>
      <c r="J325" s="1964">
        <v>0</v>
      </c>
      <c r="K325" s="1642">
        <f t="shared" si="24"/>
        <v>0</v>
      </c>
      <c r="L325" s="1986">
        <v>0</v>
      </c>
      <c r="M325" s="640"/>
      <c r="N325" s="640"/>
    </row>
    <row r="326" spans="1:14" s="649" customFormat="1" x14ac:dyDescent="0.2">
      <c r="A326" s="1490" t="s">
        <v>1030</v>
      </c>
      <c r="B326" s="672" t="s">
        <v>288</v>
      </c>
      <c r="C326" s="1964">
        <v>0</v>
      </c>
      <c r="D326" s="1964">
        <v>0</v>
      </c>
      <c r="E326" s="1964">
        <v>0</v>
      </c>
      <c r="F326" s="1964">
        <v>0</v>
      </c>
      <c r="G326" s="1964">
        <v>0</v>
      </c>
      <c r="H326" s="1964">
        <v>0</v>
      </c>
      <c r="I326" s="1964">
        <v>0</v>
      </c>
      <c r="J326" s="1964">
        <v>0</v>
      </c>
      <c r="K326" s="1642">
        <f t="shared" si="24"/>
        <v>0</v>
      </c>
      <c r="L326" s="1986">
        <v>0</v>
      </c>
      <c r="M326" s="640"/>
      <c r="N326" s="640"/>
    </row>
    <row r="327" spans="1:14" s="649" customFormat="1" x14ac:dyDescent="0.2">
      <c r="A327" s="1490" t="s">
        <v>971</v>
      </c>
      <c r="B327" s="672" t="s">
        <v>289</v>
      </c>
      <c r="C327" s="1964">
        <v>0</v>
      </c>
      <c r="D327" s="1964">
        <v>0</v>
      </c>
      <c r="E327" s="1964">
        <v>0</v>
      </c>
      <c r="F327" s="1964">
        <v>0</v>
      </c>
      <c r="G327" s="1964">
        <v>0</v>
      </c>
      <c r="H327" s="1964">
        <v>0</v>
      </c>
      <c r="I327" s="1964">
        <v>0</v>
      </c>
      <c r="J327" s="1964">
        <v>0</v>
      </c>
      <c r="K327" s="1642">
        <f t="shared" si="24"/>
        <v>0</v>
      </c>
      <c r="L327" s="1986">
        <v>0</v>
      </c>
      <c r="M327" s="640"/>
      <c r="N327" s="640"/>
    </row>
    <row r="328" spans="1:14" s="649" customFormat="1" x14ac:dyDescent="0.2">
      <c r="A328" s="1491" t="s">
        <v>472</v>
      </c>
      <c r="B328" s="665" t="s">
        <v>1132</v>
      </c>
      <c r="C328" s="1966">
        <v>0</v>
      </c>
      <c r="D328" s="1966">
        <v>0</v>
      </c>
      <c r="E328" s="1966">
        <v>0</v>
      </c>
      <c r="F328" s="1966">
        <v>0</v>
      </c>
      <c r="G328" s="1966">
        <v>0</v>
      </c>
      <c r="H328" s="1966">
        <v>0</v>
      </c>
      <c r="I328" s="1966">
        <v>0</v>
      </c>
      <c r="J328" s="1966">
        <v>0</v>
      </c>
      <c r="K328" s="1670">
        <f>SUM(C328:J328)</f>
        <v>0</v>
      </c>
      <c r="L328" s="1988">
        <v>0</v>
      </c>
      <c r="M328" s="640"/>
      <c r="N328" s="640"/>
    </row>
    <row r="329" spans="1:14" s="649" customFormat="1" x14ac:dyDescent="0.2">
      <c r="A329" s="1491" t="s">
        <v>1133</v>
      </c>
      <c r="B329" s="665" t="s">
        <v>1134</v>
      </c>
      <c r="C329" s="1966">
        <v>0</v>
      </c>
      <c r="D329" s="1966">
        <v>0</v>
      </c>
      <c r="E329" s="1966">
        <v>0</v>
      </c>
      <c r="F329" s="1966">
        <v>0</v>
      </c>
      <c r="G329" s="1966">
        <v>0</v>
      </c>
      <c r="H329" s="1966">
        <v>0</v>
      </c>
      <c r="I329" s="1966">
        <v>0</v>
      </c>
      <c r="J329" s="1966">
        <v>0</v>
      </c>
      <c r="K329" s="1670">
        <f>SUM(C329:J329)</f>
        <v>0</v>
      </c>
      <c r="L329" s="1988">
        <v>0</v>
      </c>
      <c r="M329" s="640"/>
      <c r="N329" s="640"/>
    </row>
    <row r="330" spans="1:14" s="649" customFormat="1" ht="12.75" customHeight="1" thickBot="1" x14ac:dyDescent="0.25">
      <c r="A330" s="1671" t="s">
        <v>717</v>
      </c>
      <c r="B330" s="1640" t="s">
        <v>569</v>
      </c>
      <c r="C330" s="1641">
        <f>SUM(C319:C329)</f>
        <v>0</v>
      </c>
      <c r="D330" s="1641">
        <f t="shared" ref="D330:J330" si="25">SUM(D319:D329)</f>
        <v>0</v>
      </c>
      <c r="E330" s="1641">
        <f t="shared" si="25"/>
        <v>0</v>
      </c>
      <c r="F330" s="1641">
        <f t="shared" si="25"/>
        <v>0</v>
      </c>
      <c r="G330" s="1641">
        <f t="shared" si="25"/>
        <v>0</v>
      </c>
      <c r="H330" s="1641">
        <f t="shared" si="25"/>
        <v>0</v>
      </c>
      <c r="I330" s="1641">
        <f t="shared" si="25"/>
        <v>0</v>
      </c>
      <c r="J330" s="1641">
        <f t="shared" si="25"/>
        <v>0</v>
      </c>
      <c r="K330" s="1641">
        <f>SUM(K319:K329)</f>
        <v>0</v>
      </c>
      <c r="L330" s="1641">
        <f>SUM(L319:L329)</f>
        <v>0</v>
      </c>
      <c r="M330" s="640"/>
      <c r="N330" s="640"/>
    </row>
    <row r="331" spans="1:14" s="649" customFormat="1" ht="12.75" customHeight="1" thickTop="1" x14ac:dyDescent="0.2">
      <c r="A331" s="1802" t="s">
        <v>1848</v>
      </c>
      <c r="B331" s="623" t="s">
        <v>860</v>
      </c>
      <c r="C331" s="1804"/>
      <c r="D331" s="1804"/>
      <c r="E331" s="1804"/>
      <c r="F331" s="1804"/>
      <c r="G331" s="1804"/>
      <c r="H331" s="1804"/>
      <c r="I331" s="1804"/>
      <c r="J331" s="1804"/>
      <c r="K331" s="1804"/>
      <c r="L331" s="1804"/>
      <c r="M331" s="640"/>
      <c r="N331" s="640"/>
    </row>
    <row r="332" spans="1:14" s="649" customFormat="1" ht="12.75" customHeight="1" x14ac:dyDescent="0.2">
      <c r="A332" s="1803" t="s">
        <v>496</v>
      </c>
      <c r="B332" s="1798" t="s">
        <v>1842</v>
      </c>
      <c r="C332" s="1804"/>
      <c r="D332" s="1804"/>
      <c r="E332" s="1804"/>
      <c r="F332" s="1804"/>
      <c r="G332" s="1804"/>
      <c r="H332" s="1964">
        <v>0</v>
      </c>
      <c r="I332" s="1804"/>
      <c r="J332" s="1804"/>
      <c r="K332" s="1642">
        <f>H332</f>
        <v>0</v>
      </c>
      <c r="L332" s="1986">
        <v>0</v>
      </c>
      <c r="M332" s="640"/>
      <c r="N332" s="640"/>
    </row>
    <row r="333" spans="1:14" s="649" customFormat="1" ht="12.75" customHeight="1" x14ac:dyDescent="0.2">
      <c r="A333" s="1803" t="s">
        <v>304</v>
      </c>
      <c r="B333" s="1798" t="s">
        <v>1844</v>
      </c>
      <c r="C333" s="1804"/>
      <c r="D333" s="1804"/>
      <c r="E333" s="1804"/>
      <c r="F333" s="1804"/>
      <c r="G333" s="1804"/>
      <c r="H333" s="1964">
        <v>0</v>
      </c>
      <c r="I333" s="1804"/>
      <c r="J333" s="1804"/>
      <c r="K333" s="1642">
        <f>H333</f>
        <v>0</v>
      </c>
      <c r="L333" s="1986">
        <v>0</v>
      </c>
      <c r="M333" s="640"/>
      <c r="N333" s="640"/>
    </row>
    <row r="334" spans="1:14" s="649" customFormat="1" ht="12.75" customHeight="1" thickBot="1" x14ac:dyDescent="0.25">
      <c r="A334" s="1803" t="s">
        <v>1849</v>
      </c>
      <c r="B334" s="1798" t="s">
        <v>860</v>
      </c>
      <c r="C334" s="1804"/>
      <c r="D334" s="1804"/>
      <c r="E334" s="1804"/>
      <c r="F334" s="1804"/>
      <c r="G334" s="1804"/>
      <c r="H334" s="1641">
        <f>SUM(H332:H333)</f>
        <v>0</v>
      </c>
      <c r="I334" s="1804"/>
      <c r="J334" s="1804"/>
      <c r="K334" s="1641">
        <f>SUM(K332:K333)</f>
        <v>0</v>
      </c>
      <c r="L334" s="1641">
        <f>SUM(L332:L333)</f>
        <v>0</v>
      </c>
      <c r="M334" s="640"/>
      <c r="N334" s="640"/>
    </row>
    <row r="335" spans="1:14" ht="15.75" customHeight="1" thickTop="1" x14ac:dyDescent="0.2">
      <c r="A335" s="1587" t="s">
        <v>899</v>
      </c>
      <c r="B335" s="1578"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89" t="s">
        <v>87</v>
      </c>
      <c r="B337" s="665" t="s">
        <v>900</v>
      </c>
      <c r="C337" s="615"/>
      <c r="D337" s="615"/>
      <c r="E337" s="615"/>
      <c r="F337" s="615"/>
      <c r="G337" s="615"/>
      <c r="H337" s="474">
        <v>0</v>
      </c>
      <c r="I337" s="615"/>
      <c r="J337" s="615"/>
      <c r="K337" s="1642">
        <f>H337</f>
        <v>0</v>
      </c>
      <c r="L337" s="474">
        <v>0</v>
      </c>
    </row>
    <row r="338" spans="1:14" ht="12.75" customHeight="1" x14ac:dyDescent="0.2">
      <c r="A338" s="1489" t="s">
        <v>1170</v>
      </c>
      <c r="B338" s="665" t="s">
        <v>617</v>
      </c>
      <c r="C338" s="615"/>
      <c r="D338" s="615"/>
      <c r="E338" s="615"/>
      <c r="F338" s="615"/>
      <c r="G338" s="615"/>
      <c r="H338" s="474">
        <v>0</v>
      </c>
      <c r="I338" s="615"/>
      <c r="J338" s="615"/>
      <c r="K338" s="1642">
        <f>H338</f>
        <v>0</v>
      </c>
      <c r="L338" s="474">
        <v>0</v>
      </c>
    </row>
    <row r="339" spans="1:14" x14ac:dyDescent="0.2">
      <c r="A339" s="1475" t="s">
        <v>901</v>
      </c>
      <c r="B339" s="605">
        <v>5150</v>
      </c>
      <c r="C339" s="615"/>
      <c r="D339" s="615"/>
      <c r="E339" s="615"/>
      <c r="F339" s="615"/>
      <c r="G339" s="615"/>
      <c r="H339" s="1964">
        <v>0</v>
      </c>
      <c r="I339" s="615"/>
      <c r="J339" s="615"/>
      <c r="K339" s="1642">
        <f>H339</f>
        <v>0</v>
      </c>
      <c r="L339" s="1986">
        <v>0</v>
      </c>
    </row>
    <row r="340" spans="1:14" ht="13.5" thickBot="1" x14ac:dyDescent="0.25">
      <c r="A340" s="1665" t="s">
        <v>902</v>
      </c>
      <c r="B340" s="1640" t="s">
        <v>492</v>
      </c>
      <c r="C340" s="593"/>
      <c r="D340" s="593"/>
      <c r="E340" s="593"/>
      <c r="F340" s="593"/>
      <c r="G340" s="593"/>
      <c r="H340" s="1659">
        <f>SUM(H337:H339)</f>
        <v>0</v>
      </c>
      <c r="I340" s="593"/>
      <c r="J340" s="593"/>
      <c r="K340" s="1659">
        <f>SUM(K337:K339)</f>
        <v>0</v>
      </c>
      <c r="L340" s="1659">
        <f>SUM(L337:L339)</f>
        <v>0</v>
      </c>
    </row>
    <row r="341" spans="1:14" ht="15.75" customHeight="1" thickTop="1" thickBot="1" x14ac:dyDescent="0.25">
      <c r="A341" s="1590" t="s">
        <v>903</v>
      </c>
      <c r="B341" s="1582" t="s">
        <v>861</v>
      </c>
      <c r="C341" s="593"/>
      <c r="D341" s="593"/>
      <c r="E341" s="473"/>
      <c r="F341" s="467"/>
      <c r="G341" s="467"/>
      <c r="H341" s="473"/>
      <c r="I341" s="473"/>
      <c r="J341" s="467"/>
      <c r="K341" s="473"/>
      <c r="L341" s="1998">
        <v>0</v>
      </c>
    </row>
    <row r="342" spans="1:14" ht="12.75" customHeight="1" thickTop="1" thickBot="1" x14ac:dyDescent="0.25">
      <c r="A342" s="1657" t="s">
        <v>505</v>
      </c>
      <c r="B342" s="1672"/>
      <c r="C342" s="1641">
        <f>SUM(C330)</f>
        <v>0</v>
      </c>
      <c r="D342" s="1641">
        <f>SUM(D330)</f>
        <v>0</v>
      </c>
      <c r="E342" s="1641">
        <f>SUM(E330)</f>
        <v>0</v>
      </c>
      <c r="F342" s="1641">
        <f>SUM(F330)</f>
        <v>0</v>
      </c>
      <c r="G342" s="1641">
        <f>SUM(G330)</f>
        <v>0</v>
      </c>
      <c r="H342" s="1641">
        <f>SUM(H330,H334,H340)</f>
        <v>0</v>
      </c>
      <c r="I342" s="1641">
        <f>SUM(I330)</f>
        <v>0</v>
      </c>
      <c r="J342" s="1641">
        <f>SUM(J330)</f>
        <v>0</v>
      </c>
      <c r="K342" s="1641">
        <f>SUM(K330,K334,K340)</f>
        <v>0</v>
      </c>
      <c r="L342" s="1648">
        <f>SUM(L330,L340,L341)</f>
        <v>0</v>
      </c>
    </row>
    <row r="343" spans="1:14" ht="12.75" customHeight="1" thickTop="1" x14ac:dyDescent="0.2">
      <c r="A343" s="2256" t="s">
        <v>996</v>
      </c>
      <c r="B343" s="2257"/>
      <c r="C343" s="593"/>
      <c r="D343" s="593"/>
      <c r="E343" s="593"/>
      <c r="F343" s="593"/>
      <c r="G343" s="593"/>
      <c r="H343" s="593"/>
      <c r="I343" s="593"/>
      <c r="J343" s="593"/>
      <c r="K343" s="1655">
        <f>'Revenues 9-14'!J268-'Expenditures 15-22'!K342</f>
        <v>0</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46" t="s">
        <v>966</v>
      </c>
      <c r="B345" s="2247"/>
      <c r="C345" s="1522"/>
      <c r="D345" s="1523"/>
      <c r="E345" s="1523"/>
      <c r="F345" s="1523"/>
      <c r="G345" s="1523"/>
      <c r="H345" s="1523"/>
      <c r="I345" s="1523"/>
      <c r="J345" s="1523"/>
      <c r="K345" s="1523"/>
      <c r="L345" s="1524"/>
      <c r="M345" s="642"/>
      <c r="N345" s="642"/>
    </row>
    <row r="346" spans="1:14" s="343" customFormat="1" ht="15.75" customHeight="1" x14ac:dyDescent="0.2">
      <c r="A346" s="1594" t="s">
        <v>844</v>
      </c>
      <c r="B346" s="1586"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5" t="s">
        <v>4</v>
      </c>
      <c r="B348" s="591">
        <v>2530</v>
      </c>
      <c r="C348" s="1963">
        <v>0</v>
      </c>
      <c r="D348" s="1963">
        <v>0</v>
      </c>
      <c r="E348" s="1963">
        <v>0</v>
      </c>
      <c r="F348" s="1963">
        <v>0</v>
      </c>
      <c r="G348" s="1963">
        <v>0</v>
      </c>
      <c r="H348" s="1963">
        <v>0</v>
      </c>
      <c r="I348" s="1964">
        <v>0</v>
      </c>
      <c r="J348" s="1964">
        <v>0</v>
      </c>
      <c r="K348" s="1642">
        <f>SUM(C348:J348)</f>
        <v>0</v>
      </c>
      <c r="L348" s="1985">
        <v>0</v>
      </c>
    </row>
    <row r="349" spans="1:14" x14ac:dyDescent="0.2">
      <c r="A349" s="1475" t="s">
        <v>197</v>
      </c>
      <c r="B349" s="591">
        <v>2540</v>
      </c>
      <c r="C349" s="1963">
        <v>0</v>
      </c>
      <c r="D349" s="1963">
        <v>0</v>
      </c>
      <c r="E349" s="1963">
        <v>0</v>
      </c>
      <c r="F349" s="1963">
        <v>0</v>
      </c>
      <c r="G349" s="1963">
        <v>0</v>
      </c>
      <c r="H349" s="1963">
        <v>0</v>
      </c>
      <c r="I349" s="1964">
        <v>0</v>
      </c>
      <c r="J349" s="1964">
        <v>0</v>
      </c>
      <c r="K349" s="1642">
        <f>SUM(C349:J349)</f>
        <v>0</v>
      </c>
      <c r="L349" s="1985">
        <v>0</v>
      </c>
    </row>
    <row r="350" spans="1:14" ht="12.75" customHeight="1" thickBot="1" x14ac:dyDescent="0.25">
      <c r="A350" s="1639" t="s">
        <v>719</v>
      </c>
      <c r="B350" s="1640" t="s">
        <v>35</v>
      </c>
      <c r="C350" s="1641">
        <f>SUM(C348:C349)</f>
        <v>0</v>
      </c>
      <c r="D350" s="1641">
        <f t="shared" ref="D350:L350" si="26">SUM(D348:D349)</f>
        <v>0</v>
      </c>
      <c r="E350" s="1641">
        <f t="shared" si="26"/>
        <v>0</v>
      </c>
      <c r="F350" s="1641">
        <f t="shared" si="26"/>
        <v>0</v>
      </c>
      <c r="G350" s="1641">
        <f t="shared" si="26"/>
        <v>0</v>
      </c>
      <c r="H350" s="1641">
        <f t="shared" si="26"/>
        <v>0</v>
      </c>
      <c r="I350" s="1641">
        <f t="shared" si="26"/>
        <v>0</v>
      </c>
      <c r="J350" s="1641">
        <f t="shared" si="26"/>
        <v>0</v>
      </c>
      <c r="K350" s="1641">
        <f t="shared" si="26"/>
        <v>0</v>
      </c>
      <c r="L350" s="1641">
        <f t="shared" si="26"/>
        <v>0</v>
      </c>
    </row>
    <row r="351" spans="1:14" ht="12.75" customHeight="1" thickTop="1" x14ac:dyDescent="0.2">
      <c r="A351" s="1481"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39" t="s">
        <v>624</v>
      </c>
      <c r="B352" s="1646" t="s">
        <v>569</v>
      </c>
      <c r="C352" s="1641">
        <f>SUM(C350:C351)</f>
        <v>0</v>
      </c>
      <c r="D352" s="1641">
        <f t="shared" ref="D352:L352" si="27">SUM(D350:D351)</f>
        <v>0</v>
      </c>
      <c r="E352" s="1641">
        <f t="shared" si="27"/>
        <v>0</v>
      </c>
      <c r="F352" s="1641">
        <f t="shared" si="27"/>
        <v>0</v>
      </c>
      <c r="G352" s="1641">
        <f t="shared" si="27"/>
        <v>0</v>
      </c>
      <c r="H352" s="1641">
        <f t="shared" si="27"/>
        <v>0</v>
      </c>
      <c r="I352" s="1641">
        <f t="shared" si="27"/>
        <v>0</v>
      </c>
      <c r="J352" s="1641">
        <f t="shared" si="27"/>
        <v>0</v>
      </c>
      <c r="K352" s="1641">
        <f t="shared" si="27"/>
        <v>0</v>
      </c>
      <c r="L352" s="1641">
        <f t="shared" si="27"/>
        <v>0</v>
      </c>
    </row>
    <row r="353" spans="1:14" s="343" customFormat="1" ht="15.75" customHeight="1" thickTop="1" x14ac:dyDescent="0.2">
      <c r="A353" s="1583" t="s">
        <v>625</v>
      </c>
      <c r="B353" s="1580" t="s">
        <v>860</v>
      </c>
      <c r="C353" s="593"/>
      <c r="D353" s="593"/>
      <c r="E353" s="593"/>
      <c r="F353" s="593"/>
      <c r="G353" s="593"/>
      <c r="H353" s="593"/>
      <c r="I353" s="593"/>
      <c r="J353" s="593"/>
      <c r="K353" s="593"/>
      <c r="L353" s="593"/>
      <c r="M353" s="586"/>
      <c r="N353" s="586"/>
    </row>
    <row r="354" spans="1:14" x14ac:dyDescent="0.2">
      <c r="A354" s="1805" t="s">
        <v>1850</v>
      </c>
      <c r="B354" s="658" t="s">
        <v>1842</v>
      </c>
      <c r="C354" s="593"/>
      <c r="D354" s="593"/>
      <c r="E354" s="593"/>
      <c r="F354" s="593"/>
      <c r="G354" s="593"/>
      <c r="H354" s="1966">
        <v>0</v>
      </c>
      <c r="I354" s="676"/>
      <c r="J354" s="593"/>
      <c r="K354" s="1670">
        <f>H354</f>
        <v>0</v>
      </c>
      <c r="L354" s="1987">
        <v>0</v>
      </c>
    </row>
    <row r="355" spans="1:14" ht="12.75" customHeight="1" x14ac:dyDescent="0.2">
      <c r="A355" s="1484" t="s">
        <v>1851</v>
      </c>
      <c r="B355" s="665" t="s">
        <v>1844</v>
      </c>
      <c r="C355" s="593"/>
      <c r="D355" s="593"/>
      <c r="E355" s="593"/>
      <c r="F355" s="593"/>
      <c r="G355" s="593"/>
      <c r="H355" s="1964">
        <v>0</v>
      </c>
      <c r="I355" s="676"/>
      <c r="J355" s="593"/>
      <c r="K355" s="1714">
        <f>H355</f>
        <v>0</v>
      </c>
      <c r="L355" s="1986">
        <v>0</v>
      </c>
    </row>
    <row r="356" spans="1:14" ht="12.75" customHeight="1" x14ac:dyDescent="0.2">
      <c r="A356" s="1805" t="s">
        <v>698</v>
      </c>
      <c r="B356" s="658" t="s">
        <v>558</v>
      </c>
      <c r="C356" s="593"/>
      <c r="D356" s="593"/>
      <c r="E356" s="593"/>
      <c r="F356" s="593"/>
      <c r="G356" s="593"/>
      <c r="H356" s="1968">
        <v>0</v>
      </c>
      <c r="I356" s="676"/>
      <c r="J356" s="593"/>
      <c r="K356" s="1711">
        <f>H356</f>
        <v>0</v>
      </c>
      <c r="L356" s="1990">
        <v>0</v>
      </c>
    </row>
    <row r="357" spans="1:14" ht="12.75" customHeight="1" thickBot="1" x14ac:dyDescent="0.25">
      <c r="A357" s="1639" t="s">
        <v>1487</v>
      </c>
      <c r="B357" s="1640" t="s">
        <v>860</v>
      </c>
      <c r="C357" s="593"/>
      <c r="D357" s="593"/>
      <c r="E357" s="593"/>
      <c r="F357" s="593"/>
      <c r="G357" s="593"/>
      <c r="H357" s="1659">
        <f>SUM(H354:H356)</f>
        <v>0</v>
      </c>
      <c r="I357" s="676"/>
      <c r="J357" s="593"/>
      <c r="K357" s="1659">
        <f>SUM(K354:K356)</f>
        <v>0</v>
      </c>
      <c r="L357" s="1659">
        <f>SUM(L354:L356)</f>
        <v>0</v>
      </c>
    </row>
    <row r="358" spans="1:14" s="343" customFormat="1" ht="15.75" customHeight="1" thickTop="1" x14ac:dyDescent="0.2">
      <c r="A358" s="1583" t="s">
        <v>948</v>
      </c>
      <c r="B358" s="1580"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5" t="s">
        <v>87</v>
      </c>
      <c r="B360" s="591">
        <v>5110</v>
      </c>
      <c r="C360" s="593"/>
      <c r="D360" s="593"/>
      <c r="E360" s="593"/>
      <c r="F360" s="593"/>
      <c r="G360" s="593"/>
      <c r="H360" s="1980">
        <v>0</v>
      </c>
      <c r="I360" s="593"/>
      <c r="J360" s="593"/>
      <c r="K360" s="1642">
        <f>SUM(C360:J360)</f>
        <v>0</v>
      </c>
      <c r="L360" s="1985">
        <v>0</v>
      </c>
    </row>
    <row r="361" spans="1:14" ht="12.75" customHeight="1" x14ac:dyDescent="0.2">
      <c r="A361" s="1476" t="s">
        <v>619</v>
      </c>
      <c r="B361" s="579" t="s">
        <v>618</v>
      </c>
      <c r="C361" s="593"/>
      <c r="D361" s="593"/>
      <c r="E361" s="593"/>
      <c r="F361" s="593"/>
      <c r="G361" s="593"/>
      <c r="H361" s="1980">
        <v>0</v>
      </c>
      <c r="I361" s="593"/>
      <c r="J361" s="593"/>
      <c r="K361" s="1642">
        <f>SUM(C361:J361)</f>
        <v>0</v>
      </c>
      <c r="L361" s="1985">
        <v>0</v>
      </c>
    </row>
    <row r="362" spans="1:14" ht="12.75" customHeight="1" thickBot="1" x14ac:dyDescent="0.25">
      <c r="A362" s="1639" t="s">
        <v>626</v>
      </c>
      <c r="B362" s="1640" t="s">
        <v>718</v>
      </c>
      <c r="C362" s="593"/>
      <c r="D362" s="593"/>
      <c r="E362" s="593"/>
      <c r="F362" s="593"/>
      <c r="G362" s="593"/>
      <c r="H362" s="1674">
        <f>SUM(H360:H361)</f>
        <v>0</v>
      </c>
      <c r="I362" s="593"/>
      <c r="J362" s="593"/>
      <c r="K362" s="1674">
        <f>SUM(K360:K361)</f>
        <v>0</v>
      </c>
      <c r="L362" s="1674">
        <f>SUM(L360:L361)</f>
        <v>0</v>
      </c>
    </row>
    <row r="363" spans="1:14" s="649" customFormat="1" ht="15.75" customHeight="1" thickTop="1" x14ac:dyDescent="0.2">
      <c r="A363" s="635" t="s">
        <v>83</v>
      </c>
      <c r="B363" s="636" t="s">
        <v>38</v>
      </c>
      <c r="C363" s="615"/>
      <c r="D363" s="615"/>
      <c r="E363" s="615"/>
      <c r="F363" s="615"/>
      <c r="G363" s="615"/>
      <c r="H363" s="1981">
        <v>0</v>
      </c>
      <c r="I363" s="615"/>
      <c r="J363" s="615"/>
      <c r="K363" s="1670">
        <f>SUM(C363:J363)</f>
        <v>0</v>
      </c>
      <c r="L363" s="1990">
        <v>0</v>
      </c>
      <c r="M363" s="640"/>
      <c r="N363" s="640"/>
    </row>
    <row r="364" spans="1:14" s="681" customFormat="1" ht="29.25" customHeight="1" x14ac:dyDescent="0.2">
      <c r="A364" s="677" t="s">
        <v>1672</v>
      </c>
      <c r="B364" s="678">
        <v>5300</v>
      </c>
      <c r="C364" s="679"/>
      <c r="D364" s="680"/>
      <c r="E364" s="680"/>
      <c r="F364" s="679"/>
      <c r="G364" s="680"/>
      <c r="H364" s="1984">
        <v>0</v>
      </c>
      <c r="I364" s="680"/>
      <c r="J364" s="680"/>
      <c r="K364" s="1642">
        <f>SUM(C364:J364)</f>
        <v>0</v>
      </c>
      <c r="L364" s="2001">
        <v>0</v>
      </c>
    </row>
    <row r="365" spans="1:14" s="649" customFormat="1" ht="12.75" customHeight="1" thickBot="1" x14ac:dyDescent="0.25">
      <c r="A365" s="1492" t="s">
        <v>590</v>
      </c>
      <c r="B365" s="634" t="s">
        <v>492</v>
      </c>
      <c r="C365" s="615"/>
      <c r="D365" s="615"/>
      <c r="E365" s="615"/>
      <c r="F365" s="615"/>
      <c r="G365" s="615"/>
      <c r="H365" s="1674">
        <f>SUM(H362,H363,H364)</f>
        <v>0</v>
      </c>
      <c r="I365" s="615"/>
      <c r="J365" s="615"/>
      <c r="K365" s="1674">
        <f>SUM(K362,K363,K364)</f>
        <v>0</v>
      </c>
      <c r="L365" s="1674">
        <f>SUM(L362,L363,L364)</f>
        <v>0</v>
      </c>
      <c r="M365" s="640"/>
      <c r="N365" s="640"/>
    </row>
    <row r="366" spans="1:14" s="343" customFormat="1" ht="15.75" customHeight="1" thickTop="1" thickBot="1" x14ac:dyDescent="0.25">
      <c r="A366" s="1577" t="s">
        <v>949</v>
      </c>
      <c r="B366" s="1584" t="s">
        <v>861</v>
      </c>
      <c r="C366" s="600"/>
      <c r="D366" s="600"/>
      <c r="E366" s="600"/>
      <c r="F366" s="600"/>
      <c r="G366" s="600"/>
      <c r="H366" s="600"/>
      <c r="I366" s="600"/>
      <c r="J366" s="593"/>
      <c r="K366" s="600"/>
      <c r="L366" s="1997">
        <v>0</v>
      </c>
      <c r="M366" s="586"/>
      <c r="N366" s="586"/>
    </row>
    <row r="367" spans="1:14" ht="12.75" customHeight="1" thickTop="1" thickBot="1" x14ac:dyDescent="0.25">
      <c r="A367" s="1663" t="s">
        <v>505</v>
      </c>
      <c r="B367" s="1675"/>
      <c r="C367" s="1641">
        <f t="shared" ref="C367:L367" si="28">SUM(C352,C357,C365,C366)</f>
        <v>0</v>
      </c>
      <c r="D367" s="1641">
        <f t="shared" si="28"/>
        <v>0</v>
      </c>
      <c r="E367" s="1641">
        <f t="shared" si="28"/>
        <v>0</v>
      </c>
      <c r="F367" s="1641">
        <f t="shared" si="28"/>
        <v>0</v>
      </c>
      <c r="G367" s="1641">
        <f t="shared" si="28"/>
        <v>0</v>
      </c>
      <c r="H367" s="1641">
        <f t="shared" si="28"/>
        <v>0</v>
      </c>
      <c r="I367" s="1641">
        <f t="shared" si="28"/>
        <v>0</v>
      </c>
      <c r="J367" s="1641">
        <f t="shared" si="28"/>
        <v>0</v>
      </c>
      <c r="K367" s="1641">
        <f t="shared" si="28"/>
        <v>0</v>
      </c>
      <c r="L367" s="1641">
        <f t="shared" si="28"/>
        <v>0</v>
      </c>
    </row>
    <row r="368" spans="1:14" ht="13.5" thickTop="1" x14ac:dyDescent="0.2">
      <c r="A368" s="2243" t="s">
        <v>996</v>
      </c>
      <c r="B368" s="2244"/>
      <c r="C368" s="630"/>
      <c r="D368" s="630"/>
      <c r="E368" s="603"/>
      <c r="F368" s="603"/>
      <c r="G368" s="603"/>
      <c r="H368" s="603"/>
      <c r="I368" s="603"/>
      <c r="J368" s="600"/>
      <c r="K368" s="1642">
        <f>'Revenues 9-14'!K268-'Expenditures 15-22'!K367</f>
        <v>0</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http://www.w3.org/XML/1998/namespace"/>
    <ds:schemaRef ds:uri="http://schemas.microsoft.com/office/infopath/2007/PartnerControls"/>
    <ds:schemaRef ds:uri="http://purl.org/dc/terms/"/>
    <ds:schemaRef ds:uri="http://schemas.microsoft.com/sharepoint/v3"/>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2019-10-08T21:13:50Z</cp:lastPrinted>
  <dcterms:created xsi:type="dcterms:W3CDTF">2003-10-29T19:06:34Z</dcterms:created>
  <dcterms:modified xsi:type="dcterms:W3CDTF">2019-11-08T19:40:25Z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