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717ECC3B-E576-47D5-8731-5B820CCC02AF}" xr6:coauthVersionLast="36" xr6:coauthVersionMax="36" xr10:uidLastSave="{00000000-0000-0000-0000-000000000000}"/>
  <bookViews>
    <workbookView xWindow="-120" yWindow="-120" windowWidth="24240" windowHeight="13140" tabRatio="79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82" i="36"/>
  <c r="D78" i="36"/>
  <c r="K75" i="29"/>
  <c r="K130" i="29"/>
  <c r="B2805" i="106" s="1"/>
  <c r="D2805" i="106" s="1"/>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F31" i="108"/>
  <c r="F36" i="108"/>
  <c r="G28" i="108"/>
  <c r="E29" i="108"/>
  <c r="G29" i="108"/>
  <c r="E30" i="108"/>
  <c r="G30" i="108"/>
  <c r="D31" i="108"/>
  <c r="D36"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F44" i="34"/>
  <c r="C45" i="34"/>
  <c r="D45" i="34"/>
  <c r="C46" i="34"/>
  <c r="D46" i="34"/>
  <c r="F46" i="34"/>
  <c r="C47" i="34"/>
  <c r="D47" i="34"/>
  <c r="C48" i="34"/>
  <c r="D48" i="34"/>
  <c r="C49" i="34"/>
  <c r="D49" i="34"/>
  <c r="C50" i="34"/>
  <c r="D50" i="34"/>
  <c r="C51" i="34"/>
  <c r="D51" i="34"/>
  <c r="C52" i="34"/>
  <c r="F52" i="34"/>
  <c r="C53" i="34"/>
  <c r="D53" i="34"/>
  <c r="C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F14" i="4"/>
  <c r="B2597" i="106" s="1"/>
  <c r="D2597" i="106" s="1"/>
  <c r="B2633" i="106"/>
  <c r="D2633" i="106" s="1"/>
  <c r="N22" i="3"/>
  <c r="B283" i="106" s="1"/>
  <c r="D283" i="106" s="1"/>
  <c r="D7" i="118"/>
  <c r="D8" i="118"/>
  <c r="D9" i="118"/>
  <c r="H14" i="118"/>
  <c r="H19" i="118"/>
  <c r="H24" i="118"/>
  <c r="H28" i="118"/>
  <c r="J22" i="37"/>
  <c r="B2734" i="106" l="1"/>
  <c r="D2734" i="106" s="1"/>
  <c r="D14" i="4"/>
  <c r="B2570" i="106" s="1"/>
  <c r="D2570" i="106" s="1"/>
  <c r="D37" i="108"/>
  <c r="F37" i="108"/>
  <c r="F56" i="34"/>
  <c r="G39" i="108"/>
  <c r="D9" i="7"/>
  <c r="B1767" i="106" s="1"/>
  <c r="D1767" i="106" s="1"/>
  <c r="J129" i="29"/>
  <c r="B7038" i="106" s="1"/>
  <c r="D7038" i="106" s="1"/>
  <c r="L5" i="11"/>
  <c r="B2056" i="106" s="1"/>
  <c r="D2056" i="106" s="1"/>
  <c r="F28" i="108"/>
  <c r="I129" i="29"/>
  <c r="B7037" i="106" s="1"/>
  <c r="D7037" i="106" s="1"/>
  <c r="F19" i="7"/>
  <c r="B1807" i="106" s="1"/>
  <c r="D1807" i="106" s="1"/>
  <c r="E28" i="108"/>
  <c r="F49" i="34"/>
  <c r="F77" i="4"/>
  <c r="B3255" i="106" s="1"/>
  <c r="D3255" i="106" s="1"/>
  <c r="L342" i="29"/>
  <c r="J352" i="29"/>
  <c r="J367" i="29" s="1"/>
  <c r="B7245" i="106" s="1"/>
  <c r="H76" i="4"/>
  <c r="B3298" i="106" s="1"/>
  <c r="D3298" i="106" s="1"/>
  <c r="J41" i="3"/>
  <c r="B6216" i="106" s="1"/>
  <c r="D6216" i="106" s="1"/>
  <c r="H33" i="118"/>
  <c r="D7245" i="106"/>
  <c r="D22" i="37"/>
  <c r="L367" i="29"/>
  <c r="K184" i="29"/>
  <c r="F13" i="4" s="1"/>
  <c r="B2596" i="106" s="1"/>
  <c r="D2596" i="106" s="1"/>
  <c r="G210" i="29"/>
  <c r="B3254" i="106"/>
  <c r="D3254" i="106" s="1"/>
  <c r="H29" i="118"/>
  <c r="K28" i="118" s="1"/>
  <c r="O27" i="118" s="1"/>
  <c r="O29" i="118" s="1"/>
  <c r="D11" i="37"/>
  <c r="L13" i="11"/>
  <c r="B2060" i="106" s="1"/>
  <c r="D2060" i="106" s="1"/>
  <c r="F50" i="34"/>
  <c r="F42" i="34"/>
  <c r="C342" i="29"/>
  <c r="B7216" i="106" s="1"/>
  <c r="D7216" i="106" s="1"/>
  <c r="H365" i="29"/>
  <c r="B7242" i="106" s="1"/>
  <c r="D7242" i="106" s="1"/>
  <c r="G15" i="145"/>
  <c r="D17" i="7"/>
  <c r="B4104" i="106" s="1"/>
  <c r="D4104" i="106" s="1"/>
  <c r="D24" i="37"/>
  <c r="B4270" i="106" s="1"/>
  <c r="D4270" i="106" s="1"/>
  <c r="B7235" i="106"/>
  <c r="D7235" i="106" s="1"/>
  <c r="B6289" i="106"/>
  <c r="D6289" i="106" s="1"/>
  <c r="J77" i="4"/>
  <c r="B6262" i="106" s="1"/>
  <c r="D6262" i="106" s="1"/>
  <c r="K41" i="3"/>
  <c r="L15" i="11"/>
  <c r="B3459" i="106" s="1"/>
  <c r="D3459" i="106" s="1"/>
  <c r="C129" i="29"/>
  <c r="D6103" i="106"/>
  <c r="B3647" i="106"/>
  <c r="D3647" i="106" s="1"/>
  <c r="C352" i="29"/>
  <c r="B3621" i="106" s="1"/>
  <c r="D3621" i="106" s="1"/>
  <c r="K76" i="4"/>
  <c r="B3586" i="106" s="1"/>
  <c r="D3586" i="106" s="1"/>
  <c r="B1308" i="106"/>
  <c r="D1308" i="106" s="1"/>
  <c r="E174" i="29"/>
  <c r="B1309" i="106" s="1"/>
  <c r="D1309"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B1381" i="106" l="1"/>
  <c r="D1381" i="106" s="1"/>
  <c r="J151" i="29"/>
  <c r="B7052" i="106" s="1"/>
  <c r="D7052" i="106" s="1"/>
  <c r="B5770" i="106"/>
  <c r="D5770" i="106" s="1"/>
  <c r="B1365" i="106"/>
  <c r="D1365" i="106" s="1"/>
  <c r="F65" i="34"/>
  <c r="D7256" i="106"/>
  <c r="D7251" i="106"/>
  <c r="K342" i="29"/>
  <c r="F13" i="34" s="1"/>
  <c r="C114" i="29"/>
  <c r="B757" i="106" s="1"/>
  <c r="D757" i="106" s="1"/>
  <c r="D44" i="36"/>
  <c r="B1996" i="106"/>
  <c r="D1996" i="106" s="1"/>
  <c r="I26" i="12"/>
  <c r="B7741" i="106" s="1"/>
  <c r="D7741" i="106" s="1"/>
  <c r="D7253" i="106"/>
  <c r="B3568" i="106"/>
  <c r="D3568" i="106" s="1"/>
  <c r="D52" i="36"/>
  <c r="F174" i="34"/>
  <c r="J16" i="4"/>
  <c r="B6226" i="106" s="1"/>
  <c r="D6226" i="106" s="1"/>
  <c r="C367" i="29"/>
  <c r="B3622" i="106" s="1"/>
  <c r="D3622" i="106" s="1"/>
  <c r="D7254" i="106"/>
  <c r="D7250" i="106"/>
  <c r="L16" i="11"/>
  <c r="B2061" i="106" s="1"/>
  <c r="D2061" i="106" s="1"/>
  <c r="B1317" i="106"/>
  <c r="D1317" i="106" s="1"/>
  <c r="D7255" i="106"/>
  <c r="B7215" i="106"/>
  <c r="D7215" i="106" s="1"/>
  <c r="D7252" i="106"/>
  <c r="L114" i="29"/>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J19" i="4" l="1"/>
  <c r="B6229" i="106" s="1"/>
  <c r="D6229"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<sst xmlns="http://schemas.openxmlformats.org/spreadsheetml/2006/main" count="5048" uniqueCount="2082">
  <si>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</si>
  <si>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</si>
  <si>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</si>
  <si>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</si>
  <si>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</si>
  <si>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</si>
  <si>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</si>
  <si>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</si>
  <si>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</si>
  <si>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</si>
  <si>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</si>
  <si>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</si>
  <si>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</si>
  <si>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</si>
  <si>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</si>
  <si>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</si>
  <si>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</si>
  <si>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</si>
  <si>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</si>
  <si>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</si>
  <si>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</si>
  <si>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</si>
  <si>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</si>
  <si>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</si>
  <si>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</si>
  <si>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</si>
  <si>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</si>
  <si>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</si>
  <si>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</si>
  <si>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</si>
  <si>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</si>
  <si>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</si>
  <si>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</si>
  <si>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</si>
  <si>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</si>
  <si>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</si>
  <si>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</si>
  <si>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</si>
  <si>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</si>
  <si>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</si>
  <si>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</si>
  <si>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</si>
  <si>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</si>
  <si>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</si>
  <si>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</si>
  <si>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</si>
  <si>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</si>
  <si>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</si>
  <si>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</si>
  <si>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</si>
  <si>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</si>
  <si>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</si>
  <si>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</si>
  <si>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</si>
  <si>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</si>
  <si>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</si>
  <si>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</si>
  <si>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</si>
  <si>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</si>
  <si>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</si>
  <si>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</si>
  <si>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</si>
  <si>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</si>
  <si>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</si>
  <si>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</si>
  <si>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</si>
  <si>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</si>
  <si>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</si>
  <si>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</si>
  <si>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</si>
  <si>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</si>
  <si>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</si>
  <si>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</si>
  <si>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</si>
  <si>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</si>
  <si>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</si>
  <si>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</si>
  <si>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</si>
  <si>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</si>
  <si>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</si>
  <si>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</si>
  <si>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</si>
  <si>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</si>
  <si>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</si>
  <si>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</si>
  <si>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</si>
  <si>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</si>
  <si>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</si>
  <si>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</si>
  <si>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</si>
  <si>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</si>
  <si>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</si>
  <si>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</si>
  <si>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</si>
  <si>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</si>
  <si>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</si>
  <si>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</si>
  <si>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</si>
  <si>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</si>
  <si>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</si>
  <si>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</si>
  <si>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</si>
  <si>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</si>
  <si>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</si>
  <si>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</si>
  <si>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</si>
  <si>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</si>
  <si>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</si>
  <si>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</si>
  <si>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</si>
  <si>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</si>
  <si>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</si>
  <si>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</si>
  <si>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</si>
  <si>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</si>
  <si>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</si>
  <si>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</si>
  <si>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</si>
  <si>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</si>
  <si>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</si>
  <si>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</si>
  <si>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</si>
  <si>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</si>
  <si>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</si>
  <si>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</si>
  <si>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</si>
  <si>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</si>
  <si>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</si>
  <si>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</si>
  <si>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</si>
  <si>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</si>
  <si>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</si>
  <si>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</si>
  <si>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</si>
  <si>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</si>
  <si>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</si>
  <si>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</si>
  <si>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</si>
  <si>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</si>
  <si>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</si>
  <si>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</si>
  <si>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</si>
  <si>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</si>
  <si>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</si>
  <si>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</si>
  <si>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</si>
  <si>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</si>
  <si>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</si>
  <si>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</si>
  <si>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</si>
  <si>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</si>
  <si>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</si>
  <si>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</si>
  <si>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</si>
  <si>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</si>
  <si>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</si>
  <si>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</si>
  <si>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</si>
  <si>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</si>
  <si>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</si>
  <si>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</si>
  <si>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</si>
  <si>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</si>
  <si>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</si>
  <si>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</si>
  <si>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</si>
  <si>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</si>
  <si>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</si>
  <si>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</si>
  <si>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</si>
  <si>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</si>
  <si>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</si>
  <si>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</si>
  <si>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</si>
  <si>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</si>
  <si>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</si>
  <si>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</si>
  <si>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</si>
  <si>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</si>
  <si>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</si>
  <si>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</si>
  <si>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</si>
  <si>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</si>
  <si>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</si>
  <si>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</si>
  <si>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</si>
  <si>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</si>
  <si>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</si>
  <si>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</si>
  <si>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</si>
  <si>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</si>
  <si>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</si>
  <si>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</si>
  <si>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</si>
  <si>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</si>
  <si>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</si>
  <si>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</si>
  <si>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</si>
  <si>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</si>
  <si>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</si>
  <si>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</si>
  <si>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</si>
  <si>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</si>
  <si>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</si>
  <si>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</si>
  <si>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</si>
  <si>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</si>
  <si>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</si>
  <si>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</si>
  <si>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</si>
  <si>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</si>
  <si>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</si>
  <si>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</si>
  <si>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</si>
  <si>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</si>
  <si>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</si>
  <si>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</si>
  <si>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</si>
  <si>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</si>
  <si>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</si>
  <si>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</si>
  <si>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</si>
  <si>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</si>
  <si>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</si>
  <si>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</si>
  <si>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</si>
  <si>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</si>
  <si>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</si>
  <si>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</si>
  <si>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</si>
  <si>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</si>
  <si>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</si>
  <si>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</si>
  <si>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</si>
  <si>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</si>
  <si>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</si>
  <si>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</si>
  <si>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</si>
  <si>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</si>
  <si>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</si>
  <si>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</si>
  <si>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</si>
  <si>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</si>
  <si>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</si>
  <si>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</si>
  <si>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</si>
  <si>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</si>
  <si>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</si>
  <si>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</si>
  <si>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</si>
  <si>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</si>
  <si>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</si>
  <si>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</si>
  <si>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</si>
  <si>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</si>
  <si>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</si>
  <si>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</si>
  <si>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</si>
  <si>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</si>
  <si>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</si>
  <si>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</si>
  <si>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</si>
  <si>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</si>
  <si>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</si>
  <si>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</si>
  <si>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</si>
  <si>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</si>
  <si>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</si>
  <si>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</si>
  <si>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</si>
  <si>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</si>
  <si>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</si>
  <si>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</si>
  <si>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</si>
  <si>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</si>
  <si>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</si>
  <si>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</si>
  <si>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</si>
  <si>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</si>
  <si>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</si>
  <si>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</si>
  <si>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</si>
  <si>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</si>
  <si>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</si>
  <si>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</si>
  <si>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</si>
  <si>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</si>
  <si>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</si>
  <si>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</si>
  <si>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</si>
  <si>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</si>
  <si>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</si>
  <si>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</si>
  <si>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</si>
  <si>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</si>
  <si>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</si>
  <si>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</si>
  <si>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</si>
  <si>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</si>
  <si>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</si>
  <si>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</si>
  <si>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</si>
  <si>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</si>
  <si>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</si>
  <si>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</si>
  <si>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</si>
  <si>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</si>
  <si>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</si>
  <si>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</si>
  <si>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</si>
  <si>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</si>
  <si>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</si>
  <si>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</si>
  <si>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</si>
  <si>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</si>
  <si>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</si>
  <si>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</si>
  <si>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</si>
  <si>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</si>
  <si>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</si>
  <si>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</si>
  <si>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</si>
  <si>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</si>
  <si>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</si>
  <si>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</si>
  <si>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</si>
  <si>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</si>
  <si>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</si>
  <si>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</si>
  <si>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</si>
  <si>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</si>
  <si>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</si>
  <si>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</si>
  <si>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</si>
  <si>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</si>
  <si>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</si>
  <si>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</si>
  <si>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</si>
  <si>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</si>
  <si>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</si>
  <si>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</si>
  <si>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</si>
  <si>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</si>
  <si>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</si>
  <si>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</si>
  <si>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</si>
  <si>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</si>
  <si>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</si>
  <si>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</si>
  <si>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</si>
  <si>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</si>
  <si>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</si>
  <si>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</si>
  <si>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</si>
  <si>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</si>
  <si>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</si>
  <si>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</si>
  <si>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</si>
  <si>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</si>
  <si>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</si>
  <si>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</si>
  <si>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</si>
  <si>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</si>
  <si>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</si>
  <si>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</si>
  <si>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</si>
  <si>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</si>
  <si>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</si>
  <si>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</si>
  <si>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</si>
  <si>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</si>
  <si>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</si>
  <si>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</si>
  <si>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</si>
  <si>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</si>
  <si>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</si>
  <si>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</si>
  <si>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</si>
  <si>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</si>
  <si>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</si>
  <si>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</si>
  <si>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</si>
  <si>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</si>
  <si>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</si>
  <si>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</si>
  <si>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</si>
  <si>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</si>
  <si>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</si>
  <si>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</si>
  <si>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</si>
  <si>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</si>
  <si>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</si>
  <si>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</si>
  <si>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</si>
  <si>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</si>
  <si>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</si>
  <si>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</si>
  <si>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</si>
  <si>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</si>
  <si>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</si>
  <si>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</si>
  <si>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</si>
  <si>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</si>
  <si>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</si>
  <si>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</si>
  <si>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</si>
  <si>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</si>
  <si>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</si>
  <si>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</si>
  <si>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</si>
  <si>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</si>
  <si>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</si>
  <si>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</si>
  <si>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</si>
  <si>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</si>
  <si>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</si>
  <si>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</si>
  <si>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</si>
  <si>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</si>
  <si>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</si>
  <si>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</si>
  <si>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</si>
  <si>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</si>
  <si>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</si>
  <si>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</si>
  <si>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</si>
  <si>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</si>
  <si>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</si>
  <si>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</si>
  <si>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</si>
  <si>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</si>
  <si>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</si>
  <si>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</si>
  <si>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</si>
  <si>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</si>
  <si>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</si>
  <si>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</si>
  <si>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</si>
  <si>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</si>
  <si>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</si>
  <si>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</si>
  <si>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</si>
  <si>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</si>
  <si>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</si>
  <si>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</si>
  <si>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</si>
  <si>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</si>
  <si>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</si>
  <si>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</si>
  <si>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</si>
  <si>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</si>
  <si>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</si>
  <si>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</si>
  <si>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</si>
  <si>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</si>
  <si>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</si>
  <si>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</si>
  <si>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</si>
  <si>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</si>
  <si>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</si>
  <si>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</si>
  <si>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</si>
  <si>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</si>
  <si>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</si>
  <si>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</si>
  <si>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</si>
  <si>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</si>
  <si>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</si>
  <si>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</si>
  <si>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</si>
  <si>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</si>
  <si>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</si>
  <si>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</si>
  <si>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</si>
  <si>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</si>
  <si>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</si>
  <si>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</si>
  <si>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</si>
  <si>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</si>
  <si>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</si>
  <si>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</si>
  <si>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</si>
  <si>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</si>
  <si>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</si>
  <si>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</si>
  <si>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</si>
  <si>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</si>
  <si>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</si>
  <si>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</si>
  <si>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</si>
  <si>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</si>
  <si>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</si>
  <si>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</si>
  <si>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</si>
  <si>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</si>
  <si>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</si>
  <si>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</si>
  <si>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</si>
  <si>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</si>
  <si>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</si>
  <si>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</si>
  <si>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</si>
  <si>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</si>
  <si>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</si>
  <si>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</si>
  <si>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</si>
  <si>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</si>
  <si>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</si>
  <si>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</si>
  <si>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</si>
  <si>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</si>
  <si>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</si>
  <si>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</si>
  <si>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</si>
  <si>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</si>
  <si>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</si>
  <si>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</si>
  <si>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</si>
  <si>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</si>
  <si>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</si>
  <si>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</si>
  <si>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</si>
  <si>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</si>
  <si>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</si>
  <si>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</si>
  <si>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</si>
  <si>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</si>
  <si>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</si>
  <si>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</si>
  <si>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</si>
  <si>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</si>
  <si>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</si>
  <si>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</si>
  <si>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</si>
  <si>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</si>
  <si>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</si>
  <si>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</si>
  <si>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</si>
  <si>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</si>
  <si>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</si>
  <si>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</si>
  <si>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</si>
  <si>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</si>
  <si>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</si>
  <si>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</si>
  <si>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</si>
  <si>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</si>
  <si>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</si>
  <si>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</si>
  <si>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</si>
  <si>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</si>
  <si>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</si>
  <si>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</si>
  <si>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</si>
  <si>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</si>
  <si>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</si>
  <si>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</si>
  <si>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</si>
  <si>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</si>
  <si>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</si>
  <si>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</si>
  <si>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</si>
  <si>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</si>
  <si>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</si>
  <si>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</si>
  <si>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</si>
  <si>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</si>
  <si>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</si>
  <si>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</si>
  <si>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</si>
  <si>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</si>
  <si>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</si>
  <si>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</si>
  <si>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</si>
  <si>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</si>
  <si>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</si>
  <si>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</si>
  <si>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</si>
  <si>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</si>
  <si>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</si>
  <si>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</si>
  <si>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</si>
  <si>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</si>
  <si>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</si>
  <si>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</si>
  <si>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</si>
  <si>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</si>
  <si>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</si>
  <si>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</si>
  <si>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</si>
  <si>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</si>
  <si>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</si>
  <si>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</si>
  <si>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</si>
  <si>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</si>
  <si>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</si>
  <si>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</si>
  <si>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</si>
  <si>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</si>
  <si>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</si>
  <si>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</si>
  <si>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</si>
  <si>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</si>
  <si>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</si>
  <si>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</si>
  <si>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</si>
  <si>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</si>
  <si>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</si>
  <si>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</si>
  <si>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</si>
  <si>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</si>
  <si>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</si>
  <si>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</si>
  <si>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</si>
  <si>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</si>
  <si>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</si>
  <si>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</si>
  <si>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</si>
  <si>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</si>
  <si>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</si>
  <si>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</si>
  <si>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</si>
  <si>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</si>
  <si>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</si>
  <si>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</si>
  <si>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</si>
  <si>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</si>
  <si>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</si>
  <si>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</si>
  <si>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</si>
  <si>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</si>
  <si>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</si>
  <si>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</si>
  <si>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</si>
  <si>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</si>
  <si>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</si>
  <si>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</si>
  <si>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</si>
  <si>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</si>
  <si>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</si>
  <si>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</si>
  <si>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</si>
  <si>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</si>
  <si>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</si>
  <si>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</si>
  <si>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</si>
  <si>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</si>
  <si>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</si>
  <si>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</si>
  <si>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</si>
  <si>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</si>
  <si>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</si>
  <si>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</si>
  <si>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</si>
  <si>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</si>
  <si>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</si>
  <si>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</si>
  <si>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</si>
  <si>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</si>
  <si>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</si>
  <si>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</si>
  <si>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</si>
  <si>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</si>
  <si>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</si>
  <si>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</si>
  <si>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</si>
  <si>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</si>
  <si>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</si>
  <si>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</si>
  <si>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</si>
  <si>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</si>
  <si>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</si>
  <si>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</si>
  <si>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</si>
  <si>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</si>
  <si>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</si>
  <si>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</si>
  <si>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</si>
  <si>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</si>
  <si>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</si>
  <si>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</si>
  <si>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</si>
  <si>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</si>
  <si>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</si>
  <si>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</si>
  <si>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</si>
  <si>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</si>
  <si>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</si>
  <si>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</si>
  <si>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</si>
  <si>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</si>
  <si>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</si>
  <si>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</si>
  <si>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</si>
  <si>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</si>
  <si>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</si>
  <si>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</si>
  <si>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</si>
  <si>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</si>
  <si>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</si>
  <si>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</si>
  <si>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</si>
  <si>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</si>
  <si>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</si>
  <si>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</si>
  <si>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</si>
  <si>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</si>
  <si>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</si>
  <si>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</si>
  <si>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</si>
  <si>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</si>
  <si>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</si>
  <si>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</si>
  <si>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</si>
  <si>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</si>
  <si>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</si>
  <si>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</si>
  <si>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</si>
  <si>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</si>
  <si>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</si>
  <si>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</si>
  <si>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</si>
  <si>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</si>
  <si>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</si>
  <si>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</si>
  <si>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</si>
  <si>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</si>
  <si>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</si>
  <si>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</si>
  <si>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</si>
  <si>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</si>
  <si>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</si>
  <si>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</si>
  <si>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</si>
  <si>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</si>
  <si>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</si>
  <si>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</si>
  <si>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</si>
  <si>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</si>
  <si>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</si>
  <si>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</si>
  <si>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</si>
  <si>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</si>
  <si>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</si>
  <si>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</si>
  <si>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</si>
  <si>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</si>
  <si>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</si>
  <si>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</si>
  <si>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</si>
  <si>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</si>
  <si>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</si>
  <si>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</si>
  <si>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</si>
  <si>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</si>
  <si>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</si>
  <si>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</si>
  <si>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</si>
  <si>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</si>
  <si>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</si>
  <si>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</si>
  <si>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</si>
  <si>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</si>
  <si>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</si>
  <si>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</si>
  <si>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</si>
  <si>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</si>
  <si>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</si>
  <si>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</si>
  <si>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</si>
  <si>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</si>
  <si>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</si>
  <si>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</si>
  <si>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</si>
  <si>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</si>
  <si>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</si>
  <si>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</si>
  <si>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</si>
  <si>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</si>
  <si>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</si>
  <si>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</si>
  <si>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</si>
  <si>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</si>
  <si>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</si>
  <si>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</si>
  <si>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</si>
  <si>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</si>
  <si>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</si>
  <si>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</si>
  <si>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</si>
  <si>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</si>
  <si>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</si>
  <si>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</si>
  <si>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</si>
  <si>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</si>
  <si>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</si>
  <si>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</si>
  <si>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</si>
  <si>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</si>
  <si>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</si>
  <si>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</si>
  <si>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</si>
  <si>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</si>
  <si>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</si>
  <si>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</si>
  <si>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</si>
  <si>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</si>
  <si>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</si>
  <si>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</si>
  <si>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</si>
  <si>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</si>
  <si>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</si>
  <si>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</si>
  <si>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</si>
  <si>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</si>
  <si>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</si>
  <si>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</si>
  <si>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</si>
  <si>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</si>
  <si>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</si>
  <si>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</si>
  <si>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</si>
  <si>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</si>
  <si>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</si>
  <si>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</si>
  <si>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</si>
  <si>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</si>
  <si>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</si>
  <si>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</si>
  <si>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</si>
  <si>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</si>
  <si>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</si>
  <si>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</si>
  <si>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</si>
  <si>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</si>
  <si>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</si>
  <si>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</si>
  <si>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</si>
  <si>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</si>
  <si>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</si>
  <si>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</si>
  <si>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</si>
  <si>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</si>
  <si>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</si>
  <si>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</si>
  <si>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</si>
  <si>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</si>
  <si>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</si>
  <si>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</si>
  <si>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</si>
  <si>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</si>
  <si>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</si>
  <si>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</si>
  <si>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</si>
  <si>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</si>
  <si>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</si>
  <si>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</si>
  <si>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</si>
  <si>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</si>
  <si>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</si>
  <si>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</si>
  <si>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</si>
  <si>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</si>
  <si>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</si>
  <si>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</si>
  <si>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</si>
  <si>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</si>
  <si>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</si>
  <si>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</si>
  <si>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</si>
  <si>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</si>
  <si>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</si>
  <si>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</si>
  <si>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</si>
  <si>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</si>
  <si>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</si>
  <si>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</si>
  <si>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</si>
  <si>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</si>
  <si>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</si>
  <si>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</si>
  <si>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</si>
  <si>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</si>
  <si>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</si>
  <si>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</si>
  <si>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</si>
  <si>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</si>
  <si>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</si>
  <si>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</si>
  <si>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</si>
  <si>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</si>
  <si>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</si>
  <si>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</si>
  <si>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</si>
  <si>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</si>
  <si>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</si>
  <si>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</si>
  <si>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</si>
  <si>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</si>
  <si>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</si>
  <si>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</si>
  <si>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</si>
  <si>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</si>
  <si>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</si>
  <si>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</si>
  <si>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</si>
  <si>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</si>
  <si>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</si>
  <si>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</si>
  <si>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</si>
  <si>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</si>
  <si>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</si>
  <si>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</si>
  <si>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</si>
  <si>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</si>
  <si>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</si>
  <si>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</si>
  <si>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</si>
  <si>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</si>
  <si>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</si>
  <si>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</si>
  <si>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</si>
  <si>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</si>
  <si>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</si>
  <si>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</si>
  <si>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</si>
  <si>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</si>
  <si>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</si>
  <si>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</si>
  <si>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</si>
  <si>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</si>
  <si>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</si>
  <si>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</si>
  <si>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</si>
  <si>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</si>
  <si>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</si>
  <si>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</si>
  <si>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</si>
  <si>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</si>
  <si>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</si>
  <si>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</si>
  <si>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</si>
  <si>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</si>
  <si>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</si>
  <si>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</si>
  <si>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</si>
  <si>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</si>
  <si>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</si>
  <si>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</si>
  <si>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</si>
  <si>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</si>
  <si>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</si>
  <si>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</si>
  <si>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</si>
  <si>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</si>
  <si>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</si>
  <si>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</si>
  <si>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</si>
  <si>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</si>
  <si>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</si>
  <si>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</si>
  <si>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</si>
  <si>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</si>
  <si>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</si>
  <si>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</si>
  <si>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</si>
  <si>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</si>
  <si>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</si>
  <si>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</si>
  <si>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</si>
  <si>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</si>
  <si>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</si>
  <si>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</si>
  <si>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</si>
  <si>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</si>
  <si>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</si>
  <si>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</si>
  <si>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</si>
  <si>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</si>
  <si>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</si>
  <si>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</si>
  <si>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</si>
  <si>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</si>
  <si>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</si>
  <si>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</si>
  <si>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</si>
  <si>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</si>
  <si>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</si>
  <si>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</si>
  <si>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</si>
  <si>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</si>
  <si>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</si>
  <si>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</si>
  <si>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</si>
  <si>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</si>
  <si>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</si>
  <si>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</si>
  <si>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</si>
  <si>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</si>
  <si>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</si>
  <si>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</si>
  <si>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</si>
  <si>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</si>
  <si>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</si>
  <si>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</si>
  <si>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</si>
  <si>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</si>
  <si>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</si>
  <si>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</si>
  <si>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</si>
  <si>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</si>
  <si>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</si>
  <si>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</si>
  <si>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</si>
  <si>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</si>
  <si>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</si>
  <si>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</si>
  <si>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</si>
  <si>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</si>
  <si>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</si>
  <si>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</si>
  <si>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</si>
  <si>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</si>
  <si>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</si>
  <si>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</si>
  <si>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</si>
  <si>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</si>
  <si>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</si>
  <si>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</si>
  <si>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</si>
  <si>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</si>
  <si>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</si>
  <si>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</si>
  <si>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</si>
  <si>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</si>
  <si>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</si>
  <si>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</si>
  <si>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</si>
  <si>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</si>
  <si>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</si>
  <si>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</si>
  <si>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</si>
  <si>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</si>
  <si>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</si>
  <si>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</si>
  <si>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</si>
  <si>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</si>
  <si>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</si>
  <si>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</si>
  <si>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</si>
  <si>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</si>
  <si>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</si>
  <si>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</si>
  <si>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</si>
  <si>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</si>
  <si>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</si>
  <si>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</si>
  <si>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</si>
  <si>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</si>
  <si>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</si>
  <si>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</si>
  <si>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</si>
  <si>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</si>
  <si>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</si>
  <si>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</si>
  <si>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</si>
  <si>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</si>
  <si>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</si>
  <si>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</si>
  <si>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</si>
  <si>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</si>
  <si>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</si>
  <si>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</si>
  <si>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</si>
  <si>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</si>
  <si>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</si>
  <si>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</si>
  <si>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</si>
  <si>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</si>
  <si>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</si>
  <si>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</si>
  <si>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</si>
  <si>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</si>
  <si>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</si>
  <si>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</si>
  <si>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</si>
  <si>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</si>
  <si>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</si>
  <si>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</si>
  <si>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</si>
  <si>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</si>
  <si>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</si>
  <si>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</si>
  <si>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</si>
  <si>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</si>
  <si>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</si>
  <si>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</si>
  <si>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</si>
  <si>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</si>
  <si>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</si>
  <si>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</si>
  <si>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</si>
  <si>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</si>
  <si>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</si>
  <si>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</si>
  <si>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</si>
  <si>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</si>
  <si>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</si>
  <si>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</si>
  <si>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</si>
  <si>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</si>
  <si>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</si>
  <si>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</si>
  <si>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</si>
  <si>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</si>
  <si>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</si>
  <si>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</si>
  <si>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</si>
  <si>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</si>
  <si>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</si>
  <si>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</si>
  <si>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</si>
  <si>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</si>
  <si>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</si>
  <si>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</si>
  <si>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</si>
  <si>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</si>
  <si>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</si>
  <si>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</si>
  <si>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</si>
  <si>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</si>
  <si>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</si>
  <si>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</si>
  <si>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</si>
  <si>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</si>
  <si>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</si>
  <si>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</si>
  <si>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</si>
  <si>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</si>
  <si>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</si>
  <si>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</si>
  <si>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</si>
  <si>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</si>
  <si>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</si>
  <si>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</si>
  <si>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</si>
  <si>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</si>
  <si>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</si>
  <si>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</si>
  <si>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</si>
  <si>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</si>
  <si>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</si>
  <si>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</si>
  <si>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</si>
  <si>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</si>
  <si>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</si>
  <si>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</si>
  <si>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</si>
  <si>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</si>
  <si>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</si>
  <si>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</si>
  <si>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</si>
  <si>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</si>
  <si>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</si>
  <si>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</si>
  <si>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</si>
  <si>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</si>
  <si>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</si>
  <si>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</si>
  <si>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</si>
  <si>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</si>
  <si>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</si>
  <si>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</si>
  <si>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</si>
  <si>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</si>
  <si>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</si>
  <si>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</si>
  <si>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</si>
  <si>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</si>
  <si>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</si>
  <si>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</si>
  <si>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</si>
  <si>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</si>
  <si>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</si>
  <si>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</si>
  <si>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</si>
  <si>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</si>
  <si>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</si>
  <si>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</si>
  <si>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</si>
  <si>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</si>
  <si>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</si>
  <si>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</si>
  <si>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</si>
  <si>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</si>
  <si>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</si>
  <si>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</si>
  <si>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</si>
  <si>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</si>
  <si>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</si>
  <si>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</si>
  <si>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</si>
  <si>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</si>
  <si>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</si>
  <si>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</si>
  <si>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</si>
  <si>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</si>
  <si>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</si>
  <si>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</si>
  <si>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</si>
  <si>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</si>
  <si>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</si>
  <si>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</si>
  <si>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</si>
  <si>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</si>
  <si>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</si>
  <si>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</si>
  <si>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</si>
  <si>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</si>
  <si>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</si>
  <si>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</si>
  <si>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</si>
  <si>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</si>
  <si>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</si>
  <si>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</si>
  <si>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</si>
  <si>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</si>
  <si>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</si>
  <si>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</si>
  <si>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</si>
  <si>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</si>
  <si>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</si>
  <si>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</si>
  <si>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</si>
  <si>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</si>
  <si>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</si>
  <si>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</si>
  <si>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</si>
  <si>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</si>
  <si>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</si>
  <si>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</si>
  <si>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</si>
  <si>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</si>
  <si>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</si>
  <si>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</si>
  <si>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</si>
  <si>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</si>
  <si>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</si>
  <si>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</si>
  <si>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</si>
  <si>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</si>
  <si>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</si>
  <si>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</si>
  <si>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</si>
  <si>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</si>
  <si>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</si>
  <si>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</si>
  <si>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</si>
  <si>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</si>
  <si>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</si>
  <si>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</si>
  <si>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</si>
  <si>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</si>
  <si>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</si>
  <si>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</si>
  <si>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</si>
  <si>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</si>
  <si>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</si>
  <si>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</si>
  <si>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</si>
  <si>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</si>
  <si>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</si>
  <si>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</si>
  <si>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</si>
  <si>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</si>
  <si>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</si>
  <si>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</si>
  <si>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</si>
  <si>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</si>
  <si>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</si>
  <si>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</si>
  <si>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</si>
  <si>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</si>
  <si>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</si>
  <si>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</si>
  <si>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</si>
  <si>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</si>
  <si>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</si>
  <si>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</si>
  <si>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</si>
  <si>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</si>
  <si>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</si>
  <si>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</si>
  <si>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</si>
  <si>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</si>
  <si>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</si>
  <si>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</si>
  <si>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</si>
  <si>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</si>
  <si>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</si>
  <si>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</si>
  <si>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</si>
  <si>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</si>
  <si>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</si>
  <si>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</si>
  <si>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</si>
  <si>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</si>
  <si>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</si>
  <si>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</si>
  <si>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</si>
  <si>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</si>
  <si>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</si>
  <si>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</si>
  <si>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</si>
  <si>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</si>
  <si>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</si>
  <si>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</si>
  <si>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</si>
  <si>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</si>
  <si>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</si>
  <si>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</si>
  <si>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</si>
  <si>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</si>
  <si>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</si>
  <si>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</si>
  <si>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</si>
  <si>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</si>
  <si>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</si>
  <si>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</si>
  <si>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</si>
  <si>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</si>
  <si>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</si>
  <si>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</si>
  <si>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</si>
  <si>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</si>
  <si>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</si>
  <si>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</si>
  <si>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</si>
  <si>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</si>
  <si>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</si>
  <si>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</si>
  <si>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</si>
  <si>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</si>
  <si>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</si>
  <si>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</si>
  <si>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</si>
  <si>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</si>
  <si>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</si>
  <si>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</si>
  <si>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</si>
  <si>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</si>
  <si>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</si>
  <si>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</si>
  <si>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</si>
  <si>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</si>
  <si>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</si>
  <si>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</si>
  <si>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</si>
  <si>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</si>
  <si>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</si>
  <si>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</si>
  <si>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</si>
  <si>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</si>
  <si>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</si>
  <si>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</si>
  <si>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</si>
  <si>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</si>
  <si>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</si>
  <si>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</si>
  <si>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</si>
  <si>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</si>
  <si>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</si>
  <si>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</si>
  <si>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</si>
  <si>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</si>
  <si>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</si>
  <si>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</si>
  <si>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</si>
  <si>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</si>
  <si>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</si>
  <si>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</si>
  <si>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</si>
  <si>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</si>
  <si>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</si>
  <si>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</si>
  <si>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</si>
  <si>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</si>
  <si>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</si>
  <si>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</si>
  <si>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</si>
  <si>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</si>
  <si>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</si>
  <si>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</si>
  <si>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</si>
  <si>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</si>
  <si>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</si>
  <si>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</si>
  <si>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</si>
  <si>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</si>
  <si>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</si>
  <si>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</si>
  <si>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</si>
  <si>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</si>
  <si>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</si>
  <si>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</si>
  <si>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</si>
  <si>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</si>
  <si>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</si>
  <si>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</si>
  <si>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</si>
  <si>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</si>
  <si>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</si>
  <si>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</si>
  <si>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</si>
  <si>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</si>
  <si>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</si>
  <si>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</si>
  <si>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</si>
  <si>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</si>
  <si>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</si>
  <si>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</si>
  <si>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</si>
  <si>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</si>
  <si>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</si>
  <si>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</si>
  <si>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</si>
  <si>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</si>
  <si>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</si>
  <si>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</si>
  <si>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</si>
  <si>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</si>
  <si>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</si>
  <si>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</si>
  <si>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</si>
  <si>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</si>
  <si>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</si>
  <si>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</si>
  <si>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</si>
  <si>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</si>
  <si>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</si>
  <si>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</si>
  <si>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</si>
  <si>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</si>
  <si>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</si>
  <si>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</si>
  <si>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</si>
  <si>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</si>
  <si>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</si>
  <si>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</si>
  <si>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</si>
  <si>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</si>
  <si>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</si>
  <si>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</si>
  <si>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</si>
  <si>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</si>
  <si>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</si>
  <si>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</si>
  <si>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</si>
  <si>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</si>
  <si>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</si>
  <si>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</si>
  <si>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</si>
  <si>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</si>
  <si>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</si>
  <si>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</si>
  <si>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</si>
  <si>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</si>
  <si>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</si>
  <si>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</si>
  <si>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</si>
  <si>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</si>
  <si>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</si>
  <si>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</si>
  <si>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</si>
  <si>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</si>
  <si>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</si>
  <si>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</si>
  <si>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</si>
  <si>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</si>
  <si>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</si>
  <si>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</si>
  <si>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</si>
  <si>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</si>
  <si>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</si>
  <si>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</si>
  <si>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</si>
  <si>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</si>
  <si>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</si>
  <si>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</si>
  <si>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</si>
  <si>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</si>
  <si>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</si>
  <si>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</si>
  <si>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</si>
  <si>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</si>
  <si>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</si>
  <si>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</si>
  <si>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</si>
  <si>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</si>
  <si>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</si>
  <si>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</si>
  <si>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</si>
  <si>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</si>
  <si>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</si>
  <si>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</si>
  <si>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</si>
  <si>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</si>
  <si>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</si>
  <si>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</si>
  <si>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</si>
  <si>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</si>
  <si>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</si>
  <si>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</si>
  <si>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</si>
  <si>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</si>
  <si>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</si>
  <si>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</si>
  <si>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</si>
  <si>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</si>
  <si>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</si>
  <si>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</si>
  <si>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</si>
  <si>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</si>
  <si>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</si>
  <si>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</si>
  <si>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</si>
  <si>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</si>
  <si>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</si>
  <si>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</si>
  <si>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</si>
  <si>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</si>
  <si>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</si>
  <si>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</si>
  <si>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</si>
  <si>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</si>
  <si>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</si>
  <si>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</si>
  <si>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</si>
  <si>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</si>
  <si>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</si>
  <si>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</si>
  <si>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</si>
  <si>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</si>
  <si>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</si>
  <si>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</si>
  <si>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</si>
  <si>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</si>
  <si>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</si>
  <si>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</si>
  <si>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</si>
  <si>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</si>
  <si>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</si>
  <si>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</si>
  <si>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</si>
  <si>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</si>
  <si>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</si>
  <si>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</si>
  <si>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</si>
  <si>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</si>
  <si>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</si>
  <si>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</si>
  <si>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</si>
  <si>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</si>
  <si>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</si>
  <si>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</si>
  <si>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</si>
  <si>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</si>
  <si>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</si>
  <si>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</si>
  <si>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</si>
  <si>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</si>
  <si>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</si>
  <si>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</si>
  <si>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</si>
  <si>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</si>
  <si>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</si>
  <si>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</si>
  <si>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</si>
  <si>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</si>
  <si>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</si>
  <si>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</si>
  <si>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</si>
  <si>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</si>
  <si>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</si>
  <si>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</si>
  <si>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</si>
  <si>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</si>
  <si>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</si>
  <si>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</si>
  <si>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</si>
  <si>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</si>
  <si>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</si>
  <si>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</si>
  <si>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</si>
  <si>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</si>
  <si>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</si>
  <si>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</si>
  <si>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</si>
  <si>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</si>
  <si>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</si>
  <si>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</si>
  <si>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</si>
  <si>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</si>
  <si>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</si>
  <si>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</si>
  <si>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</si>
  <si>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</si>
  <si>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</si>
  <si>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</si>
  <si>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</si>
  <si>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</si>
  <si>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</si>
  <si>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</si>
  <si>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</si>
  <si>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</si>
  <si>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</si>
  <si>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</si>
  <si>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</si>
  <si>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</si>
  <si>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</si>
  <si>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</si>
  <si>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</si>
  <si>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</si>
  <si>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</si>
  <si>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</si>
  <si>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</si>
  <si>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</si>
  <si>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</si>
  <si>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</si>
  <si>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</si>
  <si>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</si>
  <si>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</si>
  <si>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</si>
  <si>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</si>
  <si>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</si>
  <si>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</si>
  <si>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</si>
  <si>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</si>
  <si>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</si>
  <si>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</si>
  <si>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</si>
  <si>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</si>
  <si>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</si>
  <si>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</si>
  <si>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</si>
  <si>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</si>
  <si>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</si>
  <si>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</si>
  <si>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</si>
  <si>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</si>
  <si>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</si>
  <si>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</si>
  <si>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</si>
  <si>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</si>
  <si>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</si>
  <si>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</si>
  <si>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</si>
  <si>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</si>
  <si>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</si>
  <si>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</si>
  <si>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</si>
  <si>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</si>
  <si>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</si>
  <si>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</si>
  <si>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</si>
  <si>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</si>
  <si>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</si>
  <si>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</si>
  <si>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</si>
  <si>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</si>
  <si>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</si>
  <si>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</si>
  <si>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</si>
  <si>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</si>
  <si>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</si>
  <si>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</si>
  <si>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</si>
  <si>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</si>
  <si>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</si>
  <si>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</si>
  <si>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</si>
  <si>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</si>
  <si>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</si>
  <si>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</si>
  <si>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</si>
  <si>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</si>
  <si>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</si>
  <si>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</si>
  <si>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</si>
  <si>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</si>
  <si>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</si>
  <si>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</si>
  <si>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</si>
  <si>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</si>
  <si>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</si>
  <si>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</si>
  <si>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</si>
  <si>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</si>
  <si>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</si>
  <si>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</si>
  <si>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</si>
  <si>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</si>
  <si>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</si>
  <si>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</si>
  <si>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</si>
  <si>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</si>
  <si>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</si>
  <si>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</si>
  <si>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</si>
  <si>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</si>
  <si>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</si>
  <si>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</si>
  <si>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</si>
  <si>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</si>
  <si>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</si>
  <si>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</si>
  <si>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</si>
  <si>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</si>
  <si>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</si>
  <si>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</si>
  <si>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</si>
  <si>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</si>
  <si>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</si>
  <si>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</si>
  <si>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</si>
  <si>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</si>
  <si>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</si>
  <si>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</si>
  <si>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</si>
  <si>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</si>
  <si>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</si>
  <si>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</si>
  <si>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</si>
  <si>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</si>
  <si>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</si>
  <si>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</si>
  <si>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</si>
  <si>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</si>
  <si>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</si>
  <si>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</si>
  <si>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</si>
  <si>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</si>
  <si>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</si>
  <si>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</si>
  <si>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</si>
  <si>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</si>
  <si>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</si>
  <si>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</si>
  <si>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</si>
  <si>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</si>
  <si>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</si>
  <si>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</si>
  <si>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</si>
  <si>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</si>
  <si>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</si>
  <si>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</si>
  <si>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</si>
  <si>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</si>
  <si>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</si>
  <si>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</si>
  <si>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</si>
  <si>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</si>
  <si>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</si>
  <si>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</si>
  <si>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</si>
  <si>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</si>
  <si>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</si>
  <si>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</si>
  <si>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</si>
  <si>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</si>
  <si>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</si>
  <si>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</si>
  <si>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</si>
  <si>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</si>
  <si>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</si>
  <si>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</si>
  <si>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</si>
  <si>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</si>
  <si>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</si>
  <si>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</si>
  <si>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</si>
  <si>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</si>
  <si>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</si>
  <si>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</si>
  <si>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</si>
  <si>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</si>
  <si>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</si>
  <si>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</si>
  <si>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</si>
  <si>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</si>
  <si>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</si>
  <si>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</si>
  <si>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</si>
  <si>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</si>
  <si>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</si>
  <si>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</si>
  <si>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</si>
  <si>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</si>
  <si>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</si>
  <si>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</si>
  <si>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</si>
  <si>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</si>
  <si>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</si>
  <si>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</si>
  <si>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</si>
  <si>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</si>
  <si>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</si>
  <si>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</si>
  <si>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</si>
  <si>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</si>
  <si>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</si>
  <si>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</si>
  <si>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</si>
  <si>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</si>
  <si>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</si>
  <si>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</si>
  <si>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</si>
  <si>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</si>
  <si>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</si>
  <si>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</si>
  <si>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</si>
  <si>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</si>
  <si>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</si>
  <si>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</si>
  <si>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</si>
  <si>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</si>
  <si>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</si>
  <si>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</si>
  <si>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</si>
  <si>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</si>
  <si>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</si>
  <si>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</si>
  <si>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</si>
  <si>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</si>
  <si>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</si>
  <si>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</si>
  <si>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</si>
  <si>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</si>
  <si>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</si>
  <si>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</si>
  <si>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</si>
  <si>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</si>
  <si>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</si>
  <si>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</si>
  <si>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</si>
  <si>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</si>
  <si>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</si>
  <si>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</si>
  <si>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</si>
  <si>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</si>
  <si>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</si>
  <si>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</si>
  <si>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</si>
  <si>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</si>
  <si>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</si>
  <si>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</si>
  <si>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</si>
  <si>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</si>
  <si>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</si>
  <si>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</si>
  <si>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</si>
  <si>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</si>
  <si>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</si>
  <si>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</si>
  <si>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</si>
  <si>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</si>
  <si>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</si>
  <si>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</si>
  <si>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</si>
  <si>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</si>
  <si>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</si>
  <si>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</si>
  <si>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</si>
  <si>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</si>
  <si>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</si>
  <si>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</si>
  <si>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</si>
  <si>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</si>
  <si>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</si>
  <si>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</si>
  <si>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</si>
  <si>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</si>
  <si>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</si>
  <si>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</si>
  <si>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</si>
  <si>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</si>
  <si>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</si>
  <si>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</si>
  <si>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</si>
  <si>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</si>
  <si>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</si>
  <si>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</si>
  <si>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</si>
  <si>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</si>
  <si>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</si>
  <si>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</si>
  <si>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</si>
  <si>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</si>
  <si>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</si>
  <si>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</si>
  <si>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</si>
  <si>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</si>
  <si>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</si>
  <si>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</si>
  <si>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</si>
  <si>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</si>
  <si>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</si>
  <si>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</si>
  <si>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</si>
  <si>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</si>
  <si>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</si>
  <si>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</si>
  <si>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</si>
  <si>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</si>
  <si>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</si>
  <si>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</si>
  <si>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</si>
  <si>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</si>
  <si>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</si>
  <si>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</si>
  <si>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</si>
  <si>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</si>
  <si>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</si>
  <si>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</si>
  <si>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</si>
  <si>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</si>
  <si>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</si>
  <si>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</si>
  <si>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</si>
  <si>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</si>
  <si>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</si>
  <si>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</si>
  <si>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</si>
  <si>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</si>
  <si>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</si>
  <si>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</si>
  <si>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</si>
  <si>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</si>
  <si>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</si>
  <si>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</si>
  <si>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</si>
  <si>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</si>
  <si>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</si>
  <si>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</si>
  <si>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</si>
  <si>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</si>
  <si>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</si>
  <si>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</si>
  <si>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</si>
  <si>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</si>
  <si>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</si>
  <si>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</si>
  <si>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</si>
  <si>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</si>
  <si>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</si>
  <si>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</si>
  <si>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</si>
  <si>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</si>
  <si>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</si>
  <si>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</si>
  <si>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</si>
  <si>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</si>
  <si>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</si>
  <si>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</si>
  <si>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</si>
  <si>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</si>
  <si>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</si>
  <si>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</si>
  <si>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</si>
  <si>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</si>
  <si>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</si>
  <si>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</si>
  <si>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</si>
  <si>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</si>
  <si>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</si>
  <si>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</si>
  <si>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</si>
  <si>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</si>
  <si>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</si>
  <si>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</si>
  <si>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</si>
  <si>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</si>
  <si>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</si>
  <si>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</si>
  <si>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</si>
  <si>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</si>
  <si>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</si>
  <si>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</si>
  <si>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</si>
  <si>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</si>
  <si>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</si>
  <si>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</si>
  <si>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</si>
  <si>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</si>
  <si>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</si>
  <si>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</si>
  <si>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</si>
  <si>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</si>
  <si>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</si>
  <si>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</si>
  <si>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</si>
  <si>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</si>
  <si>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</si>
  <si>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</si>
  <si>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</si>
  <si>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</si>
  <si>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</si>
  <si>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</si>
  <si>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</si>
  <si>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</si>
  <si>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</si>
  <si>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</si>
  <si>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</si>
  <si>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</si>
  <si>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</si>
  <si>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</si>
  <si>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</si>
  <si>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</si>
  <si>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</si>
  <si>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</si>
  <si>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</si>
  <si>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</si>
  <si>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</si>
  <si>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</si>
  <si>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</si>
  <si>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</si>
  <si>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</si>
  <si>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</si>
  <si>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</si>
  <si>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</si>
  <si>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</si>
  <si>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</si>
  <si>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</si>
  <si>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</si>
  <si>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</si>
  <si>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</si>
  <si>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</si>
  <si>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</si>
  <si>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</si>
  <si>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</si>
  <si>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</si>
  <si>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</si>
  <si>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</si>
  <si>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</si>
  <si>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</si>
  <si>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</si>
  <si>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</si>
  <si>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</si>
  <si>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</si>
  <si>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</si>
  <si>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</si>
  <si>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</si>
  <si>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</si>
  <si>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</si>
  <si>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</si>
  <si>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</si>
  <si>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</si>
  <si>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</si>
  <si>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</si>
  <si>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</si>
  <si>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</si>
  <si>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</si>
  <si>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</si>
  <si>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</si>
  <si>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</si>
  <si>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</si>
  <si>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2121 SOUTH GOEBBERT ROAD</t>
  </si>
  <si>
    <t>ARLINGTON HEIGHTS</t>
  </si>
  <si>
    <t>NANCY.AWDZIEJCZYK@D214.ORG</t>
  </si>
  <si>
    <t>EVANS, MARSHALL AND PEASE, P.C.</t>
  </si>
  <si>
    <t>CHRISTOPHER M. SCALET, CPA</t>
  </si>
  <si>
    <t>1875 HICKS ROAD</t>
  </si>
  <si>
    <t>ROLLING MEADOWS</t>
  </si>
  <si>
    <t>ILLINOIS</t>
  </si>
  <si>
    <t>847-221-5700</t>
  </si>
  <si>
    <t>847-221-5701</t>
  </si>
  <si>
    <t>066-005340</t>
  </si>
  <si>
    <t>CHRIS@EMPCPA.COM</t>
  </si>
  <si>
    <t>EVANS, MARSHALL &amp; PEASE, P.C.</t>
  </si>
  <si>
    <t>N/A</t>
  </si>
  <si>
    <t>HARPER COLLEGE</t>
  </si>
  <si>
    <t>NW Educ Cncl for Student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</si>
</sst>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173182</xdr:colOff>
          <xdr:row>3</xdr:row>
          <xdr:rowOff>0</xdr:rowOff>
        </xdr:from>
        <xdr:to>
          <xdr:col>1</xdr:col>
          <xdr:colOff>1084118</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3</xdr:row>
          <xdr:rowOff>25978</xdr:rowOff>
        </xdr:from>
        <xdr:to>
          <xdr:col>1</xdr:col>
          <xdr:colOff>2149186</xdr:colOff>
          <xdr:row>7</xdr:row>
          <xdr:rowOff>64078</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0" t="s">
        <v>405</v>
      </c>
      <c r="J1" s="1981"/>
      <c r="K1" s="1981"/>
      <c r="L1" s="1981"/>
      <c r="M1" s="1981"/>
      <c r="N1" s="1981"/>
      <c r="O1" s="1981"/>
      <c r="P1" s="1981"/>
      <c r="Q1" s="1981"/>
      <c r="R1" s="1981"/>
      <c r="S1" s="1981"/>
    </row>
    <row r="2" spans="1:28" ht="12" customHeight="1" x14ac:dyDescent="0.2">
      <c r="A2" s="47" t="s">
        <v>1993</v>
      </c>
      <c r="D2" s="48"/>
      <c r="I2" s="1982" t="s">
        <v>979</v>
      </c>
      <c r="J2" s="1981"/>
      <c r="K2" s="1981"/>
      <c r="L2" s="1981"/>
      <c r="M2" s="1981"/>
      <c r="N2" s="1981"/>
      <c r="O2" s="1981"/>
      <c r="P2" s="1981"/>
      <c r="Q2" s="1981"/>
      <c r="R2" s="1981"/>
      <c r="S2" s="1981"/>
    </row>
    <row r="3" spans="1:28" ht="12" customHeight="1" x14ac:dyDescent="0.2">
      <c r="A3" s="155" t="s">
        <v>1945</v>
      </c>
      <c r="B3" s="156"/>
      <c r="C3" s="156"/>
      <c r="D3" s="157"/>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4"/>
      <c r="C5" s="26" t="s">
        <v>910</v>
      </c>
      <c r="D5" s="84"/>
      <c r="E5" s="84"/>
      <c r="H5" s="38"/>
      <c r="I5" s="1990" t="s">
        <v>680</v>
      </c>
      <c r="J5" s="1989"/>
      <c r="K5" s="1989"/>
      <c r="L5" s="1989"/>
      <c r="M5" s="1989"/>
      <c r="N5" s="1989"/>
      <c r="O5" s="1989"/>
      <c r="P5" s="1989"/>
      <c r="Q5" s="1989"/>
      <c r="R5" s="1989"/>
      <c r="S5" s="1989"/>
    </row>
    <row r="6" spans="1:28" ht="14.1" customHeight="1" x14ac:dyDescent="0.2">
      <c r="B6" s="104" t="s">
        <v>2064</v>
      </c>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x14ac:dyDescent="0.2">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955</v>
      </c>
      <c r="B11" s="2012"/>
      <c r="C11" s="2012"/>
      <c r="D11" s="2012"/>
      <c r="E11" s="2012"/>
      <c r="F11" s="2012"/>
      <c r="G11" s="2012"/>
      <c r="H11" s="2013"/>
      <c r="I11" s="27"/>
      <c r="J11" s="74"/>
      <c r="K11" s="27"/>
      <c r="O11" s="148" t="s">
        <v>2064</v>
      </c>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5">
        <v>5016214046</v>
      </c>
      <c r="B13" s="2016"/>
      <c r="C13" s="2016"/>
      <c r="D13" s="2016"/>
      <c r="E13" s="2016"/>
      <c r="F13" s="2016"/>
      <c r="G13" s="2016"/>
      <c r="H13" s="2017"/>
      <c r="I13" s="31"/>
      <c r="J13" s="30"/>
      <c r="K13" s="28"/>
      <c r="L13" s="30"/>
      <c r="M13" s="30"/>
      <c r="N13" s="30"/>
      <c r="O13" s="30"/>
      <c r="P13" s="30"/>
      <c r="Q13" s="30"/>
      <c r="R13" s="30"/>
      <c r="S13" s="30"/>
      <c r="T13" s="2020" t="s">
        <v>2069</v>
      </c>
      <c r="U13" s="2021"/>
      <c r="V13" s="2021"/>
      <c r="W13" s="2021"/>
      <c r="X13" s="2021"/>
      <c r="Y13" s="2022"/>
      <c r="Z13" s="2022"/>
      <c r="AA13" s="202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4" t="s">
        <v>2065</v>
      </c>
      <c r="B15" s="2018"/>
      <c r="C15" s="2018"/>
      <c r="D15" s="2018"/>
      <c r="E15" s="2018"/>
      <c r="F15" s="2018"/>
      <c r="G15" s="2018"/>
      <c r="H15" s="2019"/>
      <c r="T15" s="2024" t="s">
        <v>2070</v>
      </c>
      <c r="U15" s="1968"/>
      <c r="V15" s="1968"/>
      <c r="W15" s="1968"/>
      <c r="X15" s="1968"/>
      <c r="Y15" s="2025"/>
      <c r="Z15" s="2025"/>
      <c r="AA15" s="202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2081</v>
      </c>
      <c r="B17" s="1975"/>
      <c r="C17" s="1975"/>
      <c r="D17" s="1975"/>
      <c r="E17" s="1975"/>
      <c r="F17" s="1975"/>
      <c r="G17" s="1975"/>
      <c r="H17" s="2000"/>
      <c r="T17" s="2031" t="s">
        <v>2071</v>
      </c>
      <c r="U17" s="2032"/>
      <c r="V17" s="2032"/>
      <c r="W17" s="2032"/>
      <c r="X17" s="2032"/>
      <c r="Y17" s="2032"/>
      <c r="Z17" s="2032"/>
      <c r="AA17" s="2033"/>
    </row>
    <row r="18" spans="1:27" ht="13.5" customHeight="1" x14ac:dyDescent="0.2">
      <c r="A18" s="85" t="s">
        <v>530</v>
      </c>
      <c r="B18" s="76"/>
      <c r="C18" s="72"/>
      <c r="D18" s="76"/>
      <c r="E18" s="76"/>
      <c r="F18" s="76"/>
      <c r="G18" s="76"/>
      <c r="H18" s="56"/>
      <c r="I18" s="1999" t="s">
        <v>676</v>
      </c>
      <c r="J18" s="1950"/>
      <c r="K18" s="1950"/>
      <c r="L18" s="1950"/>
      <c r="M18" s="1950"/>
      <c r="N18" s="1950"/>
      <c r="O18" s="1950"/>
      <c r="P18" s="1950"/>
      <c r="Q18" s="1950"/>
      <c r="R18" s="1950"/>
      <c r="S18" s="1951"/>
      <c r="T18" s="85" t="s">
        <v>711</v>
      </c>
      <c r="U18" s="51"/>
      <c r="V18" s="72"/>
      <c r="W18" s="50"/>
      <c r="X18" s="85" t="s">
        <v>266</v>
      </c>
      <c r="Y18" s="81"/>
      <c r="Z18" s="159" t="s">
        <v>677</v>
      </c>
      <c r="AA18" s="46"/>
    </row>
    <row r="19" spans="1:27" ht="13.5" customHeight="1" x14ac:dyDescent="0.2">
      <c r="A19" s="2014" t="s">
        <v>2066</v>
      </c>
      <c r="B19" s="1960"/>
      <c r="C19" s="1960"/>
      <c r="D19" s="1960"/>
      <c r="E19" s="1960"/>
      <c r="F19" s="1960"/>
      <c r="G19" s="1960"/>
      <c r="H19" s="1940"/>
      <c r="I19" s="30"/>
      <c r="J19" s="99"/>
      <c r="K19" s="40"/>
      <c r="L19" s="38"/>
      <c r="M19" s="112" t="s">
        <v>315</v>
      </c>
      <c r="P19" s="27"/>
      <c r="Q19" s="27"/>
      <c r="R19" s="27"/>
      <c r="S19" s="31"/>
      <c r="T19" s="2014" t="s">
        <v>2072</v>
      </c>
      <c r="U19" s="1939"/>
      <c r="V19" s="1939"/>
      <c r="W19" s="1940"/>
      <c r="X19" s="2029" t="s">
        <v>2073</v>
      </c>
      <c r="Y19" s="2030"/>
      <c r="Z19" s="2027">
        <v>60008</v>
      </c>
      <c r="AA19" s="202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8" t="s">
        <v>2067</v>
      </c>
      <c r="B21" s="1939"/>
      <c r="C21" s="1939"/>
      <c r="D21" s="1939"/>
      <c r="E21" s="1939"/>
      <c r="F21" s="1939"/>
      <c r="G21" s="1939"/>
      <c r="H21" s="1940"/>
      <c r="I21" s="1994" t="s">
        <v>678</v>
      </c>
      <c r="J21" s="1989"/>
      <c r="K21" s="1989"/>
      <c r="L21" s="1989"/>
      <c r="M21" s="1989"/>
      <c r="N21" s="1989"/>
      <c r="O21" s="1989"/>
      <c r="P21" s="1989"/>
      <c r="Q21" s="1989"/>
      <c r="R21" s="1989"/>
      <c r="S21" s="1995"/>
      <c r="T21" s="2038" t="s">
        <v>2074</v>
      </c>
      <c r="U21" s="2039"/>
      <c r="V21" s="2039"/>
      <c r="W21" s="2039"/>
      <c r="X21" s="2044" t="s">
        <v>2075</v>
      </c>
      <c r="Y21" s="2045"/>
      <c r="Z21" s="2045"/>
      <c r="AA21" s="2046"/>
    </row>
    <row r="22" spans="1:27" ht="13.5" customHeight="1" x14ac:dyDescent="0.2">
      <c r="A22" s="87" t="s">
        <v>531</v>
      </c>
      <c r="B22" s="59"/>
      <c r="C22" s="59"/>
      <c r="D22" s="59"/>
      <c r="E22" s="59"/>
      <c r="F22" s="59"/>
      <c r="G22" s="59"/>
      <c r="H22" s="60"/>
      <c r="I22" s="1996" t="s">
        <v>1429</v>
      </c>
      <c r="J22" s="1997"/>
      <c r="K22" s="1997"/>
      <c r="L22" s="1997"/>
      <c r="M22" s="1997"/>
      <c r="N22" s="1997"/>
      <c r="O22" s="1997"/>
      <c r="P22" s="1997"/>
      <c r="Q22" s="1997"/>
      <c r="R22" s="1997"/>
      <c r="S22" s="1998"/>
      <c r="T22" s="85" t="s">
        <v>1516</v>
      </c>
      <c r="U22" s="51"/>
      <c r="V22" s="72"/>
      <c r="W22" s="51"/>
      <c r="X22" s="160" t="s">
        <v>1318</v>
      </c>
      <c r="Z22" s="45"/>
      <c r="AA22" s="46"/>
    </row>
    <row r="23" spans="1:27" ht="13.5" customHeight="1" x14ac:dyDescent="0.2">
      <c r="A23" s="1991" t="s">
        <v>2068</v>
      </c>
      <c r="B23" s="1992"/>
      <c r="C23" s="1992"/>
      <c r="D23" s="1992"/>
      <c r="E23" s="1992"/>
      <c r="F23" s="1992"/>
      <c r="G23" s="1992"/>
      <c r="H23" s="1993"/>
      <c r="T23" s="1974" t="s">
        <v>2076</v>
      </c>
      <c r="U23" s="2037"/>
      <c r="V23" s="2037"/>
      <c r="W23" s="2037"/>
      <c r="X23" s="2041">
        <v>44530</v>
      </c>
      <c r="Y23" s="2042"/>
      <c r="Z23" s="2042"/>
      <c r="AA23" s="2043"/>
    </row>
    <row r="24" spans="1:27" ht="14.1" customHeight="1" x14ac:dyDescent="0.2">
      <c r="A24" s="88" t="s">
        <v>677</v>
      </c>
      <c r="B24" s="49"/>
      <c r="C24" s="49"/>
      <c r="D24" s="49"/>
      <c r="E24" s="49"/>
      <c r="F24" s="49"/>
      <c r="G24" s="49"/>
      <c r="H24" s="61"/>
      <c r="J24" s="1961" t="str">
        <f>IF(B5="x",IF(AUDITCHECK!D29="AFR form Incomplete.","",IF(AUDITCHECK!D29="Deficit reduction plan is required.","School District must complete a deficit reduction plan in the 2019-2020 Budget",)),"")</f>
        <v/>
      </c>
      <c r="K24" s="1961"/>
      <c r="L24" s="1961"/>
      <c r="M24" s="1961"/>
      <c r="N24" s="1961"/>
      <c r="O24" s="1961"/>
      <c r="P24" s="1961"/>
      <c r="Q24" s="1961"/>
      <c r="R24" s="1961"/>
      <c r="S24" s="1962"/>
      <c r="T24" s="105" t="s">
        <v>531</v>
      </c>
      <c r="U24" s="106"/>
      <c r="V24" s="106"/>
      <c r="W24" s="106"/>
      <c r="X24" s="107"/>
      <c r="Y24" s="107"/>
      <c r="Z24" s="107"/>
      <c r="AA24" s="108"/>
    </row>
    <row r="25" spans="1:27" ht="14.1" customHeight="1" x14ac:dyDescent="0.2">
      <c r="A25" s="1938">
        <v>60005</v>
      </c>
      <c r="B25" s="1939"/>
      <c r="C25" s="1939"/>
      <c r="D25" s="1939"/>
      <c r="E25" s="1939"/>
      <c r="F25" s="1939"/>
      <c r="G25" s="1939"/>
      <c r="H25" s="1940"/>
      <c r="I25" s="113"/>
      <c r="J25" s="1963"/>
      <c r="K25" s="1963"/>
      <c r="L25" s="1963"/>
      <c r="M25" s="1963"/>
      <c r="N25" s="1963"/>
      <c r="O25" s="1963"/>
      <c r="P25" s="1963"/>
      <c r="Q25" s="1963"/>
      <c r="R25" s="1963"/>
      <c r="S25" s="1964"/>
      <c r="T25" s="2034" t="s">
        <v>2077</v>
      </c>
      <c r="U25" s="2035"/>
      <c r="V25" s="2035"/>
      <c r="W25" s="2035"/>
      <c r="X25" s="2035"/>
      <c r="Y25" s="2035"/>
      <c r="Z25" s="2035"/>
      <c r="AA25" s="20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9" t="s">
        <v>1511</v>
      </c>
      <c r="J27" s="1950"/>
      <c r="K27" s="1950"/>
      <c r="L27" s="1950"/>
      <c r="M27" s="1950"/>
      <c r="N27" s="1950"/>
      <c r="O27" s="1950"/>
      <c r="P27" s="1950"/>
      <c r="Q27" s="1950"/>
      <c r="R27" s="1950"/>
      <c r="S27" s="195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2064</v>
      </c>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0"/>
      <c r="Q35" s="1939"/>
      <c r="R35" s="193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4"/>
      <c r="B38" s="1975"/>
      <c r="C38" s="1975"/>
      <c r="D38" s="1975"/>
      <c r="E38" s="1975"/>
      <c r="F38" s="1939"/>
      <c r="G38" s="1939"/>
      <c r="H38" s="1940"/>
      <c r="I38" s="1967"/>
      <c r="J38" s="1968"/>
      <c r="K38" s="1968"/>
      <c r="L38" s="1968"/>
      <c r="M38" s="1968"/>
      <c r="N38" s="1968"/>
      <c r="O38" s="1968"/>
      <c r="P38" s="1969"/>
      <c r="Q38" s="1969"/>
      <c r="R38" s="1969"/>
      <c r="S38" s="1970"/>
      <c r="T38" s="2024"/>
      <c r="U38" s="1968"/>
      <c r="V38" s="1968"/>
      <c r="W38" s="1968"/>
      <c r="X38" s="1969"/>
      <c r="Y38" s="1969"/>
      <c r="Z38" s="1969"/>
      <c r="AA38" s="1970"/>
    </row>
    <row r="39" spans="1:27" ht="12" customHeight="1" x14ac:dyDescent="0.2">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x14ac:dyDescent="0.2">
      <c r="A40" s="1952"/>
      <c r="B40" s="1953"/>
      <c r="C40" s="1954"/>
      <c r="D40" s="1954"/>
      <c r="E40" s="1954"/>
      <c r="F40" s="1955"/>
      <c r="G40" s="1955"/>
      <c r="H40" s="1956"/>
      <c r="I40" s="1977"/>
      <c r="J40" s="1978"/>
      <c r="K40" s="1978"/>
      <c r="L40" s="1978"/>
      <c r="M40" s="1978"/>
      <c r="N40" s="1978"/>
      <c r="O40" s="1978"/>
      <c r="P40" s="1978"/>
      <c r="Q40" s="1978"/>
      <c r="R40" s="1978"/>
      <c r="S40" s="1979"/>
      <c r="T40" s="1977"/>
      <c r="U40" s="2040"/>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c r="B42" s="1958"/>
      <c r="C42" s="1959"/>
      <c r="D42" s="1957"/>
      <c r="E42" s="1958"/>
      <c r="F42" s="1958"/>
      <c r="G42" s="1958"/>
      <c r="H42" s="1959"/>
      <c r="I42" s="1941"/>
      <c r="J42" s="1942"/>
      <c r="K42" s="1942"/>
      <c r="L42" s="1942"/>
      <c r="M42" s="1942"/>
      <c r="N42" s="1942"/>
      <c r="O42" s="1943"/>
      <c r="P42" s="1976"/>
      <c r="Q42" s="1942"/>
      <c r="R42" s="1942"/>
      <c r="S42" s="1943"/>
      <c r="T42" s="1941"/>
      <c r="U42" s="1942"/>
      <c r="V42" s="1942"/>
      <c r="W42" s="1943"/>
      <c r="X42" s="1976"/>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82" zoomScale="110" zoomScaleNormal="110" workbookViewId="0">
      <selection activeCell="B29" sqref="B2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3" colorId="8" zoomScale="110" zoomScaleNormal="110" workbookViewId="0">
      <selection activeCell="B29" sqref="B2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2078</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29" sqref="B2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1919310</v>
      </c>
      <c r="E16" s="356"/>
      <c r="F16" s="1733">
        <f>SUM('Acct Summary 7-8'!C17,'Acct Summary 7-8'!D17,'Acct Summary 7-8'!F17)</f>
        <v>1809502</v>
      </c>
      <c r="G16" s="356"/>
      <c r="H16" s="1733">
        <f>SUM(D16-F16)</f>
        <v>109808</v>
      </c>
      <c r="I16" s="222"/>
      <c r="J16" s="1733">
        <f>SUM('Acct Summary 7-8'!C81,'Acct Summary 7-8'!D81,'Acct Summary 7-8'!F81,'Acct Summary 7-8'!I81)</f>
        <v>707723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29" sqref="B2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NW Educ Cncl for Student Success</v>
      </c>
      <c r="E7" s="391"/>
      <c r="G7" s="252"/>
      <c r="H7" s="387"/>
      <c r="I7" s="387"/>
      <c r="J7" s="387"/>
      <c r="K7" s="387"/>
      <c r="L7" s="329"/>
      <c r="M7" s="329"/>
      <c r="N7" s="329"/>
      <c r="O7" s="329"/>
      <c r="P7" s="329"/>
    </row>
    <row r="8" spans="1:18" ht="12.75" x14ac:dyDescent="0.2">
      <c r="A8" s="329"/>
      <c r="B8" s="329"/>
      <c r="C8" s="389" t="s">
        <v>1125</v>
      </c>
      <c r="D8" s="392">
        <f>COVER!A13</f>
        <v>5016214046</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707723</v>
      </c>
      <c r="I12" s="404"/>
      <c r="J12" s="404"/>
      <c r="K12" s="405">
        <f>TRUNC((H12/H13*100000),5)/100000</f>
        <v>0.36873824439999997</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1919310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1809502</v>
      </c>
      <c r="I17" s="404"/>
      <c r="J17" s="416"/>
      <c r="K17" s="405">
        <f>TRUNC((H17/H18*100000),5)/100000</f>
        <v>0.94278777260000002</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1919310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707723</v>
      </c>
      <c r="I24" s="422"/>
      <c r="J24" s="422"/>
      <c r="K24" s="423">
        <f>TRUNC(((H24/H25*100000)/100000),2)</f>
        <v>140.80000000000001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5026.39444</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D1" colorId="8" zoomScale="110" zoomScaleNormal="110" workbookViewId="0">
      <pane ySplit="2" topLeftCell="A30" activePane="bottomLeft" state="frozen"/>
      <selection activeCell="B29" sqref="B29"/>
      <selection pane="bottomLeft" activeCell="B29" sqref="B2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707723</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707723</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104056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104056</v>
      </c>
      <c r="N23" s="1688">
        <f>SUM(N21:N22)</f>
        <v>0</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707723</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104056</v>
      </c>
      <c r="N40" s="497"/>
    </row>
    <row r="41" spans="1:14" ht="13.5" customHeight="1" thickBot="1" x14ac:dyDescent="0.25">
      <c r="A41" s="1736" t="s">
        <v>655</v>
      </c>
      <c r="B41" s="1706"/>
      <c r="C41" s="1688">
        <f>(SUM(C34,C37,C38,C39))</f>
        <v>707723</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104056</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8" activePane="bottomLeft" state="frozen"/>
      <selection activeCell="B29" sqref="B29"/>
      <selection pane="bottomLeft" activeCell="B29" sqref="B2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108995</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1134981</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675334</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1919310</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9162</v>
      </c>
      <c r="D9" s="516"/>
      <c r="E9" s="481"/>
      <c r="F9" s="481"/>
      <c r="G9" s="517"/>
      <c r="H9" s="481"/>
      <c r="I9" s="509" t="s">
        <v>1169</v>
      </c>
      <c r="J9" s="478"/>
      <c r="K9" s="481"/>
      <c r="L9" s="347"/>
    </row>
    <row r="10" spans="1:13" s="519" customFormat="1" ht="13.5" thickBot="1" x14ac:dyDescent="0.25">
      <c r="A10" s="1736" t="s">
        <v>1173</v>
      </c>
      <c r="B10" s="1709"/>
      <c r="C10" s="1688">
        <f>SUM(C8:C9)</f>
        <v>1928472</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1138747</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670755</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1809502</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9162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1818664</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3" t="s">
        <v>1655</v>
      </c>
      <c r="B20" s="2124"/>
      <c r="C20" s="1746">
        <f>C8-C17</f>
        <v>109808</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5" t="s">
        <v>1177</v>
      </c>
      <c r="B77" s="2116"/>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19" t="s">
        <v>597</v>
      </c>
      <c r="B78" s="2120"/>
      <c r="C78" s="1702">
        <f t="shared" ref="C78:K78" si="9">C20+C77</f>
        <v>109808</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1949</v>
      </c>
      <c r="B79" s="534"/>
      <c r="C79" s="478">
        <v>597915</v>
      </c>
      <c r="D79" s="535"/>
      <c r="E79" s="535"/>
      <c r="F79" s="535"/>
      <c r="G79" s="535"/>
      <c r="H79" s="535"/>
      <c r="I79" s="535"/>
      <c r="J79" s="535"/>
      <c r="K79" s="535"/>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1950</v>
      </c>
      <c r="B81" s="2118"/>
      <c r="C81" s="1688">
        <f>(SUM(C78:C80))</f>
        <v>707723</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109808</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0.15515674918011707</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9" activePane="bottomLeft" state="frozen"/>
      <selection activeCell="B29" sqref="B29"/>
      <selection pane="bottomLeft" activeCell="C104" sqref="C10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3692</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3692</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1803</v>
      </c>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88000</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15500</v>
      </c>
      <c r="D107" s="466"/>
      <c r="E107" s="466"/>
      <c r="F107" s="466"/>
      <c r="G107" s="466"/>
      <c r="H107" s="466"/>
      <c r="I107" s="466"/>
      <c r="J107" s="467"/>
      <c r="K107" s="466"/>
    </row>
    <row r="108" spans="1:12" ht="12.75" customHeight="1" thickBot="1" x14ac:dyDescent="0.25">
      <c r="A108" s="1708" t="s">
        <v>487</v>
      </c>
      <c r="B108" s="1712"/>
      <c r="C108" s="1707">
        <f>SUM(C95:C107)</f>
        <v>105303</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108995</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1134981</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1134981</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1134981</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1134981</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675334</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675334</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675334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675334</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1919310</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66" activePane="bottomLeft" state="frozen"/>
      <selection activeCell="B29" sqref="B29"/>
      <selection pane="bottomLeft" activeCell="B29" sqref="B2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v>100</v>
      </c>
    </row>
    <row r="13" spans="1:14" x14ac:dyDescent="0.2">
      <c r="A13" s="1504" t="s">
        <v>723</v>
      </c>
      <c r="B13" s="614">
        <v>1400</v>
      </c>
      <c r="C13" s="466">
        <v>42178</v>
      </c>
      <c r="D13" s="466"/>
      <c r="E13" s="466">
        <v>280916</v>
      </c>
      <c r="F13" s="466">
        <v>314088</v>
      </c>
      <c r="G13" s="466">
        <v>501565</v>
      </c>
      <c r="H13" s="466"/>
      <c r="I13" s="467"/>
      <c r="J13" s="467"/>
      <c r="K13" s="1671">
        <f t="shared" si="0"/>
        <v>1138747</v>
      </c>
      <c r="L13" s="466">
        <v>1137336</v>
      </c>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42178</v>
      </c>
      <c r="D33" s="1670">
        <f t="shared" ref="D33:L33" si="1">SUM(D5:D32)</f>
        <v>0</v>
      </c>
      <c r="E33" s="1670">
        <f t="shared" si="1"/>
        <v>280916</v>
      </c>
      <c r="F33" s="1670">
        <f t="shared" si="1"/>
        <v>314088</v>
      </c>
      <c r="G33" s="1670">
        <f t="shared" si="1"/>
        <v>501565</v>
      </c>
      <c r="H33" s="1670">
        <f t="shared" si="1"/>
        <v>0</v>
      </c>
      <c r="I33" s="1670">
        <f t="shared" si="1"/>
        <v>0</v>
      </c>
      <c r="J33" s="1670">
        <f t="shared" si="1"/>
        <v>0</v>
      </c>
      <c r="K33" s="1670">
        <f t="shared" si="1"/>
        <v>1138747</v>
      </c>
      <c r="L33" s="1670">
        <f t="shared" si="1"/>
        <v>1137436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35730</v>
      </c>
      <c r="D37" s="466">
        <v>6451</v>
      </c>
      <c r="E37" s="466">
        <v>173895</v>
      </c>
      <c r="F37" s="466"/>
      <c r="G37" s="466"/>
      <c r="H37" s="466"/>
      <c r="I37" s="467"/>
      <c r="J37" s="467"/>
      <c r="K37" s="1671">
        <f t="shared" si="2"/>
        <v>216076</v>
      </c>
      <c r="L37" s="466">
        <v>223610</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35730</v>
      </c>
      <c r="D42" s="1670">
        <f t="shared" ref="D42:L42" si="3">SUM(D36:D41)</f>
        <v>6451</v>
      </c>
      <c r="E42" s="1670">
        <f t="shared" si="3"/>
        <v>173895</v>
      </c>
      <c r="F42" s="1670">
        <f t="shared" si="3"/>
        <v>0</v>
      </c>
      <c r="G42" s="1670">
        <f t="shared" si="3"/>
        <v>0</v>
      </c>
      <c r="H42" s="1670">
        <f t="shared" si="3"/>
        <v>0</v>
      </c>
      <c r="I42" s="1670">
        <f t="shared" si="3"/>
        <v>0</v>
      </c>
      <c r="J42" s="1670">
        <f t="shared" si="3"/>
        <v>0</v>
      </c>
      <c r="K42" s="1670">
        <f t="shared" si="3"/>
        <v>216076</v>
      </c>
      <c r="L42" s="1670">
        <f t="shared" si="3"/>
        <v>223610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105734</v>
      </c>
      <c r="D44" s="481">
        <v>30465</v>
      </c>
      <c r="E44" s="481">
        <v>95248</v>
      </c>
      <c r="F44" s="481">
        <v>3404</v>
      </c>
      <c r="G44" s="481"/>
      <c r="H44" s="481"/>
      <c r="I44" s="467"/>
      <c r="J44" s="467"/>
      <c r="K44" s="1672">
        <f>SUM(C44:J44)</f>
        <v>234851</v>
      </c>
      <c r="L44" s="481">
        <v>236162</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105734</v>
      </c>
      <c r="D47" s="1670">
        <f t="shared" ref="D47:K47" si="4">SUM(D44:D46)</f>
        <v>30465</v>
      </c>
      <c r="E47" s="1670">
        <f t="shared" si="4"/>
        <v>95248</v>
      </c>
      <c r="F47" s="1670">
        <f t="shared" si="4"/>
        <v>3404</v>
      </c>
      <c r="G47" s="1670">
        <f t="shared" si="4"/>
        <v>0</v>
      </c>
      <c r="H47" s="1670">
        <f t="shared" si="4"/>
        <v>0</v>
      </c>
      <c r="I47" s="1670">
        <f t="shared" si="4"/>
        <v>0</v>
      </c>
      <c r="J47" s="1670">
        <f t="shared" si="4"/>
        <v>0</v>
      </c>
      <c r="K47" s="1670">
        <f t="shared" si="4"/>
        <v>234851</v>
      </c>
      <c r="L47" s="1670">
        <f>SUM(L44:L46)</f>
        <v>236162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174318</v>
      </c>
      <c r="D49" s="481">
        <v>36338</v>
      </c>
      <c r="E49" s="481">
        <v>6941</v>
      </c>
      <c r="F49" s="481">
        <v>504</v>
      </c>
      <c r="G49" s="481"/>
      <c r="H49" s="481">
        <v>360</v>
      </c>
      <c r="I49" s="467">
        <v>1367</v>
      </c>
      <c r="J49" s="467"/>
      <c r="K49" s="1672">
        <f>SUM(C49:J49)</f>
        <v>219828</v>
      </c>
      <c r="L49" s="481">
        <v>226764</v>
      </c>
    </row>
    <row r="50" spans="1:14" x14ac:dyDescent="0.2">
      <c r="A50" s="1504" t="s">
        <v>818</v>
      </c>
      <c r="B50" s="614">
        <v>2320</v>
      </c>
      <c r="C50" s="466"/>
      <c r="D50" s="466"/>
      <c r="E50" s="466"/>
      <c r="F50" s="466"/>
      <c r="G50" s="466"/>
      <c r="H50" s="466"/>
      <c r="I50" s="467"/>
      <c r="J50" s="467"/>
      <c r="K50" s="1672">
        <f>SUM(C50:J50)</f>
        <v>0</v>
      </c>
      <c r="L50" s="466"/>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174318</v>
      </c>
      <c r="D53" s="1670">
        <f t="shared" ref="D53:L53" si="5">SUM(D49:D52)</f>
        <v>36338</v>
      </c>
      <c r="E53" s="1670">
        <f t="shared" si="5"/>
        <v>6941</v>
      </c>
      <c r="F53" s="1670">
        <f t="shared" si="5"/>
        <v>504</v>
      </c>
      <c r="G53" s="1670">
        <f t="shared" si="5"/>
        <v>0</v>
      </c>
      <c r="H53" s="1670">
        <f t="shared" si="5"/>
        <v>360</v>
      </c>
      <c r="I53" s="1670">
        <f t="shared" si="5"/>
        <v>1367</v>
      </c>
      <c r="J53" s="1670">
        <f t="shared" si="5"/>
        <v>0</v>
      </c>
      <c r="K53" s="1670">
        <f t="shared" si="5"/>
        <v>219828</v>
      </c>
      <c r="L53" s="1670">
        <f t="shared" si="5"/>
        <v>226764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2">
        <f t="shared" si="7"/>
        <v>0</v>
      </c>
      <c r="L60" s="466"/>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0</v>
      </c>
      <c r="D65" s="1670">
        <f t="shared" ref="D65:L65" si="8">SUM(D59:D64)</f>
        <v>0</v>
      </c>
      <c r="E65" s="1670">
        <f t="shared" si="8"/>
        <v>0</v>
      </c>
      <c r="F65" s="1670">
        <f t="shared" si="8"/>
        <v>0</v>
      </c>
      <c r="G65" s="1670">
        <f t="shared" si="8"/>
        <v>0</v>
      </c>
      <c r="H65" s="1670">
        <f t="shared" si="8"/>
        <v>0</v>
      </c>
      <c r="I65" s="1670">
        <f t="shared" si="8"/>
        <v>0</v>
      </c>
      <c r="J65" s="1670">
        <f t="shared" si="8"/>
        <v>0</v>
      </c>
      <c r="K65" s="1670">
        <f t="shared" si="8"/>
        <v>0</v>
      </c>
      <c r="L65" s="1670">
        <f t="shared" si="8"/>
        <v>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315782</v>
      </c>
      <c r="D74" s="1677">
        <f t="shared" ref="D74:K74" si="10">SUM(D42,D47,D53,D57,D65,D72,D73)</f>
        <v>73254</v>
      </c>
      <c r="E74" s="1677">
        <f t="shared" si="10"/>
        <v>276084</v>
      </c>
      <c r="F74" s="1677">
        <f t="shared" si="10"/>
        <v>3908</v>
      </c>
      <c r="G74" s="1677">
        <f t="shared" si="10"/>
        <v>0</v>
      </c>
      <c r="H74" s="1677">
        <f t="shared" si="10"/>
        <v>360</v>
      </c>
      <c r="I74" s="1677">
        <f t="shared" si="10"/>
        <v>1367</v>
      </c>
      <c r="J74" s="1677">
        <f t="shared" si="10"/>
        <v>0</v>
      </c>
      <c r="K74" s="1677">
        <f t="shared" si="10"/>
        <v>670755</v>
      </c>
      <c r="L74" s="1677">
        <f>SUM(L42,L47,L53,L57,L65,L72,L73)</f>
        <v>686536</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0</v>
      </c>
      <c r="I102" s="477"/>
      <c r="J102" s="477"/>
      <c r="K102" s="1677">
        <f>SUM(K84,K92,K100,K101)</f>
        <v>0</v>
      </c>
      <c r="L102" s="1677">
        <f>SUM(L84,L92,L100,L101)</f>
        <v>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357960</v>
      </c>
      <c r="D114" s="1670">
        <f t="shared" ref="D114:K114" si="13">SUM(D33,D74,D75,D102,D112,D113)</f>
        <v>73254</v>
      </c>
      <c r="E114" s="1670">
        <f t="shared" si="13"/>
        <v>557000</v>
      </c>
      <c r="F114" s="1670">
        <f t="shared" si="13"/>
        <v>317996</v>
      </c>
      <c r="G114" s="1670">
        <f t="shared" si="13"/>
        <v>501565</v>
      </c>
      <c r="H114" s="1670">
        <f>SUM(H33,H74,H75,H102,H112,H113)</f>
        <v>360</v>
      </c>
      <c r="I114" s="1670">
        <f t="shared" si="13"/>
        <v>1367</v>
      </c>
      <c r="J114" s="1670">
        <f t="shared" si="13"/>
        <v>0</v>
      </c>
      <c r="K114" s="1670">
        <f t="shared" si="13"/>
        <v>1809502</v>
      </c>
      <c r="L114" s="1670">
        <f>SUM(L33,L74,L75,L102,L112,L113)</f>
        <v>1823972</v>
      </c>
    </row>
    <row r="115" spans="1:14" ht="13.5" thickTop="1" x14ac:dyDescent="0.2">
      <c r="A115" s="2153" t="s">
        <v>996</v>
      </c>
      <c r="B115" s="2154"/>
      <c r="C115" s="618"/>
      <c r="D115" s="618"/>
      <c r="E115" s="618"/>
      <c r="F115" s="618"/>
      <c r="G115" s="618"/>
      <c r="H115" s="618"/>
      <c r="I115" s="618"/>
      <c r="J115" s="618"/>
      <c r="K115" s="1684">
        <f>'Revenues 9-14'!C268-'Expenditures 15-22'!K114</f>
        <v>109808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0"/>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3" t="s">
        <v>1178</v>
      </c>
      <c r="B152" s="2174"/>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3" t="s">
        <v>996</v>
      </c>
      <c r="B175" s="2154"/>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53" t="s">
        <v>996</v>
      </c>
      <c r="B211" s="2154"/>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53" t="s">
        <v>996</v>
      </c>
      <c r="B296" s="2154"/>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6" t="s">
        <v>996</v>
      </c>
      <c r="B343" s="2167"/>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3" t="s">
        <v>996</v>
      </c>
      <c r="B368" s="2154"/>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29" sqref="B2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1802</v>
      </c>
      <c r="B2" s="1528" t="s">
        <v>1951</v>
      </c>
      <c r="C2" s="714" t="s">
        <v>1952</v>
      </c>
      <c r="D2" s="714" t="s">
        <v>1953</v>
      </c>
      <c r="E2" s="714" t="s">
        <v>1954</v>
      </c>
      <c r="F2" s="714" t="s">
        <v>1955</v>
      </c>
    </row>
    <row r="3" spans="1:6" ht="12" customHeight="1" x14ac:dyDescent="0.2">
      <c r="A3" s="2181"/>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B29" sqref="B2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629</v>
      </c>
      <c r="B1" s="2200"/>
      <c r="C1" s="721"/>
    </row>
    <row r="2" spans="1:7" ht="33.75" x14ac:dyDescent="0.2">
      <c r="A2" s="2207" t="s">
        <v>1802</v>
      </c>
      <c r="B2" s="2208"/>
      <c r="C2" s="1884" t="s">
        <v>1956</v>
      </c>
      <c r="D2" s="723" t="s">
        <v>1957</v>
      </c>
      <c r="E2" s="723" t="s">
        <v>1958</v>
      </c>
      <c r="F2" s="1884" t="s">
        <v>1959</v>
      </c>
    </row>
    <row r="3" spans="1:7" ht="15.75" customHeight="1" x14ac:dyDescent="0.2">
      <c r="A3" s="2209" t="s">
        <v>1114</v>
      </c>
      <c r="B3" s="2210"/>
      <c r="C3" s="2203"/>
      <c r="D3" s="2204"/>
      <c r="E3" s="2204"/>
      <c r="F3" s="2205"/>
    </row>
    <row r="4" spans="1:7" ht="12.75" customHeight="1" thickBot="1" x14ac:dyDescent="0.25">
      <c r="A4" s="2197" t="s">
        <v>630</v>
      </c>
      <c r="B4" s="2198"/>
      <c r="C4" s="581"/>
      <c r="D4" s="581"/>
      <c r="E4" s="581"/>
      <c r="F4" s="1755">
        <f>SUM(C4+D4)-E4</f>
        <v>0</v>
      </c>
    </row>
    <row r="5" spans="1:7" ht="15.75" customHeight="1" thickTop="1" x14ac:dyDescent="0.2">
      <c r="A5" s="2201" t="s">
        <v>1110</v>
      </c>
      <c r="B5" s="2196"/>
      <c r="C5" s="2190"/>
      <c r="D5" s="2191"/>
      <c r="E5" s="2191"/>
      <c r="F5" s="219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3" t="s">
        <v>631</v>
      </c>
      <c r="B15" s="2194"/>
      <c r="C15" s="1755">
        <f>SUM(C6:C14)</f>
        <v>0</v>
      </c>
      <c r="D15" s="1755">
        <f>SUM(D6:D14)</f>
        <v>0</v>
      </c>
      <c r="E15" s="1755">
        <f>SUM(E6:E14)</f>
        <v>0</v>
      </c>
      <c r="F15" s="1755">
        <f>SUM(F6:F14)</f>
        <v>0</v>
      </c>
      <c r="G15" s="552"/>
    </row>
    <row r="16" spans="1:7" s="202" customFormat="1" ht="15.75" customHeight="1" thickTop="1" x14ac:dyDescent="0.2">
      <c r="A16" s="2206" t="s">
        <v>1111</v>
      </c>
      <c r="B16" s="2196"/>
      <c r="C16" s="2190"/>
      <c r="D16" s="2191"/>
      <c r="E16" s="2191"/>
      <c r="F16" s="2192"/>
    </row>
    <row r="17" spans="1:11" ht="12.75" customHeight="1" thickBot="1" x14ac:dyDescent="0.25">
      <c r="A17" s="2188" t="s">
        <v>64</v>
      </c>
      <c r="B17" s="2189"/>
      <c r="C17" s="726"/>
      <c r="D17" s="585"/>
      <c r="E17" s="726"/>
      <c r="F17" s="1755">
        <f>SUM(C17+D17)-E17</f>
        <v>0</v>
      </c>
    </row>
    <row r="18" spans="1:11" ht="12.75" customHeight="1" thickTop="1" thickBot="1" x14ac:dyDescent="0.25">
      <c r="A18" s="2188" t="s">
        <v>6</v>
      </c>
      <c r="B18" s="2189"/>
      <c r="C18" s="726"/>
      <c r="D18" s="585"/>
      <c r="E18" s="726"/>
      <c r="F18" s="1755">
        <f>SUM(C18+D18)-E18</f>
        <v>0</v>
      </c>
    </row>
    <row r="19" spans="1:11" ht="12.75" customHeight="1" thickTop="1" thickBot="1" x14ac:dyDescent="0.25">
      <c r="A19" s="2188" t="s">
        <v>388</v>
      </c>
      <c r="B19" s="2189"/>
      <c r="C19" s="726"/>
      <c r="D19" s="585"/>
      <c r="E19" s="726"/>
      <c r="F19" s="1755">
        <f>SUM(C19+D19)-E19</f>
        <v>0</v>
      </c>
    </row>
    <row r="20" spans="1:11" ht="12.75" customHeight="1" thickTop="1" thickBot="1" x14ac:dyDescent="0.25">
      <c r="A20" s="2188" t="s">
        <v>448</v>
      </c>
      <c r="B20" s="2189"/>
      <c r="C20" s="726"/>
      <c r="D20" s="585"/>
      <c r="E20" s="726"/>
      <c r="F20" s="1755">
        <f>SUM(C20+D20)-E20</f>
        <v>0</v>
      </c>
    </row>
    <row r="21" spans="1:11" ht="14.25" thickTop="1" thickBot="1" x14ac:dyDescent="0.25">
      <c r="A21" s="2193" t="s">
        <v>632</v>
      </c>
      <c r="B21" s="2194"/>
      <c r="C21" s="1755">
        <f>SUM(C17:C20)</f>
        <v>0</v>
      </c>
      <c r="D21" s="1755">
        <f>SUM(D17:D20)</f>
        <v>0</v>
      </c>
      <c r="E21" s="1755">
        <f>SUM(E17:E20)</f>
        <v>0</v>
      </c>
      <c r="F21" s="1755">
        <f>SUM(F17:F20)</f>
        <v>0</v>
      </c>
      <c r="G21" s="552"/>
    </row>
    <row r="22" spans="1:11" ht="15.75" customHeight="1" thickTop="1" x14ac:dyDescent="0.2">
      <c r="A22" s="2195" t="s">
        <v>1112</v>
      </c>
      <c r="B22" s="2196"/>
      <c r="C22" s="2190"/>
      <c r="D22" s="2191"/>
      <c r="E22" s="2191"/>
      <c r="F22" s="2192"/>
    </row>
    <row r="23" spans="1:11" ht="13.5" thickBot="1" x14ac:dyDescent="0.25">
      <c r="A23" s="2197" t="s">
        <v>633</v>
      </c>
      <c r="B23" s="2198"/>
      <c r="C23" s="581"/>
      <c r="D23" s="581"/>
      <c r="E23" s="581"/>
      <c r="F23" s="1755">
        <f>SUM(C23+D23)-E23</f>
        <v>0</v>
      </c>
      <c r="G23" s="552"/>
    </row>
    <row r="24" spans="1:11" ht="15.75" customHeight="1" thickTop="1" x14ac:dyDescent="0.2">
      <c r="A24" s="2195" t="s">
        <v>1113</v>
      </c>
      <c r="B24" s="2196"/>
      <c r="C24" s="2190"/>
      <c r="D24" s="2191"/>
      <c r="E24" s="2191"/>
      <c r="F24" s="2192"/>
    </row>
    <row r="25" spans="1:11" ht="13.5" thickBot="1" x14ac:dyDescent="0.25">
      <c r="A25" s="2197" t="s">
        <v>634</v>
      </c>
      <c r="B25" s="2198"/>
      <c r="C25" s="581"/>
      <c r="D25" s="581"/>
      <c r="E25" s="581"/>
      <c r="F25" s="1755">
        <f>SUM(C25+D25)-E25</f>
        <v>0</v>
      </c>
      <c r="G25" s="552"/>
    </row>
    <row r="26" spans="1:11" ht="15.75" customHeight="1" thickTop="1" x14ac:dyDescent="0.2">
      <c r="A26" s="2201" t="s">
        <v>657</v>
      </c>
      <c r="B26" s="2196"/>
      <c r="C26" s="727"/>
      <c r="D26" s="727"/>
      <c r="E26" s="727"/>
      <c r="F26" s="728"/>
    </row>
    <row r="27" spans="1:11" ht="13.5" thickBot="1" x14ac:dyDescent="0.25">
      <c r="A27" s="2193" t="s">
        <v>1070</v>
      </c>
      <c r="B27" s="2194"/>
      <c r="C27" s="585"/>
      <c r="D27" s="585"/>
      <c r="E27" s="585"/>
      <c r="F27" s="1755">
        <f>SUM(C27+D27)-E27</f>
        <v>0</v>
      </c>
      <c r="G27" s="552"/>
    </row>
    <row r="28" spans="1:11" ht="7.5" customHeight="1" thickTop="1" x14ac:dyDescent="0.2">
      <c r="A28" s="593"/>
    </row>
    <row r="29" spans="1:11" ht="23.25" customHeight="1" x14ac:dyDescent="0.2">
      <c r="A29" s="2199" t="s">
        <v>582</v>
      </c>
      <c r="B29" s="2200"/>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2" t="s">
        <v>584</v>
      </c>
      <c r="C52" s="2183"/>
      <c r="D52" s="2183"/>
      <c r="E52" s="749" t="s">
        <v>845</v>
      </c>
      <c r="F52" s="2184"/>
      <c r="G52" s="2185"/>
      <c r="H52" s="736"/>
      <c r="I52" s="736"/>
      <c r="J52" s="746"/>
    </row>
    <row r="53" spans="1:11" ht="11.25" customHeight="1" x14ac:dyDescent="0.2">
      <c r="A53" s="750" t="s">
        <v>913</v>
      </c>
      <c r="B53" s="751" t="s">
        <v>951</v>
      </c>
      <c r="C53" s="746"/>
      <c r="D53" s="737"/>
      <c r="E53" s="749" t="s">
        <v>497</v>
      </c>
      <c r="F53" s="2186"/>
      <c r="G53" s="2187"/>
      <c r="H53" s="736"/>
      <c r="I53" s="736"/>
      <c r="J53" s="746"/>
    </row>
    <row r="54" spans="1:11" ht="11.25" customHeight="1" x14ac:dyDescent="0.2">
      <c r="A54" s="752" t="s">
        <v>914</v>
      </c>
      <c r="B54" s="747" t="s">
        <v>952</v>
      </c>
      <c r="C54" s="746"/>
      <c r="D54" s="737"/>
      <c r="E54" s="749" t="s">
        <v>498</v>
      </c>
      <c r="F54" s="2186"/>
      <c r="G54" s="218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B29" sqref="B2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1" t="s">
        <v>856</v>
      </c>
      <c r="B1" s="2212"/>
      <c r="C1" s="2212"/>
      <c r="D1" s="2212"/>
      <c r="E1" s="2212"/>
      <c r="F1" s="2212"/>
      <c r="G1" s="2213"/>
      <c r="H1" s="1530"/>
      <c r="I1" s="760"/>
      <c r="J1" s="433"/>
    </row>
    <row r="2" spans="1:11" ht="26.25" x14ac:dyDescent="0.2">
      <c r="A2" s="2230" t="s">
        <v>1677</v>
      </c>
      <c r="B2" s="2231"/>
      <c r="C2" s="2231"/>
      <c r="D2" s="2231"/>
      <c r="E2" s="2232"/>
      <c r="F2" s="761" t="s">
        <v>904</v>
      </c>
      <c r="G2" s="762" t="s">
        <v>1674</v>
      </c>
      <c r="H2" s="762" t="s">
        <v>410</v>
      </c>
      <c r="I2" s="762" t="s">
        <v>1158</v>
      </c>
      <c r="J2" s="762" t="s">
        <v>1812</v>
      </c>
      <c r="K2" s="762" t="s">
        <v>138</v>
      </c>
    </row>
    <row r="3" spans="1:11" x14ac:dyDescent="0.2">
      <c r="A3" s="2233" t="s">
        <v>1964</v>
      </c>
      <c r="B3" s="2234"/>
      <c r="C3" s="2234"/>
      <c r="D3" s="2234"/>
      <c r="E3" s="2235"/>
      <c r="F3" s="763"/>
      <c r="G3" s="764"/>
      <c r="H3" s="764"/>
      <c r="I3" s="764"/>
      <c r="J3" s="765"/>
      <c r="K3" s="765"/>
    </row>
    <row r="4" spans="1:11" x14ac:dyDescent="0.2">
      <c r="A4" s="2236" t="s">
        <v>369</v>
      </c>
      <c r="B4" s="2237"/>
      <c r="C4" s="2237"/>
      <c r="D4" s="2237"/>
      <c r="E4" s="2183"/>
      <c r="F4" s="766"/>
      <c r="G4" s="767"/>
      <c r="H4" s="768"/>
      <c r="I4" s="767"/>
      <c r="J4" s="769"/>
      <c r="K4" s="769"/>
    </row>
    <row r="5" spans="1:11" x14ac:dyDescent="0.2">
      <c r="A5" s="2214" t="s">
        <v>1069</v>
      </c>
      <c r="B5" s="2215"/>
      <c r="C5" s="2215"/>
      <c r="D5" s="2215"/>
      <c r="E5" s="2216"/>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4" t="s">
        <v>1813</v>
      </c>
      <c r="B10" s="2215"/>
      <c r="C10" s="2215"/>
      <c r="D10" s="2215"/>
      <c r="E10" s="2217"/>
      <c r="F10" s="783" t="s">
        <v>862</v>
      </c>
      <c r="G10" s="782"/>
      <c r="H10" s="784"/>
      <c r="I10" s="764"/>
      <c r="J10" s="765"/>
      <c r="K10" s="765"/>
    </row>
    <row r="11" spans="1:11" x14ac:dyDescent="0.2">
      <c r="A11" s="2214" t="s">
        <v>160</v>
      </c>
      <c r="B11" s="2215"/>
      <c r="C11" s="2215"/>
      <c r="D11" s="2215"/>
      <c r="E11" s="2216"/>
      <c r="F11" s="770" t="s">
        <v>852</v>
      </c>
      <c r="G11" s="771"/>
      <c r="H11" s="764"/>
      <c r="I11" s="764"/>
      <c r="J11" s="765"/>
      <c r="K11" s="773"/>
    </row>
    <row r="12" spans="1:11" ht="13.5" thickBot="1" x14ac:dyDescent="0.25">
      <c r="A12" s="2241" t="s">
        <v>905</v>
      </c>
      <c r="B12" s="2242"/>
      <c r="C12" s="2242"/>
      <c r="D12" s="2242"/>
      <c r="E12" s="2243"/>
      <c r="F12" s="1757"/>
      <c r="G12" s="1758">
        <f>SUM(G5:G11)</f>
        <v>0</v>
      </c>
      <c r="H12" s="1758">
        <f>SUM(H5:H11)</f>
        <v>0</v>
      </c>
      <c r="I12" s="1758">
        <f>SUM(I5:I11)</f>
        <v>0</v>
      </c>
      <c r="J12" s="1758">
        <f>SUM(J5:J11)</f>
        <v>0</v>
      </c>
      <c r="K12" s="1758">
        <f>SUM(K5:K11)</f>
        <v>0</v>
      </c>
    </row>
    <row r="13" spans="1:11" ht="13.5" thickTop="1" x14ac:dyDescent="0.2">
      <c r="A13" s="2238" t="s">
        <v>370</v>
      </c>
      <c r="B13" s="2239"/>
      <c r="C13" s="2239"/>
      <c r="D13" s="2239"/>
      <c r="E13" s="2240"/>
      <c r="F13" s="785"/>
      <c r="G13" s="786"/>
      <c r="H13" s="787"/>
      <c r="I13" s="788"/>
      <c r="J13" s="788"/>
      <c r="K13" s="788"/>
    </row>
    <row r="14" spans="1:11" x14ac:dyDescent="0.2">
      <c r="A14" s="2221" t="s">
        <v>456</v>
      </c>
      <c r="B14" s="2221"/>
      <c r="C14" s="2221"/>
      <c r="D14" s="2221"/>
      <c r="E14" s="2222"/>
      <c r="F14" s="789" t="s">
        <v>854</v>
      </c>
      <c r="G14" s="782"/>
      <c r="H14" s="764"/>
      <c r="I14" s="771"/>
      <c r="J14" s="773"/>
      <c r="K14" s="765"/>
    </row>
    <row r="15" spans="1:11" x14ac:dyDescent="0.2">
      <c r="A15" s="2215" t="s">
        <v>4</v>
      </c>
      <c r="B15" s="2215"/>
      <c r="C15" s="2215"/>
      <c r="D15" s="2215"/>
      <c r="E15" s="2216"/>
      <c r="F15" s="789" t="s">
        <v>855</v>
      </c>
      <c r="G15" s="771"/>
      <c r="H15" s="764"/>
      <c r="I15" s="764"/>
      <c r="J15" s="765"/>
      <c r="K15" s="765"/>
    </row>
    <row r="16" spans="1:11" x14ac:dyDescent="0.2">
      <c r="A16" s="2215" t="s">
        <v>298</v>
      </c>
      <c r="B16" s="2215"/>
      <c r="C16" s="2215"/>
      <c r="D16" s="2215"/>
      <c r="E16" s="2216"/>
      <c r="F16" s="789" t="s">
        <v>923</v>
      </c>
      <c r="G16" s="772"/>
      <c r="H16" s="767"/>
      <c r="I16" s="767"/>
      <c r="J16" s="769"/>
      <c r="K16" s="769"/>
    </row>
    <row r="17" spans="1:11" x14ac:dyDescent="0.2">
      <c r="A17" s="2246" t="s">
        <v>935</v>
      </c>
      <c r="B17" s="2246"/>
      <c r="C17" s="2246"/>
      <c r="D17" s="2246"/>
      <c r="E17" s="2247"/>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23" t="s">
        <v>1809</v>
      </c>
      <c r="B19" s="2223"/>
      <c r="C19" s="2223"/>
      <c r="D19" s="2223"/>
      <c r="E19" s="2224"/>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44" t="s">
        <v>638</v>
      </c>
      <c r="B21" s="2244"/>
      <c r="C21" s="2244"/>
      <c r="D21" s="2244"/>
      <c r="E21" s="2244"/>
      <c r="F21" s="1759"/>
      <c r="G21" s="792"/>
      <c r="H21" s="796"/>
      <c r="I21" s="796"/>
      <c r="J21" s="1760">
        <f>SUM(J18:J20)</f>
        <v>0</v>
      </c>
      <c r="K21" s="793"/>
    </row>
    <row r="22" spans="1:11" ht="13.5" thickTop="1" x14ac:dyDescent="0.2">
      <c r="A22" s="2215" t="s">
        <v>1815</v>
      </c>
      <c r="B22" s="2215"/>
      <c r="C22" s="2215"/>
      <c r="D22" s="2215"/>
      <c r="E22" s="2216"/>
      <c r="F22" s="789" t="s">
        <v>862</v>
      </c>
      <c r="G22" s="782"/>
      <c r="H22" s="764"/>
      <c r="I22" s="764"/>
      <c r="J22" s="797"/>
      <c r="K22" s="765"/>
    </row>
    <row r="23" spans="1:11" ht="13.5" thickBot="1" x14ac:dyDescent="0.25">
      <c r="A23" s="2245" t="s">
        <v>906</v>
      </c>
      <c r="B23" s="2244"/>
      <c r="C23" s="2244"/>
      <c r="D23" s="2244"/>
      <c r="E23" s="2244"/>
      <c r="F23" s="1761"/>
      <c r="G23" s="1758">
        <f>SUM(G14:G16,G21,G22)</f>
        <v>0</v>
      </c>
      <c r="H23" s="1758">
        <f>SUM(H14:H16,H21,H22)</f>
        <v>0</v>
      </c>
      <c r="I23" s="1758">
        <f>SUM(I14:I16,I21,I22)</f>
        <v>0</v>
      </c>
      <c r="J23" s="1758">
        <f>SUM(J14:J16,J21,J22)</f>
        <v>0</v>
      </c>
      <c r="K23" s="1758">
        <f>SUM(K14:K16,K21,K22)</f>
        <v>0</v>
      </c>
    </row>
    <row r="24" spans="1:11" ht="14.25" thickTop="1" thickBot="1" x14ac:dyDescent="0.25">
      <c r="A24" s="2245" t="s">
        <v>1965</v>
      </c>
      <c r="B24" s="2244"/>
      <c r="C24" s="2244"/>
      <c r="D24" s="2244"/>
      <c r="E24" s="2244"/>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8"/>
      <c r="I31" s="2219"/>
      <c r="J31" s="2219"/>
      <c r="K31" s="2219"/>
    </row>
    <row r="32" spans="1:11" x14ac:dyDescent="0.2">
      <c r="A32" s="809"/>
      <c r="B32" s="237"/>
      <c r="C32" s="237"/>
      <c r="D32" s="237"/>
      <c r="E32" s="805"/>
      <c r="F32" s="811" t="s">
        <v>540</v>
      </c>
      <c r="G32" s="764"/>
      <c r="H32" s="2220"/>
      <c r="I32" s="2219"/>
      <c r="J32" s="2219"/>
      <c r="K32" s="2219"/>
    </row>
    <row r="33" spans="1:11" ht="1.5" customHeight="1" x14ac:dyDescent="0.2">
      <c r="A33" s="812" t="s">
        <v>1169</v>
      </c>
      <c r="B33" s="364"/>
      <c r="C33" s="364"/>
      <c r="D33" s="364"/>
      <c r="E33" s="364"/>
      <c r="F33" s="364"/>
      <c r="G33" s="813"/>
      <c r="H33" s="2220"/>
      <c r="I33" s="2219"/>
      <c r="J33" s="2219"/>
      <c r="K33" s="221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28"/>
      <c r="C41" s="2228"/>
      <c r="D41" s="2228"/>
      <c r="E41" s="2228"/>
      <c r="F41" s="222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7" colorId="8" zoomScale="110" zoomScaleNormal="110" workbookViewId="0">
      <selection activeCell="B29" sqref="B2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1909</v>
      </c>
      <c r="B1" s="2251"/>
      <c r="C1" s="2252"/>
      <c r="D1" s="826"/>
      <c r="E1" s="827"/>
      <c r="F1" s="827"/>
      <c r="G1" s="828"/>
      <c r="H1" s="829"/>
      <c r="I1" s="830"/>
      <c r="J1" s="2248"/>
      <c r="K1" s="2249"/>
      <c r="L1" s="2249"/>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c r="D12" s="844"/>
      <c r="E12" s="844"/>
      <c r="F12" s="1760">
        <f>(C12+D12)-E12</f>
        <v>0</v>
      </c>
      <c r="G12" s="843">
        <v>10</v>
      </c>
      <c r="H12" s="765"/>
      <c r="I12" s="765"/>
      <c r="J12" s="765"/>
      <c r="K12" s="1769">
        <f>(H12+I12)-J12</f>
        <v>0</v>
      </c>
      <c r="L12" s="1769">
        <f>F12-K12</f>
        <v>0</v>
      </c>
    </row>
    <row r="13" spans="1:14" ht="14.25" thickTop="1" thickBot="1" x14ac:dyDescent="0.25">
      <c r="A13" s="848" t="s">
        <v>1122</v>
      </c>
      <c r="B13" s="840">
        <v>252</v>
      </c>
      <c r="C13" s="844">
        <v>104056</v>
      </c>
      <c r="D13" s="844"/>
      <c r="E13" s="844"/>
      <c r="F13" s="1760">
        <f>(C13+D13)-E13</f>
        <v>104056</v>
      </c>
      <c r="G13" s="843">
        <v>5</v>
      </c>
      <c r="H13" s="765">
        <v>101269</v>
      </c>
      <c r="I13" s="765">
        <v>900</v>
      </c>
      <c r="J13" s="765"/>
      <c r="K13" s="1769">
        <f>(H13+I13)-J13</f>
        <v>102169</v>
      </c>
      <c r="L13" s="1769">
        <f>F13-K13</f>
        <v>1887</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104056</v>
      </c>
      <c r="D16" s="1760">
        <f>SUM(D3,D5:D6,D8:D10,D12:D15)</f>
        <v>0</v>
      </c>
      <c r="E16" s="1760">
        <f>SUM(E3,E5:E6,E8:E10,E12:E15)</f>
        <v>0</v>
      </c>
      <c r="F16" s="1760">
        <f>SUM(F3,F5:F6,F8:F10,F12:F15)</f>
        <v>104056</v>
      </c>
      <c r="G16" s="843"/>
      <c r="H16" s="1760">
        <f>SUM(H3,H6,H8:H10,H12:H14,)</f>
        <v>101269</v>
      </c>
      <c r="I16" s="1760">
        <f>SUM(I3,I6,I8:I10,I12:I14,)</f>
        <v>900</v>
      </c>
      <c r="J16" s="1760">
        <f>SUM(J3,J6,J8:J10,J12:J14,)</f>
        <v>0</v>
      </c>
      <c r="K16" s="1760">
        <f>(H16+I16)-J16</f>
        <v>102169</v>
      </c>
      <c r="L16" s="1760">
        <f>F16-K16</f>
        <v>1887</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1367</v>
      </c>
      <c r="G17" s="837">
        <v>10</v>
      </c>
      <c r="H17" s="769"/>
      <c r="I17" s="1769">
        <f>F17/G17</f>
        <v>136.69999999999999</v>
      </c>
      <c r="J17" s="769"/>
      <c r="K17" s="795"/>
      <c r="L17" s="795"/>
    </row>
    <row r="18" spans="1:12" ht="14.25" thickTop="1" thickBot="1" x14ac:dyDescent="0.25">
      <c r="A18" s="1767" t="s">
        <v>685</v>
      </c>
      <c r="B18" s="1768"/>
      <c r="C18" s="771"/>
      <c r="D18" s="771"/>
      <c r="E18" s="771"/>
      <c r="F18" s="850"/>
      <c r="G18" s="851"/>
      <c r="H18" s="773"/>
      <c r="I18" s="1760">
        <f>SUM(I16,I17)</f>
        <v>1036.7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B29" sqref="B29"/>
      <selection pane="bottomLeft" activeCell="B29" sqref="B2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1975</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1809502</v>
      </c>
      <c r="G8" s="865"/>
    </row>
    <row r="9" spans="1:7" x14ac:dyDescent="0.2">
      <c r="A9" s="869" t="s">
        <v>460</v>
      </c>
      <c r="B9" s="870" t="s">
        <v>1877</v>
      </c>
      <c r="C9" s="871"/>
      <c r="D9" s="869" t="s">
        <v>501</v>
      </c>
      <c r="E9" s="868"/>
      <c r="F9" s="1909">
        <f>'Expenditures 15-22'!K151</f>
        <v>0</v>
      </c>
      <c r="G9" s="872"/>
    </row>
    <row r="10" spans="1:7" x14ac:dyDescent="0.2">
      <c r="A10" s="869" t="s">
        <v>499</v>
      </c>
      <c r="B10" s="870" t="s">
        <v>1878</v>
      </c>
      <c r="C10" s="871"/>
      <c r="D10" s="869" t="s">
        <v>501</v>
      </c>
      <c r="E10" s="868"/>
      <c r="F10" s="1909">
        <f>'Expenditures 15-22'!K174</f>
        <v>0</v>
      </c>
      <c r="G10" s="872"/>
    </row>
    <row r="11" spans="1:7" x14ac:dyDescent="0.2">
      <c r="A11" s="869" t="s">
        <v>461</v>
      </c>
      <c r="B11" s="870" t="s">
        <v>1879</v>
      </c>
      <c r="C11" s="871"/>
      <c r="D11" s="869" t="s">
        <v>501</v>
      </c>
      <c r="E11" s="868"/>
      <c r="F11" s="1909">
        <f>'Expenditures 15-22'!K210</f>
        <v>0</v>
      </c>
      <c r="G11" s="872"/>
    </row>
    <row r="12" spans="1:7" x14ac:dyDescent="0.2">
      <c r="A12" s="869" t="s">
        <v>462</v>
      </c>
      <c r="B12" s="870" t="s">
        <v>1880</v>
      </c>
      <c r="C12" s="871"/>
      <c r="D12" s="869" t="s">
        <v>501</v>
      </c>
      <c r="E12" s="868"/>
      <c r="F12" s="1909">
        <f>'Expenditures 15-22'!K295</f>
        <v>0</v>
      </c>
      <c r="G12" s="872"/>
    </row>
    <row r="13" spans="1:7" x14ac:dyDescent="0.2">
      <c r="A13" s="869" t="s">
        <v>106</v>
      </c>
      <c r="B13" s="870" t="s">
        <v>1881</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1809502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0</v>
      </c>
      <c r="G53" s="865"/>
    </row>
    <row r="54" spans="1:7" x14ac:dyDescent="0.2">
      <c r="A54" s="869" t="s">
        <v>459</v>
      </c>
      <c r="B54" s="869" t="s">
        <v>1476</v>
      </c>
      <c r="C54" s="889" t="s">
        <v>982</v>
      </c>
      <c r="D54" s="885" t="s">
        <v>1095</v>
      </c>
      <c r="E54" s="868"/>
      <c r="F54" s="1913">
        <f>'Expenditures 15-22'!G114</f>
        <v>501565</v>
      </c>
      <c r="G54" s="865"/>
    </row>
    <row r="55" spans="1:7" x14ac:dyDescent="0.2">
      <c r="A55" s="869" t="s">
        <v>459</v>
      </c>
      <c r="B55" s="869" t="s">
        <v>1477</v>
      </c>
      <c r="C55" s="889" t="s">
        <v>982</v>
      </c>
      <c r="D55" s="885" t="s">
        <v>291</v>
      </c>
      <c r="E55" s="868"/>
      <c r="F55" s="1913">
        <f>'Expenditures 15-22'!I114</f>
        <v>1367</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502932</v>
      </c>
      <c r="G76" s="865"/>
    </row>
    <row r="77" spans="1:8" s="893" customFormat="1" ht="12" customHeight="1" thickTop="1" thickBot="1" x14ac:dyDescent="0.25">
      <c r="A77" s="1779"/>
      <c r="B77" s="1776"/>
      <c r="C77" s="1772"/>
      <c r="D77" s="1777" t="s">
        <v>1900</v>
      </c>
      <c r="E77" s="1774"/>
      <c r="F77" s="1780">
        <f>(F14-F76)</f>
        <v>1306570</v>
      </c>
      <c r="G77" s="869"/>
    </row>
    <row r="78" spans="1:8" s="893" customFormat="1" ht="12" customHeight="1" thickTop="1" x14ac:dyDescent="0.2">
      <c r="A78" s="1781"/>
      <c r="B78" s="1776"/>
      <c r="C78" s="1772"/>
      <c r="D78" s="1777" t="s">
        <v>2062</v>
      </c>
      <c r="E78" s="1774"/>
      <c r="F78" s="898">
        <v>0</v>
      </c>
      <c r="G78" s="899"/>
      <c r="H78" s="869"/>
    </row>
    <row r="79" spans="1:8" s="893" customFormat="1" ht="12" customHeight="1" thickBot="1" x14ac:dyDescent="0.25">
      <c r="A79" s="1782"/>
      <c r="B79" s="1776"/>
      <c r="C79" s="1772"/>
      <c r="D79" s="1777" t="s">
        <v>1901</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1803</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88000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1134981</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0</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0</v>
      </c>
      <c r="G125" s="930"/>
    </row>
    <row r="126" spans="1:7" x14ac:dyDescent="0.2">
      <c r="A126" s="927" t="s">
        <v>668</v>
      </c>
      <c r="B126" s="927" t="s">
        <v>2024</v>
      </c>
      <c r="C126" s="932">
        <v>4300</v>
      </c>
      <c r="D126" s="933" t="str">
        <f>'Revenues 9-14'!A204</f>
        <v>Total Title I</v>
      </c>
      <c r="E126" s="906"/>
      <c r="F126" s="1789">
        <f>SUM('Revenues 9-14'!C204,'Revenues 9-14'!D204,'Revenues 9-14'!F204,'Revenues 9-14'!G204)</f>
        <v>0</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675334</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1900118</v>
      </c>
    </row>
    <row r="175" spans="1:7" ht="12" customHeight="1" x14ac:dyDescent="0.2">
      <c r="A175" s="1770"/>
      <c r="B175" s="1784"/>
      <c r="C175" s="1785"/>
      <c r="D175" s="1786" t="s">
        <v>2057</v>
      </c>
      <c r="E175" s="1787"/>
      <c r="F175" s="1789">
        <f>'PCTC-OEPP 27-28'!F77-F174</f>
        <v>-593548</v>
      </c>
    </row>
    <row r="176" spans="1:7" ht="12" customHeight="1" x14ac:dyDescent="0.2">
      <c r="A176" s="1770"/>
      <c r="B176" s="1784"/>
      <c r="C176" s="1785"/>
      <c r="D176" s="1786" t="s">
        <v>1817</v>
      </c>
      <c r="E176" s="1787"/>
      <c r="F176" s="1789">
        <f>'Cap Outlay Deprec 26'!I18</f>
        <v>1036.7</v>
      </c>
    </row>
    <row r="177" spans="1:7" ht="12" customHeight="1" x14ac:dyDescent="0.2">
      <c r="A177" s="1770"/>
      <c r="B177" s="1784"/>
      <c r="C177" s="1785"/>
      <c r="D177" s="1786" t="s">
        <v>2058</v>
      </c>
      <c r="E177" s="1787"/>
      <c r="F177" s="1789">
        <f>F175+F176</f>
        <v>-592511.30000000005</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2059</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0" zoomScaleNormal="100" workbookViewId="0">
      <selection activeCell="B29" sqref="B29"/>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4" t="s">
        <v>1819</v>
      </c>
      <c r="B6" s="1535"/>
      <c r="C6" s="1535"/>
      <c r="D6" s="1535"/>
      <c r="E6" s="1535"/>
      <c r="F6" s="1535"/>
      <c r="G6" s="1536"/>
    </row>
    <row r="7" spans="1:7" ht="30.75" customHeight="1" x14ac:dyDescent="0.25">
      <c r="A7" s="2273" t="s">
        <v>1932</v>
      </c>
      <c r="B7" s="2274"/>
      <c r="C7" s="2274"/>
      <c r="D7" s="2274"/>
      <c r="E7" s="2274"/>
      <c r="F7" s="2274"/>
      <c r="G7" s="2275"/>
    </row>
    <row r="8" spans="1:7" ht="15.75" customHeight="1" x14ac:dyDescent="0.25">
      <c r="A8" s="2276" t="s">
        <v>1907</v>
      </c>
      <c r="B8" s="2277"/>
      <c r="C8" s="2277"/>
      <c r="D8" s="2277"/>
      <c r="E8" s="2277"/>
      <c r="F8" s="2277"/>
      <c r="G8" s="2278"/>
    </row>
    <row r="9" spans="1:7" ht="35.25" customHeight="1" x14ac:dyDescent="0.25">
      <c r="A9" s="2273" t="s">
        <v>1935</v>
      </c>
      <c r="B9" s="2274"/>
      <c r="C9" s="2274"/>
      <c r="D9" s="2274"/>
      <c r="E9" s="2274"/>
      <c r="F9" s="2274"/>
      <c r="G9" s="2275"/>
    </row>
    <row r="10" spans="1:7" ht="15" customHeight="1" x14ac:dyDescent="0.25">
      <c r="A10" s="1537" t="s">
        <v>1820</v>
      </c>
      <c r="B10" s="1538"/>
      <c r="C10" s="1538"/>
      <c r="D10" s="1538"/>
      <c r="E10" s="1538"/>
      <c r="F10" s="1538"/>
      <c r="G10" s="1539"/>
    </row>
    <row r="11" spans="1:7" ht="17.25" customHeight="1" x14ac:dyDescent="0.25">
      <c r="A11" s="2273" t="s">
        <v>1934</v>
      </c>
      <c r="B11" s="2274"/>
      <c r="C11" s="2274"/>
      <c r="D11" s="2274"/>
      <c r="E11" s="2274"/>
      <c r="F11" s="2274"/>
      <c r="G11" s="2275"/>
    </row>
    <row r="12" spans="1:7" ht="15" customHeight="1" x14ac:dyDescent="0.25">
      <c r="A12" s="1537" t="s">
        <v>1825</v>
      </c>
      <c r="B12" s="1538"/>
      <c r="C12" s="1538"/>
      <c r="D12" s="1538"/>
      <c r="E12" s="1538"/>
      <c r="F12" s="1538"/>
      <c r="G12" s="1539"/>
    </row>
    <row r="13" spans="1:7" ht="32.25" customHeight="1" x14ac:dyDescent="0.25">
      <c r="A13" s="2264" t="s">
        <v>1976</v>
      </c>
      <c r="B13" s="2265"/>
      <c r="C13" s="2265"/>
      <c r="D13" s="2265"/>
      <c r="E13" s="2265"/>
      <c r="F13" s="2265"/>
      <c r="G13" s="2266"/>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2079</v>
      </c>
      <c r="B17" s="1934"/>
      <c r="C17" s="1656"/>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B29" sqref="B2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84" t="s">
        <v>1977</v>
      </c>
      <c r="B11" s="2285"/>
      <c r="C11" s="2285"/>
      <c r="D11" s="228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637182</v>
      </c>
      <c r="F19" s="1799"/>
      <c r="G19" s="1801">
        <f>'Expenditures 15-22'!K33-SUM('Expenditures 15-22'!G33,'Expenditures 15-22'!I33)+'Expenditures 15-22'!D229</f>
        <v>637182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216076</v>
      </c>
      <c r="F21" s="1802"/>
      <c r="G21" s="1805">
        <f>'Expenditures 15-22'!K42-SUM('Expenditures 15-22'!G42,'Expenditures 15-22'!I42)+'Expenditures 15-22'!K120-SUM('Expenditures 15-22'!G120,'Expenditures 15-22'!I120)+'Expenditures 15-22'!K180-SUM('Expenditures 15-22'!G180,'Expenditures 15-22'!I180)+'Expenditures 15-22'!D238</f>
        <v>216076</v>
      </c>
      <c r="H21" s="987"/>
      <c r="I21" s="162"/>
    </row>
    <row r="22" spans="1:9" s="668" customFormat="1" ht="12" customHeight="1" x14ac:dyDescent="0.2">
      <c r="A22" s="994" t="s">
        <v>564</v>
      </c>
      <c r="B22" s="995"/>
      <c r="C22" s="993">
        <v>2200</v>
      </c>
      <c r="D22" s="1802"/>
      <c r="E22" s="1804">
        <f>'Expenditures 15-22'!K47-SUM('Expenditures 15-22'!G47,'Expenditures 15-22'!I47)+'Expenditures 15-22'!D243</f>
        <v>234851</v>
      </c>
      <c r="F22" s="1802"/>
      <c r="G22" s="1805">
        <f>'Expenditures 15-22'!K47-SUM('Expenditures 15-22'!G47,'Expenditures 15-22'!I47)+'Expenditures 15-22'!D243</f>
        <v>234851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218461</v>
      </c>
      <c r="F23" s="1802"/>
      <c r="G23" s="1804">
        <f>'Expenditures 15-22'!K53-SUM('Expenditures 15-22'!G53,'Expenditures 15-22'!I53)+'Expenditures 15-22'!D257+'Expenditures 15-22'!K330-SUM('Expenditures 15-22'!G330,'Expenditures 15-22'!I330)</f>
        <v>218461</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0</v>
      </c>
      <c r="F28" s="1806">
        <f>'Expenditures 15-22'!K61-SUM('Expenditures 15-22'!G61,'Expenditures 15-22'!I61)+'Expenditures 15-22'!K124-SUM('Expenditures 15-22'!G124,'Expenditures 15-22'!I124)+'Expenditures 15-22'!D266-E9</f>
        <v>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0</v>
      </c>
      <c r="E41" s="1806">
        <f>SUM(E19:E40)</f>
        <v>1306570</v>
      </c>
      <c r="F41" s="1806">
        <f>SUM(F19:F39)</f>
        <v>0</v>
      </c>
      <c r="G41" s="1806">
        <f>SUM(G19:G40)</f>
        <v>1306570</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0</v>
      </c>
      <c r="F43" s="1807" t="s">
        <v>473</v>
      </c>
      <c r="G43" s="1808">
        <f>F41</f>
        <v>0</v>
      </c>
    </row>
    <row r="44" spans="1:7" ht="12" customHeight="1" x14ac:dyDescent="0.2">
      <c r="A44" s="987"/>
      <c r="B44" s="162"/>
      <c r="C44" s="1001"/>
      <c r="D44" s="1807" t="s">
        <v>474</v>
      </c>
      <c r="E44" s="1808">
        <f>E41</f>
        <v>1306570</v>
      </c>
      <c r="F44" s="1807" t="s">
        <v>474</v>
      </c>
      <c r="G44" s="1808">
        <f>G41</f>
        <v>1306570</v>
      </c>
    </row>
    <row r="45" spans="1:7" ht="12" customHeight="1" x14ac:dyDescent="0.2">
      <c r="A45" s="987"/>
      <c r="B45" s="162"/>
      <c r="C45" s="162"/>
      <c r="D45" s="1809" t="s">
        <v>1006</v>
      </c>
      <c r="E45" s="1810">
        <f>(E43/E44)</f>
        <v>0</v>
      </c>
      <c r="F45" s="1809" t="s">
        <v>1006</v>
      </c>
      <c r="G45" s="1810">
        <f>(G43/G44)</f>
        <v>0</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7" activePane="bottomLeft" state="frozen"/>
      <selection activeCell="B29" sqref="B29"/>
      <selection pane="bottomLeft" activeCell="B29" sqref="B2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1" t="s">
        <v>1379</v>
      </c>
      <c r="B1" s="2301"/>
      <c r="C1" s="2301"/>
      <c r="D1" s="2301"/>
      <c r="E1" s="2301"/>
      <c r="F1" s="2301"/>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2" t="s">
        <v>1546</v>
      </c>
      <c r="B5" s="2303"/>
      <c r="C5" s="2304"/>
      <c r="D5" s="2304"/>
      <c r="E5" s="2304"/>
      <c r="F5" s="2304"/>
    </row>
    <row r="6" spans="1:10" ht="12" customHeight="1" x14ac:dyDescent="0.25">
      <c r="A6" s="1850"/>
      <c r="B6" s="1851"/>
      <c r="C6" s="2305" t="str">
        <f>COVER!A17</f>
        <v>NW Educ Cncl for Student Success</v>
      </c>
      <c r="D6" s="2305"/>
      <c r="E6" s="2305"/>
      <c r="F6" s="1852"/>
    </row>
    <row r="7" spans="1:10" ht="11.25" customHeight="1" thickBot="1" x14ac:dyDescent="0.3">
      <c r="A7" s="1850"/>
      <c r="B7" s="1851"/>
      <c r="C7" s="2306">
        <f>COVER!A13</f>
        <v>5016214046</v>
      </c>
      <c r="D7" s="2306"/>
      <c r="E7" s="2306"/>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2064</v>
      </c>
      <c r="D14" s="1865" t="s">
        <v>2064</v>
      </c>
      <c r="E14" s="1868" t="s">
        <v>2064</v>
      </c>
      <c r="F14" s="1867" t="s">
        <v>2080</v>
      </c>
      <c r="H14" s="1878">
        <f t="shared" si="0"/>
        <v>5</v>
      </c>
      <c r="I14" s="1878">
        <f t="shared" si="1"/>
        <v>5</v>
      </c>
      <c r="J14" s="1878">
        <f t="shared" si="2"/>
        <v>5</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73"/>
      <c r="B39" s="1873"/>
      <c r="C39" s="1873"/>
      <c r="D39" s="1873"/>
      <c r="E39" s="1873"/>
      <c r="F39" s="1873"/>
    </row>
    <row r="40" spans="1:11" s="1870" customFormat="1" ht="12" customHeight="1" x14ac:dyDescent="0.25">
      <c r="A40" s="1874" t="s">
        <v>1391</v>
      </c>
      <c r="B40" s="1875"/>
      <c r="C40" s="2296"/>
      <c r="D40" s="2296"/>
      <c r="E40" s="2296"/>
      <c r="F40" s="2297"/>
      <c r="H40" s="1879"/>
      <c r="I40" s="1879"/>
      <c r="J40" s="1879"/>
      <c r="K40" s="1879"/>
    </row>
    <row r="41" spans="1:11" s="1870" customFormat="1" ht="12" customHeight="1" x14ac:dyDescent="0.25">
      <c r="A41" s="2298"/>
      <c r="B41" s="2299"/>
      <c r="C41" s="2299"/>
      <c r="D41" s="2299"/>
      <c r="E41" s="2299"/>
      <c r="F41" s="2300"/>
      <c r="H41" s="1879"/>
      <c r="I41" s="1879"/>
      <c r="J41" s="1879"/>
      <c r="K41" s="1879"/>
    </row>
    <row r="42" spans="1:11" s="1870" customFormat="1" ht="12" customHeight="1" x14ac:dyDescent="0.25">
      <c r="A42" s="2298"/>
      <c r="B42" s="2299"/>
      <c r="C42" s="2299"/>
      <c r="D42" s="2299"/>
      <c r="E42" s="2299"/>
      <c r="F42" s="2300"/>
      <c r="H42" s="1879"/>
      <c r="I42" s="1879"/>
      <c r="J42" s="1879"/>
      <c r="K42" s="1879"/>
    </row>
    <row r="43" spans="1:11" s="1870" customFormat="1" ht="15" x14ac:dyDescent="0.25">
      <c r="A43" s="2287"/>
      <c r="B43" s="2288"/>
      <c r="C43" s="2288"/>
      <c r="D43" s="2288"/>
      <c r="E43" s="2288"/>
      <c r="F43" s="2289"/>
      <c r="H43" s="1879"/>
      <c r="I43" s="1879"/>
      <c r="J43" s="1879"/>
      <c r="K43" s="1879"/>
    </row>
    <row r="44" spans="1:11" s="1870" customFormat="1" ht="12" hidden="1" customHeight="1" x14ac:dyDescent="0.25">
      <c r="A44" s="2287"/>
      <c r="B44" s="2288"/>
      <c r="C44" s="2288"/>
      <c r="D44" s="2288"/>
      <c r="E44" s="2288"/>
      <c r="F44" s="2289"/>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NW Educ Cncl for Student Success</v>
      </c>
      <c r="J6" s="2315"/>
      <c r="Q6" s="1664"/>
    </row>
    <row r="7" spans="1:17" x14ac:dyDescent="0.2">
      <c r="A7" s="2316" t="s">
        <v>869</v>
      </c>
      <c r="B7" s="2317"/>
      <c r="C7" s="2317"/>
      <c r="D7" s="2317"/>
      <c r="E7" s="2318"/>
      <c r="F7" s="1017"/>
      <c r="G7" s="1009"/>
      <c r="H7" s="1016" t="s">
        <v>372</v>
      </c>
      <c r="I7" s="2319">
        <f>COVER!A13</f>
        <v>5016214046</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0</v>
      </c>
      <c r="F12" s="1039"/>
      <c r="G12" s="1811">
        <f t="shared" ref="G12:G18" si="0">SUM(E12:F12)</f>
        <v>0</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0</v>
      </c>
      <c r="F19" s="1813">
        <f t="shared" si="2"/>
        <v>0</v>
      </c>
      <c r="G19" s="1813">
        <f t="shared" si="2"/>
        <v>0</v>
      </c>
      <c r="H19" s="1813">
        <f t="shared" si="2"/>
        <v>0</v>
      </c>
      <c r="I19" s="1813">
        <f t="shared" si="2"/>
        <v>0</v>
      </c>
      <c r="J19" s="1813">
        <f t="shared" si="2"/>
        <v>0</v>
      </c>
    </row>
    <row r="20" spans="1:10" ht="13.5" thickTop="1" x14ac:dyDescent="0.2">
      <c r="A20" s="1035">
        <v>9</v>
      </c>
      <c r="B20" s="2326" t="s">
        <v>1981</v>
      </c>
      <c r="C20" s="2326"/>
      <c r="D20" s="2327"/>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1983</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NW Educ Cncl for Student Success</v>
      </c>
    </row>
    <row r="65" spans="2:2" x14ac:dyDescent="0.2">
      <c r="B65" s="1070">
        <f>COVER!A13</f>
        <v>5016214046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I14" sqref="I1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171450</xdr:colOff>
                <xdr:row>3</xdr:row>
                <xdr:rowOff>0</xdr:rowOff>
              </from>
              <to>
                <xdr:col>1</xdr:col>
                <xdr:colOff>1085850</xdr:colOff>
                <xdr:row>7</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1238250</xdr:colOff>
                <xdr:row>3</xdr:row>
                <xdr:rowOff>28575</xdr:rowOff>
              </from>
              <to>
                <xdr:col>1</xdr:col>
                <xdr:colOff>2152650</xdr:colOff>
                <xdr:row>7</xdr:row>
                <xdr:rowOff>66675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1987</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1988</v>
      </c>
      <c r="B4" s="2354"/>
      <c r="C4" s="2354"/>
      <c r="D4" s="2354"/>
      <c r="E4" s="2354"/>
      <c r="F4" s="2355"/>
      <c r="G4" s="1074"/>
      <c r="H4" s="1074"/>
    </row>
    <row r="5" spans="1:8" ht="14.25" customHeight="1" x14ac:dyDescent="0.2">
      <c r="A5" s="2356" t="s">
        <v>1984</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1919310</v>
      </c>
      <c r="C8" s="1815">
        <f>'Acct Summary 7-8'!D8</f>
        <v>0</v>
      </c>
      <c r="D8" s="1815">
        <f>'Acct Summary 7-8'!F8</f>
        <v>0</v>
      </c>
      <c r="E8" s="1815">
        <f>'Acct Summary 7-8'!I8</f>
        <v>0</v>
      </c>
      <c r="F8" s="1815">
        <f>SUM(B8:E8)</f>
        <v>1919310</v>
      </c>
    </row>
    <row r="9" spans="1:8" s="1079" customFormat="1" ht="14.25" customHeight="1" thickBot="1" x14ac:dyDescent="0.25">
      <c r="A9" s="1078" t="s">
        <v>1369</v>
      </c>
      <c r="B9" s="1816">
        <f>'Acct Summary 7-8'!C17</f>
        <v>1809502</v>
      </c>
      <c r="C9" s="1816">
        <f>'Acct Summary 7-8'!D17</f>
        <v>0</v>
      </c>
      <c r="D9" s="1816">
        <f>'Acct Summary 7-8'!F17</f>
        <v>0</v>
      </c>
      <c r="E9" s="1815"/>
      <c r="F9" s="1815">
        <f>SUM(B9:E9)</f>
        <v>1809502</v>
      </c>
    </row>
    <row r="10" spans="1:8" s="1079" customFormat="1" ht="14.25" thickTop="1" thickBot="1" x14ac:dyDescent="0.25">
      <c r="A10" s="1080" t="s">
        <v>1370</v>
      </c>
      <c r="B10" s="1817">
        <f>(B8-B9)</f>
        <v>109808</v>
      </c>
      <c r="C10" s="1817">
        <f>(C8-C9)</f>
        <v>0</v>
      </c>
      <c r="D10" s="1817">
        <f>(D8-D9)</f>
        <v>0</v>
      </c>
      <c r="E10" s="1816">
        <f>(E8-E9)</f>
        <v>0</v>
      </c>
      <c r="F10" s="1818">
        <f>SUM(F8-F9)</f>
        <v>109808</v>
      </c>
    </row>
    <row r="11" spans="1:8" s="1079" customFormat="1" ht="14.25" thickTop="1" thickBot="1" x14ac:dyDescent="0.25">
      <c r="A11" s="1081" t="s">
        <v>1985</v>
      </c>
      <c r="B11" s="1819">
        <f>'Acct Summary 7-8'!C81</f>
        <v>707723</v>
      </c>
      <c r="C11" s="1819">
        <f>'Acct Summary 7-8'!D81</f>
        <v>0</v>
      </c>
      <c r="D11" s="1819">
        <f>'Acct Summary 7-8'!F81</f>
        <v>0</v>
      </c>
      <c r="E11" s="1819">
        <f>'Acct Summary 7-8'!I81</f>
        <v>0</v>
      </c>
      <c r="F11" s="1820">
        <f>SUM(B11:E11)</f>
        <v>707723</v>
      </c>
    </row>
    <row r="12" spans="1:8" ht="16.5" customHeight="1" thickTop="1" x14ac:dyDescent="0.2">
      <c r="A12" s="1082"/>
      <c r="B12" s="1083"/>
      <c r="C12" s="2338" t="str">
        <f>IF(AND(F10&lt;0,F11&gt;=0,ABS(F10*3)&gt;ABS(F11)),A16,IF(AND(F10&lt;0,F11&gt;0,ABS(F10*3)&lt;=ABS(F11)),A17,IF(AND(F10&lt;0,F11&lt;0),A16,IF(F11=0,A19,A18))))</f>
        <v>Balanced - no deficit reduction plan is required.</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5016214046</v>
      </c>
    </row>
    <row r="3" spans="1:2" x14ac:dyDescent="0.2">
      <c r="A3" t="s">
        <v>956</v>
      </c>
      <c r="B3" s="138" t="str">
        <f>COVER!A15</f>
        <v>COOK</v>
      </c>
    </row>
    <row r="4" spans="1:2" x14ac:dyDescent="0.2">
      <c r="A4" t="s">
        <v>1007</v>
      </c>
      <c r="B4" s="138" t="str">
        <f>COVER!A17</f>
        <v>NW Educ Cncl for Student Success</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066-005340</v>
      </c>
    </row>
    <row r="16" spans="1:2" x14ac:dyDescent="0.2">
      <c r="A16" t="s">
        <v>422</v>
      </c>
      <c r="B16" s="138" t="str">
        <f>COVER!T13</f>
        <v>EVANS, MARSHALL AND PEASE, P.C.</v>
      </c>
    </row>
    <row r="17" spans="1:2" x14ac:dyDescent="0.2">
      <c r="A17" t="s">
        <v>884</v>
      </c>
      <c r="B17" s="138" t="str">
        <f>COVER!T15</f>
        <v>CHRISTOPHER M. SCALET, CPA</v>
      </c>
    </row>
    <row r="18" spans="1:2" x14ac:dyDescent="0.2">
      <c r="A18" t="s">
        <v>1150</v>
      </c>
      <c r="B18" s="138" t="str">
        <f>COVER!T17</f>
        <v>1875 HICKS ROAD</v>
      </c>
    </row>
    <row r="19" spans="1:2" x14ac:dyDescent="0.2">
      <c r="A19" t="s">
        <v>886</v>
      </c>
      <c r="B19" s="138" t="str">
        <f>COVER!T25</f>
        <v>CHRIS@EMPCPA.COM</v>
      </c>
    </row>
    <row r="20" spans="1:2" x14ac:dyDescent="0.2">
      <c r="A20" t="s">
        <v>887</v>
      </c>
      <c r="B20" s="138" t="str">
        <f>COVER!T19</f>
        <v>ROLLING MEADOWS</v>
      </c>
    </row>
    <row r="21" spans="1:2" x14ac:dyDescent="0.2">
      <c r="A21" t="s">
        <v>479</v>
      </c>
      <c r="B21" s="138" t="str">
        <f>COVER!X19</f>
        <v>ILLINOIS</v>
      </c>
    </row>
    <row r="22" spans="1:2" x14ac:dyDescent="0.2">
      <c r="A22" t="s">
        <v>888</v>
      </c>
      <c r="B22" s="138">
        <f>COVER!Z19</f>
        <v>60008</v>
      </c>
    </row>
    <row r="23" spans="1:2" x14ac:dyDescent="0.2">
      <c r="A23" t="s">
        <v>1152</v>
      </c>
      <c r="B23" s="138" t="str">
        <f>COVER!T21</f>
        <v>847-221-5700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707723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707723</v>
      </c>
      <c r="D92" s="2" t="str">
        <f t="shared" si="0"/>
        <v>Error?</v>
      </c>
    </row>
    <row r="93" spans="1:4" x14ac:dyDescent="0.2">
      <c r="A93" s="5">
        <v>32</v>
      </c>
      <c r="B93" s="138">
        <f>'Assets-Liab 5-6'!C41</f>
        <v>707723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104056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104056</v>
      </c>
      <c r="C279" s="2" t="s">
        <v>573</v>
      </c>
      <c r="D279" s="2" t="str">
        <f t="shared" si="3"/>
        <v>Error?</v>
      </c>
    </row>
    <row r="280" spans="1:4" x14ac:dyDescent="0.2">
      <c r="A280" s="5">
        <v>219</v>
      </c>
      <c r="B280" s="138">
        <f>'Assets-Liab 5-6'!M40</f>
        <v>104056</v>
      </c>
      <c r="D280" s="2" t="str">
        <f t="shared" si="3"/>
        <v>Error?</v>
      </c>
    </row>
    <row r="281" spans="1:4" x14ac:dyDescent="0.2">
      <c r="A281" s="5">
        <v>220</v>
      </c>
      <c r="B281" s="138">
        <f>'Assets-Liab 5-6'!M41</f>
        <v>104056</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42178</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42178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35730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35730</v>
      </c>
      <c r="C727" s="2" t="s">
        <v>573</v>
      </c>
      <c r="D727" s="2" t="str">
        <f t="shared" si="10"/>
        <v>Error?</v>
      </c>
    </row>
    <row r="728" spans="1:4" x14ac:dyDescent="0.2">
      <c r="A728" s="5">
        <v>667</v>
      </c>
      <c r="B728" s="138">
        <f>'Expenditures 15-22'!C44</f>
        <v>105734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105734</v>
      </c>
      <c r="C731" s="2" t="s">
        <v>573</v>
      </c>
      <c r="D731" s="2" t="str">
        <f t="shared" si="10"/>
        <v>Error?</v>
      </c>
    </row>
    <row r="732" spans="1:4" x14ac:dyDescent="0.2">
      <c r="A732" s="5">
        <v>671</v>
      </c>
      <c r="B732" s="138">
        <f>'Expenditures 15-22'!C49</f>
        <v>174318</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174318</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315782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357960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6451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6451</v>
      </c>
      <c r="C785" s="2" t="s">
        <v>573</v>
      </c>
      <c r="D785" s="2" t="str">
        <f t="shared" si="11"/>
        <v>Error?</v>
      </c>
    </row>
    <row r="786" spans="1:4" x14ac:dyDescent="0.2">
      <c r="A786" s="5">
        <v>725</v>
      </c>
      <c r="B786" s="138">
        <f>'Expenditures 15-22'!D44</f>
        <v>30465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30465</v>
      </c>
      <c r="C789" s="2" t="s">
        <v>573</v>
      </c>
      <c r="D789" s="2" t="str">
        <f t="shared" si="11"/>
        <v>Error?</v>
      </c>
    </row>
    <row r="790" spans="1:4" x14ac:dyDescent="0.2">
      <c r="A790" s="5">
        <v>729</v>
      </c>
      <c r="B790" s="138">
        <f>'Expenditures 15-22'!D49</f>
        <v>36338</v>
      </c>
      <c r="D790" s="2" t="str">
        <f t="shared" si="11"/>
        <v>Error?</v>
      </c>
    </row>
    <row r="791" spans="1:4" x14ac:dyDescent="0.2">
      <c r="A791" s="5">
        <v>730</v>
      </c>
      <c r="B791" s="138">
        <f>'Expenditures 15-22'!D50</f>
        <v>0</v>
      </c>
      <c r="D791" s="2" t="str">
        <f t="shared" si="11"/>
        <v>Error?</v>
      </c>
    </row>
    <row r="792" spans="1:4" x14ac:dyDescent="0.2">
      <c r="A792" s="5">
        <v>731</v>
      </c>
      <c r="B792" s="138">
        <f>'Expenditures 15-22'!D53</f>
        <v>36338</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73254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73254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280916</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280916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173895</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173895</v>
      </c>
      <c r="C843" s="2" t="s">
        <v>573</v>
      </c>
      <c r="D843" s="2" t="str">
        <f t="shared" si="12"/>
        <v>Error?</v>
      </c>
    </row>
    <row r="844" spans="1:4" x14ac:dyDescent="0.2">
      <c r="A844" s="5">
        <v>783</v>
      </c>
      <c r="B844" s="138">
        <f>'Expenditures 15-22'!E44</f>
        <v>95248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95248</v>
      </c>
      <c r="C847" s="2" t="s">
        <v>573</v>
      </c>
      <c r="D847" s="2" t="str">
        <f t="shared" si="12"/>
        <v>Error?</v>
      </c>
    </row>
    <row r="848" spans="1:4" x14ac:dyDescent="0.2">
      <c r="A848" s="5">
        <v>787</v>
      </c>
      <c r="B848" s="138">
        <f>'Expenditures 15-22'!E49</f>
        <v>6941</v>
      </c>
      <c r="D848" s="2" t="str">
        <f t="shared" si="12"/>
        <v>Error?</v>
      </c>
    </row>
    <row r="849" spans="1:4" x14ac:dyDescent="0.2">
      <c r="A849" s="5">
        <v>788</v>
      </c>
      <c r="B849" s="138">
        <f>'Expenditures 15-22'!E50</f>
        <v>0</v>
      </c>
      <c r="D849" s="2" t="str">
        <f t="shared" si="12"/>
        <v>Error?</v>
      </c>
    </row>
    <row r="850" spans="1:4" x14ac:dyDescent="0.2">
      <c r="A850" s="5">
        <v>789</v>
      </c>
      <c r="B850" s="138">
        <f>'Expenditures 15-22'!E53</f>
        <v>6941</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276084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557000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314088</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314088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3404</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3404</v>
      </c>
      <c r="C905" s="2" t="s">
        <v>573</v>
      </c>
      <c r="D905" s="2" t="str">
        <f t="shared" si="13"/>
        <v>Error?</v>
      </c>
    </row>
    <row r="906" spans="1:4" x14ac:dyDescent="0.2">
      <c r="A906" s="5">
        <v>845</v>
      </c>
      <c r="B906" s="138">
        <f>'Expenditures 15-22'!F49</f>
        <v>504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504</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3908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317996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501565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501565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501565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360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360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360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360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1138747</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1138747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216076</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216076</v>
      </c>
      <c r="C1115" s="2" t="s">
        <v>573</v>
      </c>
      <c r="D1115" s="2" t="str">
        <f t="shared" si="16"/>
        <v>Error?</v>
      </c>
    </row>
    <row r="1116" spans="1:4" x14ac:dyDescent="0.2">
      <c r="A1116" s="5">
        <v>1055</v>
      </c>
      <c r="B1116" s="138">
        <f>'Expenditures 15-22'!K44</f>
        <v>234851</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234851</v>
      </c>
      <c r="C1119" s="2" t="s">
        <v>573</v>
      </c>
      <c r="D1119" s="2" t="str">
        <f t="shared" si="16"/>
        <v>Error?</v>
      </c>
    </row>
    <row r="1120" spans="1:4" x14ac:dyDescent="0.2">
      <c r="A1120" s="5">
        <v>1059</v>
      </c>
      <c r="B1120" s="138">
        <f>'Expenditures 15-22'!K49</f>
        <v>219828</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219828</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670755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1809502</v>
      </c>
      <c r="C1152" s="2" t="s">
        <v>573</v>
      </c>
      <c r="D1152" s="2" t="str">
        <f t="shared" si="17"/>
        <v>Error?</v>
      </c>
    </row>
    <row r="1153" spans="1:4" x14ac:dyDescent="0.2">
      <c r="A1153" s="5">
        <v>1092</v>
      </c>
      <c r="B1153" s="138">
        <f>'Expenditures 15-22'!K115</f>
        <v>109808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597915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707723</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104056</v>
      </c>
      <c r="D2012" s="2" t="str">
        <f t="shared" si="30"/>
        <v>Error?</v>
      </c>
    </row>
    <row r="2013" spans="1:4" x14ac:dyDescent="0.2">
      <c r="A2013" s="5">
        <v>1952</v>
      </c>
      <c r="B2013" s="138">
        <f>'Cap Outlay Deprec 26'!C16</f>
        <v>104056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104056</v>
      </c>
      <c r="C2030" s="2" t="s">
        <v>573</v>
      </c>
      <c r="D2030" s="2" t="str">
        <f t="shared" si="30"/>
        <v>Error?</v>
      </c>
    </row>
    <row r="2031" spans="1:4" x14ac:dyDescent="0.2">
      <c r="A2031" s="5">
        <v>1970</v>
      </c>
      <c r="B2031" s="138">
        <f>'Cap Outlay Deprec 26'!F16</f>
        <v>104056</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101269</v>
      </c>
      <c r="D2036" s="2" t="str">
        <f t="shared" si="30"/>
        <v>Error?</v>
      </c>
    </row>
    <row r="2037" spans="1:4" x14ac:dyDescent="0.2">
      <c r="A2037" s="5">
        <v>1976</v>
      </c>
      <c r="B2037" s="138">
        <f>'Cap Outlay Deprec 26'!H16</f>
        <v>101269</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900</v>
      </c>
      <c r="D2042" s="2" t="str">
        <f t="shared" si="30"/>
        <v>Error?</v>
      </c>
    </row>
    <row r="2043" spans="1:4" x14ac:dyDescent="0.2">
      <c r="A2043" s="5">
        <v>1982</v>
      </c>
      <c r="B2043" s="138">
        <f>'Cap Outlay Deprec 26'!I16</f>
        <v>900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102169</v>
      </c>
      <c r="C2054" s="2" t="s">
        <v>573</v>
      </c>
      <c r="D2054" s="2" t="str">
        <f t="shared" si="31"/>
        <v>Error?</v>
      </c>
    </row>
    <row r="2055" spans="1:4" x14ac:dyDescent="0.2">
      <c r="A2055" s="5">
        <v>1994</v>
      </c>
      <c r="B2055" s="138">
        <f>'Cap Outlay Deprec 26'!K16</f>
        <v>102169</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1887</v>
      </c>
      <c r="C2060" s="2" t="s">
        <v>573</v>
      </c>
      <c r="D2060" s="2" t="str">
        <f t="shared" si="31"/>
        <v>Error?</v>
      </c>
    </row>
    <row r="2061" spans="1:4" x14ac:dyDescent="0.2">
      <c r="A2061" s="5">
        <v>2000</v>
      </c>
      <c r="B2061" s="138">
        <f>'Cap Outlay Deprec 26'!L16</f>
        <v>1887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108995</v>
      </c>
      <c r="C2551" s="2" t="s">
        <v>573</v>
      </c>
      <c r="D2551" s="2" t="str">
        <f t="shared" si="38"/>
        <v>Error?</v>
      </c>
    </row>
    <row r="2552" spans="1:4" x14ac:dyDescent="0.2">
      <c r="A2552" s="10">
        <v>2491</v>
      </c>
      <c r="D2552" s="2" t="str">
        <f t="shared" si="38"/>
        <v>OK</v>
      </c>
    </row>
    <row r="2553" spans="1:4" x14ac:dyDescent="0.2">
      <c r="A2553" s="5">
        <v>2492</v>
      </c>
      <c r="B2553" s="138">
        <f>'Acct Summary 7-8'!C6</f>
        <v>1134981</v>
      </c>
      <c r="C2553" s="2" t="s">
        <v>573</v>
      </c>
      <c r="D2553" s="2" t="str">
        <f t="shared" si="38"/>
        <v>Error?</v>
      </c>
    </row>
    <row r="2554" spans="1:4" x14ac:dyDescent="0.2">
      <c r="A2554" s="5">
        <v>2493</v>
      </c>
      <c r="B2554" s="138">
        <f>'Acct Summary 7-8'!C7</f>
        <v>675334</v>
      </c>
      <c r="C2554" s="2" t="s">
        <v>573</v>
      </c>
      <c r="D2554" s="2" t="str">
        <f t="shared" si="38"/>
        <v>Error?</v>
      </c>
    </row>
    <row r="2555" spans="1:4" x14ac:dyDescent="0.2">
      <c r="A2555" s="5">
        <v>2494</v>
      </c>
      <c r="B2555" s="138">
        <f>'Acct Summary 7-8'!C8</f>
        <v>1919310</v>
      </c>
      <c r="C2555" s="2" t="s">
        <v>573</v>
      </c>
      <c r="D2555" s="2" t="str">
        <f t="shared" si="38"/>
        <v>Error?</v>
      </c>
    </row>
    <row r="2556" spans="1:4" x14ac:dyDescent="0.2">
      <c r="A2556" s="5">
        <v>2495</v>
      </c>
      <c r="B2556" s="138">
        <f>'Acct Summary 7-8'!C12</f>
        <v>1138747</v>
      </c>
      <c r="C2556" s="2" t="s">
        <v>573</v>
      </c>
      <c r="D2556" s="2" t="str">
        <f t="shared" si="38"/>
        <v>Error?</v>
      </c>
    </row>
    <row r="2557" spans="1:4" x14ac:dyDescent="0.2">
      <c r="A2557" s="5">
        <v>2496</v>
      </c>
      <c r="B2557" s="138">
        <f>'Acct Summary 7-8'!C13</f>
        <v>670755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1809502</v>
      </c>
      <c r="C2561" s="2" t="s">
        <v>573</v>
      </c>
      <c r="D2561" s="2" t="str">
        <f t="shared" si="39"/>
        <v>Error?</v>
      </c>
    </row>
    <row r="2562" spans="1:4" x14ac:dyDescent="0.2">
      <c r="A2562" s="5">
        <v>2501</v>
      </c>
      <c r="B2562" s="138">
        <f>'Acct Summary 7-8'!C20</f>
        <v>109808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109808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707723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9162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1928472</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9162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1818664</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707723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88000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3692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3692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1803</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15500</v>
      </c>
      <c r="D5119" s="2" t="str">
        <f t="shared" ref="D5119:D5182" si="79">IF(ISBLANK(B5119),"OK",IF(A5119-B5119=0,"OK","Error?"))</f>
        <v>Error?</v>
      </c>
    </row>
    <row r="5120" spans="1:4" x14ac:dyDescent="0.2">
      <c r="A5120" s="5">
        <v>5059</v>
      </c>
      <c r="B5120" s="138">
        <f>'Revenues 9-14'!C108</f>
        <v>105303</v>
      </c>
      <c r="C5120" s="2" t="s">
        <v>573</v>
      </c>
      <c r="D5120" s="2" t="str">
        <f t="shared" si="79"/>
        <v>Error?</v>
      </c>
    </row>
    <row r="5121" spans="1:4" x14ac:dyDescent="0.2">
      <c r="A5121" s="5">
        <v>5060</v>
      </c>
      <c r="B5121" s="138">
        <f>'Revenues 9-14'!C109</f>
        <v>108995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1134981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1134981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1134981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1134981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675334</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675334</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675334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675334</v>
      </c>
      <c r="C5326" s="2" t="s">
        <v>573</v>
      </c>
      <c r="D5326" s="2" t="str">
        <f t="shared" si="82"/>
        <v>Error?</v>
      </c>
    </row>
    <row r="5327" spans="1:5" x14ac:dyDescent="0.2">
      <c r="A5327" s="5">
        <v>5266</v>
      </c>
      <c r="B5327" s="138">
        <f>'Revenues 9-14'!C268</f>
        <v>1919310</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109808</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0.15515674918011707</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1367</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1367</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1367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1367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1367</v>
      </c>
      <c r="D7624" s="2" t="str">
        <f t="shared" si="124"/>
        <v>Error?</v>
      </c>
      <c r="E7624" s="2" t="s">
        <v>19</v>
      </c>
    </row>
    <row r="7625" spans="1:5" x14ac:dyDescent="0.2">
      <c r="A7625">
        <f t="shared" si="123"/>
        <v>7564</v>
      </c>
      <c r="B7625" s="138">
        <f>'Cap Outlay Deprec 26'!I17</f>
        <v>136.69999999999999</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1036.7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1" t="s">
        <v>1191</v>
      </c>
      <c r="B2" s="2401"/>
      <c r="C2" s="2401"/>
      <c r="D2" s="2401"/>
      <c r="E2" s="2401"/>
      <c r="F2" s="2401"/>
      <c r="G2" s="2401"/>
      <c r="H2" s="2401"/>
      <c r="I2" s="2401"/>
      <c r="J2" s="2401"/>
      <c r="K2" s="2401"/>
      <c r="L2" s="2401"/>
    </row>
    <row r="3" spans="1:29" ht="13.5" customHeight="1" x14ac:dyDescent="0.2">
      <c r="A3" s="2387" t="s">
        <v>1190</v>
      </c>
      <c r="B3" s="2387"/>
      <c r="C3" s="2387"/>
      <c r="D3" s="2387"/>
      <c r="E3" s="2387"/>
      <c r="F3" s="2387"/>
      <c r="G3" s="2387"/>
      <c r="H3" s="2387"/>
      <c r="I3" s="2387"/>
      <c r="J3" s="2387"/>
      <c r="K3" s="2387"/>
      <c r="L3" s="2387"/>
    </row>
    <row r="4" spans="1:29" ht="13.5" customHeight="1" x14ac:dyDescent="0.2">
      <c r="A4" s="2401" t="s">
        <v>1989</v>
      </c>
      <c r="B4" s="2418"/>
      <c r="C4" s="2418"/>
      <c r="D4" s="2418"/>
      <c r="E4" s="2418"/>
      <c r="F4" s="2418"/>
      <c r="G4" s="2418"/>
      <c r="H4" s="2418"/>
      <c r="I4" s="2418"/>
      <c r="J4" s="2418"/>
      <c r="K4" s="2418"/>
      <c r="L4" s="241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1" t="str">
        <f>COVER!A17</f>
        <v>NW Educ Cncl for Student Success</v>
      </c>
      <c r="B7" s="2382"/>
      <c r="C7" s="2382"/>
      <c r="D7" s="2419"/>
      <c r="E7" s="2420">
        <f>COVER!A13</f>
        <v>5016214046</v>
      </c>
      <c r="F7" s="2421"/>
      <c r="G7" s="2388" t="str">
        <f>COVER!T23</f>
        <v>066-005340</v>
      </c>
      <c r="H7" s="2389"/>
      <c r="I7" s="2389"/>
      <c r="J7" s="2389"/>
      <c r="K7" s="2389"/>
      <c r="L7" s="239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1"/>
      <c r="B9" s="2392"/>
      <c r="C9" s="2392"/>
      <c r="D9" s="2392"/>
      <c r="E9" s="2392"/>
      <c r="F9" s="2393"/>
      <c r="G9" s="2394" t="str">
        <f>COVER!T13</f>
        <v>EVANS, MARSHALL AND PEASE, P.C.</v>
      </c>
      <c r="H9" s="2395"/>
      <c r="I9" s="2395"/>
      <c r="J9" s="2395"/>
      <c r="K9" s="2395"/>
      <c r="L9" s="2396"/>
    </row>
    <row r="10" spans="1:29" ht="13.5" customHeight="1" x14ac:dyDescent="0.2">
      <c r="A10" s="2378">
        <f>COVER!A38</f>
        <v>0</v>
      </c>
      <c r="B10" s="2379"/>
      <c r="C10" s="2379"/>
      <c r="D10" s="2379"/>
      <c r="E10" s="2379"/>
      <c r="F10" s="2380"/>
      <c r="G10" s="2394" t="str">
        <f>COVER!T17</f>
        <v>1875 HICKS ROAD</v>
      </c>
      <c r="H10" s="2407"/>
      <c r="I10" s="2407"/>
      <c r="J10" s="2407"/>
      <c r="K10" s="2407"/>
      <c r="L10" s="2408"/>
    </row>
    <row r="11" spans="1:29" ht="13.5" customHeight="1" x14ac:dyDescent="0.2">
      <c r="A11" s="1184" t="s">
        <v>1519</v>
      </c>
      <c r="B11" s="1185"/>
      <c r="C11" s="1186"/>
      <c r="D11" s="1191"/>
      <c r="E11" s="1186"/>
      <c r="F11" s="1190"/>
      <c r="G11" s="2394" t="str">
        <f>COVER!T19</f>
        <v>ROLLING MEADOWS</v>
      </c>
      <c r="H11" s="2407"/>
      <c r="I11" s="2407"/>
      <c r="J11" s="2407"/>
      <c r="K11" s="2407"/>
      <c r="L11" s="2408"/>
    </row>
    <row r="12" spans="1:29" ht="13.5" customHeight="1" x14ac:dyDescent="0.2">
      <c r="A12" s="2412" t="s">
        <v>1518</v>
      </c>
      <c r="B12" s="2413"/>
      <c r="C12" s="2413"/>
      <c r="D12" s="2413"/>
      <c r="E12" s="2413"/>
      <c r="F12" s="2414"/>
      <c r="G12" s="2409"/>
      <c r="H12" s="2410"/>
      <c r="I12" s="2410"/>
      <c r="J12" s="2410"/>
      <c r="K12" s="2410"/>
      <c r="L12" s="2411"/>
    </row>
    <row r="13" spans="1:29" ht="13.5" customHeight="1" x14ac:dyDescent="0.2">
      <c r="A13" s="2394"/>
      <c r="B13" s="2407"/>
      <c r="C13" s="2407"/>
      <c r="D13" s="2407"/>
      <c r="E13" s="2407"/>
      <c r="F13" s="2408"/>
      <c r="G13" s="2402" t="s">
        <v>1520</v>
      </c>
      <c r="H13" s="2403"/>
      <c r="I13" s="2415" t="str">
        <f>COVER!T25</f>
        <v>CHRIS@EMPCPA.COM</v>
      </c>
      <c r="J13" s="2416"/>
      <c r="K13" s="2416"/>
      <c r="L13" s="2417"/>
    </row>
    <row r="14" spans="1:29" ht="13.5" customHeight="1" x14ac:dyDescent="0.2">
      <c r="A14" s="2394" t="str">
        <f>COVER!A19</f>
        <v>2121 SOUTH GOEBBERT ROAD</v>
      </c>
      <c r="B14" s="2407"/>
      <c r="C14" s="2407"/>
      <c r="D14" s="2407"/>
      <c r="E14" s="2407"/>
      <c r="F14" s="2408"/>
      <c r="G14" s="1195" t="s">
        <v>1185</v>
      </c>
      <c r="H14" s="1193"/>
      <c r="I14" s="1193"/>
      <c r="J14" s="1193"/>
      <c r="K14" s="1193"/>
      <c r="L14" s="1194"/>
    </row>
    <row r="15" spans="1:29" ht="13.5" customHeight="1" x14ac:dyDescent="0.2">
      <c r="A15" s="2394" t="str">
        <f>COVER!A21</f>
        <v>ARLINGTON HEIGHTS</v>
      </c>
      <c r="B15" s="2407"/>
      <c r="C15" s="2407"/>
      <c r="D15" s="2407"/>
      <c r="E15" s="2407"/>
      <c r="F15" s="2408"/>
      <c r="G15" s="2404" t="str">
        <f>COVER!T15</f>
        <v>CHRISTOPHER M. SCALET, CPA</v>
      </c>
      <c r="H15" s="2405"/>
      <c r="I15" s="2405"/>
      <c r="J15" s="2405"/>
      <c r="K15" s="2405"/>
      <c r="L15" s="2406"/>
    </row>
    <row r="16" spans="1:29" ht="12.2" customHeight="1" x14ac:dyDescent="0.2">
      <c r="A16" s="2384">
        <f>COVER!A25</f>
        <v>60005</v>
      </c>
      <c r="B16" s="2385"/>
      <c r="C16" s="2385"/>
      <c r="D16" s="2385"/>
      <c r="E16" s="2385"/>
      <c r="F16" s="2386"/>
      <c r="G16" s="2397"/>
      <c r="H16" s="2398"/>
      <c r="I16" s="2398"/>
      <c r="J16" s="2398"/>
      <c r="K16" s="2398"/>
      <c r="L16" s="2399"/>
    </row>
    <row r="17" spans="1:13" ht="12.2" customHeight="1" x14ac:dyDescent="0.2">
      <c r="A17" s="2400"/>
      <c r="B17" s="2385"/>
      <c r="C17" s="2385"/>
      <c r="D17" s="2385"/>
      <c r="E17" s="2385"/>
      <c r="F17" s="2386"/>
      <c r="G17" s="1195" t="s">
        <v>1184</v>
      </c>
      <c r="H17" s="1193"/>
      <c r="I17" s="1193"/>
      <c r="J17" s="1193"/>
      <c r="K17" s="1197" t="s">
        <v>1183</v>
      </c>
      <c r="L17" s="1190"/>
      <c r="M17" s="1183"/>
    </row>
    <row r="18" spans="1:13" ht="12.2" customHeight="1" x14ac:dyDescent="0.2">
      <c r="A18" s="2378"/>
      <c r="B18" s="2379"/>
      <c r="C18" s="2379"/>
      <c r="D18" s="2379"/>
      <c r="E18" s="2379"/>
      <c r="F18" s="2380"/>
      <c r="G18" s="2381" t="str">
        <f>COVER!T21</f>
        <v>847-221-5700</v>
      </c>
      <c r="H18" s="2382"/>
      <c r="I18" s="2382"/>
      <c r="J18" s="2382"/>
      <c r="K18" s="2381" t="str">
        <f>COVER!X21</f>
        <v>847-221-5701</v>
      </c>
      <c r="L18" s="238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NW Educ Cncl for Student Success</v>
      </c>
      <c r="B1" s="2418"/>
      <c r="C1" s="2418"/>
      <c r="D1" s="2418"/>
    </row>
    <row r="2" spans="1:11" s="1212" customFormat="1" ht="12.75" x14ac:dyDescent="0.2">
      <c r="A2" s="2423">
        <f>'Single Audit Cover'!E7</f>
        <v>5016214046</v>
      </c>
      <c r="B2" s="2424"/>
      <c r="C2" s="2424"/>
      <c r="D2" s="2424"/>
    </row>
    <row r="3" spans="1:11" s="1212" customFormat="1" ht="12.75" x14ac:dyDescent="0.2">
      <c r="A3" s="2422" t="s">
        <v>1513</v>
      </c>
      <c r="B3" s="2418"/>
      <c r="C3" s="2418"/>
      <c r="D3" s="241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NW Educ Cncl for Student Success</v>
      </c>
      <c r="B1" s="2426"/>
      <c r="C1" s="2426"/>
      <c r="D1" s="2426"/>
      <c r="E1" s="2426"/>
    </row>
    <row r="2" spans="1:5" x14ac:dyDescent="0.2">
      <c r="A2" s="2427">
        <f>'Single Audit Cover'!E7</f>
        <v>5016214046</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675334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675334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675334</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675334</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7" t="str">
        <f>'Single Audit Cover'!A7</f>
        <v>NW Educ Cncl for Student Success</v>
      </c>
      <c r="C1" s="2430"/>
      <c r="D1" s="2430"/>
      <c r="E1" s="2430"/>
      <c r="F1" s="2430"/>
      <c r="G1" s="2430"/>
      <c r="H1" s="2430"/>
      <c r="I1" s="2430"/>
      <c r="J1" s="2430"/>
      <c r="K1" s="2430"/>
      <c r="L1" s="2430"/>
      <c r="M1" s="2430"/>
    </row>
    <row r="2" spans="2:14" ht="15" x14ac:dyDescent="0.2">
      <c r="B2" s="2431">
        <f>'Single Audit Cover'!E7</f>
        <v>5016214046</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5" t="str">
        <f>'Single Audit Cover'!A7</f>
        <v>NW Educ Cncl for Student Success</v>
      </c>
      <c r="B1" s="2435"/>
      <c r="C1" s="2435"/>
      <c r="D1" s="2435"/>
      <c r="E1" s="2435"/>
      <c r="F1" s="2435"/>
    </row>
    <row r="2" spans="1:7" ht="13.5" customHeight="1" x14ac:dyDescent="0.2">
      <c r="A2" s="2431">
        <f>'Single Audit Cover'!E7</f>
        <v>5016214046</v>
      </c>
      <c r="B2" s="2431"/>
      <c r="C2" s="2431"/>
      <c r="D2" s="2431"/>
      <c r="E2" s="2431"/>
      <c r="F2" s="2431"/>
      <c r="G2" s="1272"/>
    </row>
    <row r="3" spans="1:7" ht="15.75" customHeight="1" x14ac:dyDescent="0.2">
      <c r="A3" s="2436" t="s">
        <v>1271</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7"/>
      <c r="D5" s="317"/>
    </row>
    <row r="6" spans="1:7" ht="13.5" customHeight="1" x14ac:dyDescent="0.2">
      <c r="A6" s="1273" t="s">
        <v>1728</v>
      </c>
      <c r="C6" s="317"/>
      <c r="D6" s="317"/>
    </row>
    <row r="7" spans="1:7" ht="60.95" customHeight="1" x14ac:dyDescent="0.2">
      <c r="A7" s="2434" t="s">
        <v>1729</v>
      </c>
      <c r="B7" s="2434"/>
      <c r="C7" s="2434"/>
      <c r="D7" s="2434"/>
      <c r="E7" s="2434"/>
      <c r="F7" s="243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4" t="s">
        <v>1731</v>
      </c>
      <c r="B13" s="2434"/>
      <c r="C13" s="2434"/>
      <c r="D13" s="2434"/>
      <c r="E13" s="2434"/>
      <c r="F13" s="2434"/>
    </row>
    <row r="14" spans="1:7" ht="9.75" customHeight="1" x14ac:dyDescent="0.2">
      <c r="C14" s="1257"/>
      <c r="D14" s="1257"/>
    </row>
    <row r="15" spans="1:7" ht="13.5" customHeight="1" x14ac:dyDescent="0.2">
      <c r="C15" s="1846" t="s">
        <v>1270</v>
      </c>
      <c r="D15" s="2439" t="s">
        <v>1269</v>
      </c>
      <c r="E15" s="2439"/>
      <c r="F15" s="2439"/>
    </row>
    <row r="16" spans="1:7" ht="13.5" customHeight="1" x14ac:dyDescent="0.2">
      <c r="A16" s="1279"/>
      <c r="B16" s="1273" t="s">
        <v>1268</v>
      </c>
      <c r="C16" s="1846" t="s">
        <v>1267</v>
      </c>
      <c r="D16" s="2440" t="s">
        <v>1588</v>
      </c>
      <c r="E16" s="2440"/>
      <c r="F16" s="2440"/>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NW Educ Cncl for Student Success</v>
      </c>
      <c r="C1" s="2451"/>
      <c r="D1" s="2451"/>
      <c r="E1" s="2451"/>
      <c r="F1" s="2451"/>
      <c r="G1" s="2451"/>
      <c r="H1" s="2451"/>
      <c r="I1" s="2451"/>
      <c r="J1" s="1406"/>
    </row>
    <row r="2" spans="2:10" s="317" customFormat="1" ht="12.75" customHeight="1" x14ac:dyDescent="0.2">
      <c r="B2" s="2452">
        <f>'Single Audit Cover'!E7</f>
        <v>5016214046</v>
      </c>
      <c r="C2" s="2453"/>
      <c r="D2" s="2453"/>
      <c r="E2" s="2453"/>
      <c r="F2" s="2453"/>
      <c r="G2" s="2453"/>
      <c r="H2" s="2453"/>
      <c r="I2" s="2453"/>
      <c r="J2" s="1406"/>
    </row>
    <row r="3" spans="2:10" s="317" customFormat="1" ht="12.75" customHeight="1" x14ac:dyDescent="0.2">
      <c r="B3" s="2454" t="s">
        <v>1285</v>
      </c>
      <c r="C3" s="2455"/>
      <c r="D3" s="2455"/>
      <c r="E3" s="2455"/>
      <c r="F3" s="2455"/>
      <c r="G3" s="2455"/>
      <c r="H3" s="2455"/>
      <c r="I3" s="2455"/>
      <c r="J3" s="1407"/>
    </row>
    <row r="4" spans="2:10" s="317" customFormat="1" ht="12.75" customHeight="1" x14ac:dyDescent="0.2">
      <c r="B4" s="2454" t="str">
        <f>'Single Audit Cover'!A4</f>
        <v>Year Ending June 30, 2019</v>
      </c>
      <c r="C4" s="2455"/>
      <c r="D4" s="2455"/>
      <c r="E4" s="2455"/>
      <c r="F4" s="2455"/>
      <c r="G4" s="2455"/>
      <c r="H4" s="2455"/>
      <c r="I4" s="245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4" t="s">
        <v>1284</v>
      </c>
      <c r="C7" s="2455"/>
      <c r="D7" s="2455"/>
      <c r="E7" s="2455"/>
      <c r="F7" s="2455"/>
      <c r="G7" s="2455"/>
      <c r="H7" s="2455"/>
      <c r="I7" s="245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6"/>
      <c r="D11" s="245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7"/>
      <c r="E29" s="2457"/>
      <c r="F29" s="2457"/>
      <c r="G29" s="2457"/>
      <c r="H29" s="2457"/>
      <c r="I29" s="245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8" t="s">
        <v>1751</v>
      </c>
      <c r="D37" s="2459"/>
      <c r="E37" s="2459"/>
      <c r="F37" s="2460"/>
      <c r="G37" s="2458" t="s">
        <v>1592</v>
      </c>
      <c r="H37" s="2459"/>
      <c r="I37" s="2460"/>
    </row>
    <row r="38" spans="2:9" ht="16.5" customHeight="1" x14ac:dyDescent="0.2">
      <c r="B38" s="1428"/>
      <c r="C38" s="2446"/>
      <c r="D38" s="2447"/>
      <c r="E38" s="2447"/>
      <c r="F38" s="2448"/>
      <c r="G38" s="2461"/>
      <c r="H38" s="2462"/>
      <c r="I38" s="2463"/>
    </row>
    <row r="39" spans="2:9" ht="16.5" customHeight="1" x14ac:dyDescent="0.2">
      <c r="B39" s="1428"/>
      <c r="C39" s="2446"/>
      <c r="D39" s="2447"/>
      <c r="E39" s="2447"/>
      <c r="F39" s="2448"/>
      <c r="G39" s="2449"/>
      <c r="H39" s="2449"/>
      <c r="I39" s="2449"/>
    </row>
    <row r="40" spans="2:9" ht="16.5" customHeight="1" x14ac:dyDescent="0.2">
      <c r="B40" s="1428"/>
      <c r="C40" s="2446"/>
      <c r="D40" s="2447"/>
      <c r="E40" s="2447"/>
      <c r="F40" s="2448"/>
      <c r="G40" s="2449"/>
      <c r="H40" s="2449"/>
      <c r="I40" s="2449"/>
    </row>
    <row r="41" spans="2:9" ht="16.5" customHeight="1" x14ac:dyDescent="0.2">
      <c r="B41" s="1428"/>
      <c r="C41" s="2446"/>
      <c r="D41" s="2447"/>
      <c r="E41" s="2447"/>
      <c r="F41" s="2448"/>
      <c r="G41" s="2449"/>
      <c r="H41" s="2449"/>
      <c r="I41" s="2449"/>
    </row>
    <row r="42" spans="2:9" ht="16.5" customHeight="1" x14ac:dyDescent="0.2">
      <c r="B42" s="1428"/>
      <c r="C42" s="2446"/>
      <c r="D42" s="2447"/>
      <c r="E42" s="2447"/>
      <c r="F42" s="2448"/>
      <c r="G42" s="2449"/>
      <c r="H42" s="2449"/>
      <c r="I42" s="2449"/>
    </row>
    <row r="43" spans="2:9" ht="16.5" customHeight="1" x14ac:dyDescent="0.2">
      <c r="B43" s="1428"/>
      <c r="C43" s="2464" t="s">
        <v>1593</v>
      </c>
      <c r="D43" s="2465"/>
      <c r="E43" s="2465"/>
      <c r="F43" s="2466"/>
      <c r="G43" s="2467">
        <f>SUM(G38:I42)</f>
        <v>0</v>
      </c>
      <c r="H43" s="2467"/>
      <c r="I43" s="2467"/>
    </row>
    <row r="44" spans="2:9" ht="12.75" customHeight="1" x14ac:dyDescent="0.2"/>
    <row r="45" spans="2:9" ht="12.75" customHeight="1" x14ac:dyDescent="0.2">
      <c r="B45" s="1419" t="s">
        <v>1841</v>
      </c>
      <c r="D45" s="2468">
        <v>0</v>
      </c>
      <c r="E45" s="2469"/>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0"/>
      <c r="F49" s="2470"/>
      <c r="G49" s="2470"/>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NW Educ Cncl for Student Success</v>
      </c>
      <c r="C1" s="2450"/>
      <c r="D1" s="2450"/>
      <c r="E1" s="2450"/>
      <c r="F1" s="2450"/>
      <c r="G1" s="2450"/>
      <c r="H1" s="2450"/>
      <c r="I1" s="2450"/>
      <c r="J1" s="2450"/>
      <c r="K1" s="2450"/>
      <c r="L1" s="1371"/>
      <c r="M1" s="1371"/>
    </row>
    <row r="2" spans="1:13" ht="12" customHeight="1" x14ac:dyDescent="0.2">
      <c r="B2" s="2452">
        <f>'Single Audit Cover'!E7</f>
        <v>5016214046</v>
      </c>
      <c r="C2" s="2452"/>
      <c r="D2" s="2452"/>
      <c r="E2" s="2452"/>
      <c r="F2" s="2452"/>
      <c r="G2" s="2452"/>
      <c r="H2" s="2452"/>
      <c r="I2" s="2452"/>
      <c r="J2" s="2452"/>
      <c r="K2" s="2452"/>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NW Educ Cncl for Student Success</v>
      </c>
      <c r="C1" s="2477"/>
      <c r="D1" s="2477"/>
      <c r="E1" s="2477"/>
      <c r="F1" s="2477"/>
      <c r="G1" s="2477"/>
      <c r="H1" s="2477"/>
      <c r="I1" s="2477"/>
      <c r="J1" s="2477"/>
      <c r="K1" s="2477"/>
      <c r="L1" s="1449"/>
    </row>
    <row r="2" spans="1:12" ht="12.75" customHeight="1" x14ac:dyDescent="0.2">
      <c r="B2" s="2478">
        <f>'Single Audit Cover'!E7</f>
        <v>5016214046</v>
      </c>
      <c r="C2" s="2478"/>
      <c r="D2" s="2478"/>
      <c r="E2" s="2478"/>
      <c r="F2" s="2478"/>
      <c r="G2" s="2478"/>
      <c r="H2" s="2478"/>
      <c r="I2" s="2478"/>
      <c r="J2" s="2478"/>
      <c r="K2" s="2478"/>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7"/>
      <c r="G12" s="2457"/>
      <c r="H12" s="2457"/>
      <c r="I12" s="2457"/>
      <c r="J12" s="2457"/>
      <c r="K12" s="245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0" t="str">
        <f>'Single Audit Cover'!A7</f>
        <v>NW Educ Cncl for Student Success</v>
      </c>
      <c r="C1" s="2450"/>
      <c r="D1" s="2450"/>
      <c r="E1" s="1469"/>
    </row>
    <row r="2" spans="2:5" s="1279" customFormat="1" ht="12.75" customHeight="1" x14ac:dyDescent="0.2">
      <c r="B2" s="2452">
        <f>'Single Audit Cover'!E7</f>
        <v>5016214046</v>
      </c>
      <c r="C2" s="2452"/>
      <c r="D2" s="2452"/>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schemas.microsoft.com/sharepoint/v3"/>
    <ds:schemaRef ds:uri="http://schemas.microsoft.com/office/2006/documentManagement/types"/>
    <ds:schemaRef ds:uri="http://purl.org/dc/dcmitype/"/>
    <ds:schemaRef ds:uri="http://www.w3.org/XML/1998/namespace"/>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2019-09-11T20:05:27Z</cp:lastPrinted>
  <dcterms:created xsi:type="dcterms:W3CDTF">2003-10-29T19:06:34Z</dcterms:created>
  <dcterms:modified xsi:type="dcterms:W3CDTF">2019-12-10T22:25:44Z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130</vt:lpwstr>
  </property>
  <property fmtid="{D5CDD505-2E9C-101B-9397-08002B2CF9AE}" pid="7" name="workpaperIndex">
    <vt:lpwstr/>
  </property>
</Properties>
</file>