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Joint Agreements 19\"/>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calcMode="manual" iterate="1" iterateCount="9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50" i="29" l="1"/>
  <c r="C50" i="29"/>
  <c r="L50" i="29"/>
  <c r="D40" i="29"/>
  <c r="C40" i="29"/>
  <c r="L342" i="29"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F17"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F18" i="181" s="1"/>
  <c r="E17" i="18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32" i="127"/>
  <c r="B33" i="127"/>
  <c r="E26" i="108"/>
  <c r="G26" i="108"/>
  <c r="D27" i="108"/>
  <c r="E27" i="108"/>
  <c r="F27" i="108"/>
  <c r="G27" i="108"/>
  <c r="F31" i="108"/>
  <c r="F36" i="108"/>
  <c r="G28" i="108"/>
  <c r="G29" i="108"/>
  <c r="D31" i="108"/>
  <c r="D36" i="108"/>
  <c r="E31" i="108"/>
  <c r="G31" i="108"/>
  <c r="E33"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E29" i="108" l="1"/>
  <c r="F28" i="108"/>
  <c r="C129" i="29"/>
  <c r="E38" i="108"/>
  <c r="E34" i="108"/>
  <c r="G30"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L114" i="29" s="1"/>
  <c r="K33" i="29"/>
  <c r="B720" i="106"/>
  <c r="D720" i="106" s="1"/>
  <c r="B2031" i="106"/>
  <c r="D2031" i="106" s="1"/>
  <c r="L16" i="11"/>
  <c r="B2061" i="106" s="1"/>
  <c r="D206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F41" i="108" l="1"/>
  <c r="G43" i="108" s="1"/>
  <c r="D41" i="108"/>
  <c r="E43" i="108"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l="1"/>
  <c r="B1644" i="106" s="1"/>
  <c r="D1644"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D58" i="36"/>
  <c r="C11" i="146" l="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<sst xmlns="http://schemas.openxmlformats.org/spreadsheetml/2006/main" count="5076" uniqueCount="2104">
  <si>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</si>
  <si>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</si>
  <si>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</si>
  <si>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</si>
  <si>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</si>
  <si>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</si>
  <si>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</si>
  <si>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</si>
  <si>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</si>
  <si>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</si>
  <si>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</si>
  <si>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</si>
  <si>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</si>
  <si>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</si>
  <si>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</si>
  <si>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</si>
  <si>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</si>
  <si>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</si>
  <si>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</si>
  <si>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</si>
  <si>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</si>
  <si>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</si>
  <si>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</si>
  <si>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</si>
  <si>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</si>
  <si>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</si>
  <si>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</si>
  <si>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</si>
  <si>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</si>
  <si>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</si>
  <si>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</si>
  <si>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</si>
  <si>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</si>
  <si>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</si>
  <si>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</si>
  <si>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</si>
  <si>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</si>
  <si>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</si>
  <si>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</si>
  <si>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</si>
  <si>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</si>
  <si>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</si>
  <si>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</si>
  <si>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</si>
  <si>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</si>
  <si>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</si>
  <si>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</si>
  <si>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</si>
  <si>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</si>
  <si>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</si>
  <si>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</si>
  <si>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</si>
  <si>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</si>
  <si>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</si>
  <si>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</si>
  <si>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</si>
  <si>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</si>
  <si>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</si>
  <si>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</si>
  <si>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</si>
  <si>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</si>
  <si>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</si>
  <si>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</si>
  <si>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</si>
  <si>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</si>
  <si>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</si>
  <si>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</si>
  <si>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</si>
  <si>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</si>
  <si>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</si>
  <si>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</si>
  <si>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</si>
  <si>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</si>
  <si>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</si>
  <si>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</si>
  <si>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</si>
  <si>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</si>
  <si>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</si>
  <si>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</si>
  <si>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</si>
  <si>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</si>
  <si>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</si>
  <si>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</si>
  <si>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</si>
  <si>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</si>
  <si>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</si>
  <si>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</si>
  <si>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</si>
  <si>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</si>
  <si>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</si>
  <si>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</si>
  <si>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</si>
  <si>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</si>
  <si>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</si>
  <si>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</si>
  <si>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</si>
  <si>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</si>
  <si>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</si>
  <si>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</si>
  <si>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</si>
  <si>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</si>
  <si>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</si>
  <si>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</si>
  <si>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</si>
  <si>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</si>
  <si>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</si>
  <si>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</si>
  <si>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</si>
  <si>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</si>
  <si>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</si>
  <si>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</si>
  <si>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</si>
  <si>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</si>
  <si>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</si>
  <si>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</si>
  <si>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</si>
  <si>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</si>
  <si>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</si>
  <si>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</si>
  <si>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</si>
  <si>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</si>
  <si>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</si>
  <si>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</si>
  <si>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</si>
  <si>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</si>
  <si>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</si>
  <si>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</si>
  <si>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</si>
  <si>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</si>
  <si>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</si>
  <si>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</si>
  <si>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</si>
  <si>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</si>
  <si>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</si>
  <si>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</si>
  <si>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</si>
  <si>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</si>
  <si>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</si>
  <si>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</si>
  <si>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</si>
  <si>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</si>
  <si>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</si>
  <si>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</si>
  <si>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</si>
  <si>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</si>
  <si>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</si>
  <si>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</si>
  <si>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</si>
  <si>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</si>
  <si>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</si>
  <si>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</si>
  <si>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</si>
  <si>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</si>
  <si>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</si>
  <si>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</si>
  <si>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</si>
  <si>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</si>
  <si>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</si>
  <si>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</si>
  <si>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</si>
  <si>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</si>
  <si>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</si>
  <si>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</si>
  <si>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</si>
  <si>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</si>
  <si>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</si>
  <si>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</si>
  <si>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</si>
  <si>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</si>
  <si>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</si>
  <si>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</si>
  <si>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</si>
  <si>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</si>
  <si>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</si>
  <si>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</si>
  <si>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</si>
  <si>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</si>
  <si>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</si>
  <si>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</si>
  <si>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</si>
  <si>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</si>
  <si>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</si>
  <si>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</si>
  <si>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</si>
  <si>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</si>
  <si>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</si>
  <si>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</si>
  <si>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</si>
  <si>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</si>
  <si>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</si>
  <si>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</si>
  <si>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</si>
  <si>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</si>
  <si>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</si>
  <si>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</si>
  <si>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</si>
  <si>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</si>
  <si>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</si>
  <si>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</si>
  <si>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</si>
  <si>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</si>
  <si>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</si>
  <si>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</si>
  <si>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</si>
  <si>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</si>
  <si>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</si>
  <si>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</si>
  <si>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</si>
  <si>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</si>
  <si>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</si>
  <si>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</si>
  <si>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</si>
  <si>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</si>
  <si>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</si>
  <si>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</si>
  <si>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</si>
  <si>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</si>
  <si>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</si>
  <si>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</si>
  <si>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</si>
  <si>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</si>
  <si>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</si>
  <si>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</si>
  <si>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</si>
  <si>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</si>
  <si>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</si>
  <si>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</si>
  <si>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</si>
  <si>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</si>
  <si>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</si>
  <si>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</si>
  <si>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</si>
  <si>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</si>
  <si>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</si>
  <si>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</si>
  <si>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</si>
  <si>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</si>
  <si>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</si>
  <si>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</si>
  <si>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</si>
  <si>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</si>
  <si>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</si>
  <si>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</si>
  <si>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</si>
  <si>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</si>
  <si>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</si>
  <si>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</si>
  <si>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</si>
  <si>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</si>
  <si>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</si>
  <si>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</si>
  <si>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</si>
  <si>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</si>
  <si>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</si>
  <si>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</si>
  <si>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</si>
  <si>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</si>
  <si>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</si>
  <si>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</si>
  <si>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</si>
  <si>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</si>
  <si>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</si>
  <si>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</si>
  <si>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</si>
  <si>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</si>
  <si>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</si>
  <si>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</si>
  <si>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</si>
  <si>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</si>
  <si>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</si>
  <si>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</si>
  <si>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</si>
  <si>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</si>
  <si>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</si>
  <si>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</si>
  <si>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</si>
  <si>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</si>
  <si>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</si>
  <si>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</si>
  <si>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</si>
  <si>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</si>
  <si>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</si>
  <si>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</si>
  <si>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</si>
  <si>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</si>
  <si>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</si>
  <si>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</si>
  <si>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</si>
  <si>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</si>
  <si>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</si>
  <si>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</si>
  <si>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</si>
  <si>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</si>
  <si>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</si>
  <si>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</si>
  <si>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</si>
  <si>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</si>
  <si>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</si>
  <si>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</si>
  <si>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</si>
  <si>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</si>
  <si>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</si>
  <si>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</si>
  <si>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</si>
  <si>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</si>
  <si>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</si>
  <si>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</si>
  <si>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</si>
  <si>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</si>
  <si>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</si>
  <si>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</si>
  <si>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</si>
  <si>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</si>
  <si>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</si>
  <si>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</si>
  <si>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</si>
  <si>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</si>
  <si>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</si>
  <si>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</si>
  <si>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</si>
  <si>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</si>
  <si>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</si>
  <si>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</si>
  <si>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</si>
  <si>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</si>
  <si>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</si>
  <si>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</si>
  <si>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</si>
  <si>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</si>
  <si>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</si>
  <si>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</si>
  <si>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</si>
  <si>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</si>
  <si>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</si>
  <si>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</si>
  <si>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</si>
  <si>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</si>
  <si>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</si>
  <si>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</si>
  <si>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</si>
  <si>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</si>
  <si>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</si>
  <si>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</si>
  <si>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</si>
  <si>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</si>
  <si>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</si>
  <si>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</si>
  <si>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</si>
  <si>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</si>
  <si>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</si>
  <si>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</si>
  <si>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</si>
  <si>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</si>
  <si>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</si>
  <si>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</si>
  <si>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</si>
  <si>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</si>
  <si>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</si>
  <si>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</si>
  <si>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</si>
  <si>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</si>
  <si>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</si>
  <si>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</si>
  <si>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</si>
  <si>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</si>
  <si>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</si>
  <si>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</si>
  <si>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</si>
  <si>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</si>
  <si>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</si>
  <si>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</si>
  <si>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</si>
  <si>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</si>
  <si>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</si>
  <si>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</si>
  <si>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</si>
  <si>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</si>
  <si>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</si>
  <si>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</si>
  <si>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</si>
  <si>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</si>
  <si>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</si>
  <si>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</si>
  <si>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</si>
  <si>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</si>
  <si>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</si>
  <si>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</si>
  <si>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</si>
  <si>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</si>
  <si>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</si>
  <si>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</si>
  <si>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</si>
  <si>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</si>
  <si>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</si>
  <si>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</si>
  <si>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</si>
  <si>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</si>
  <si>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</si>
  <si>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</si>
  <si>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</si>
  <si>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</si>
  <si>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</si>
  <si>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</si>
  <si>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</si>
  <si>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</si>
  <si>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</si>
  <si>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</si>
  <si>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</si>
  <si>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</si>
  <si>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</si>
  <si>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</si>
  <si>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</si>
  <si>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</si>
  <si>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</si>
  <si>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</si>
  <si>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</si>
  <si>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</si>
  <si>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</si>
  <si>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</si>
  <si>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</si>
  <si>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</si>
  <si>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</si>
  <si>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</si>
  <si>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</si>
  <si>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</si>
  <si>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</si>
  <si>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</si>
  <si>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</si>
  <si>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</si>
  <si>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</si>
  <si>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</si>
  <si>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</si>
  <si>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</si>
  <si>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</si>
  <si>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</si>
  <si>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</si>
  <si>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</si>
  <si>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</si>
  <si>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</si>
  <si>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</si>
  <si>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</si>
  <si>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</si>
  <si>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</si>
  <si>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</si>
  <si>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</si>
  <si>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</si>
  <si>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</si>
  <si>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</si>
  <si>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</si>
  <si>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</si>
  <si>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</si>
  <si>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</si>
  <si>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</si>
  <si>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</si>
  <si>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</si>
  <si>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</si>
  <si>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</si>
  <si>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</si>
  <si>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</si>
  <si>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</si>
  <si>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</si>
  <si>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</si>
  <si>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</si>
  <si>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</si>
  <si>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</si>
  <si>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</si>
  <si>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</si>
  <si>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</si>
  <si>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</si>
  <si>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</si>
  <si>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</si>
  <si>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</si>
  <si>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</si>
  <si>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</si>
  <si>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</si>
  <si>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</si>
  <si>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</si>
  <si>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</si>
  <si>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</si>
  <si>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</si>
  <si>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</si>
  <si>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</si>
  <si>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</si>
  <si>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</si>
  <si>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</si>
  <si>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</si>
  <si>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</si>
  <si>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</si>
  <si>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</si>
  <si>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</si>
  <si>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</si>
  <si>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</si>
  <si>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</si>
  <si>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</si>
  <si>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</si>
  <si>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</si>
  <si>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</si>
  <si>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</si>
  <si>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</si>
  <si>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</si>
  <si>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</si>
  <si>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</si>
  <si>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</si>
  <si>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</si>
  <si>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</si>
  <si>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</si>
  <si>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</si>
  <si>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</si>
  <si>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</si>
  <si>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</si>
  <si>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</si>
  <si>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</si>
  <si>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</si>
  <si>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</si>
  <si>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</si>
  <si>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</si>
  <si>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</si>
  <si>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</si>
  <si>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</si>
  <si>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</si>
  <si>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</si>
  <si>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</si>
  <si>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</si>
  <si>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</si>
  <si>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</si>
  <si>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</si>
  <si>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</si>
  <si>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</si>
  <si>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</si>
  <si>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</si>
  <si>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</si>
  <si>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</si>
  <si>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</si>
  <si>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</si>
  <si>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</si>
  <si>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</si>
  <si>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</si>
  <si>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</si>
  <si>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</si>
  <si>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</si>
  <si>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</si>
  <si>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</si>
  <si>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</si>
  <si>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</si>
  <si>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</si>
  <si>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</si>
  <si>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</si>
  <si>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</si>
  <si>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</si>
  <si>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</si>
  <si>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</si>
  <si>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</si>
  <si>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</si>
  <si>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</si>
  <si>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</si>
  <si>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</si>
  <si>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</si>
  <si>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</si>
  <si>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</si>
  <si>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</si>
  <si>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</si>
  <si>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</si>
  <si>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</si>
  <si>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</si>
  <si>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</si>
  <si>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</si>
  <si>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</si>
  <si>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</si>
  <si>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</si>
  <si>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</si>
  <si>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</si>
  <si>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</si>
  <si>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</si>
  <si>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</si>
  <si>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</si>
  <si>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</si>
  <si>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</si>
  <si>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</si>
  <si>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</si>
  <si>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</si>
  <si>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</si>
  <si>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</si>
  <si>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</si>
  <si>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</si>
  <si>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</si>
  <si>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</si>
  <si>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</si>
  <si>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</si>
  <si>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</si>
  <si>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</si>
  <si>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</si>
  <si>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</si>
  <si>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</si>
  <si>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</si>
  <si>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</si>
  <si>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</si>
  <si>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</si>
  <si>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</si>
  <si>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</si>
  <si>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</si>
  <si>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</si>
  <si>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</si>
  <si>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</si>
  <si>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</si>
  <si>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</si>
  <si>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</si>
  <si>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</si>
  <si>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</si>
  <si>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</si>
  <si>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</si>
  <si>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</si>
  <si>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</si>
  <si>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</si>
  <si>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</si>
  <si>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</si>
  <si>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</si>
  <si>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</si>
  <si>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</si>
  <si>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</si>
  <si>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</si>
  <si>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</si>
  <si>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</si>
  <si>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</si>
  <si>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</si>
  <si>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</si>
  <si>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</si>
  <si>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</si>
  <si>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</si>
  <si>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</si>
  <si>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</si>
  <si>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</si>
  <si>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</si>
  <si>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</si>
  <si>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</si>
  <si>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</si>
  <si>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</si>
  <si>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</si>
  <si>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</si>
  <si>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</si>
  <si>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</si>
  <si>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</si>
  <si>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</si>
  <si>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</si>
  <si>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</si>
  <si>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</si>
  <si>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</si>
  <si>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</si>
  <si>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</si>
  <si>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</si>
  <si>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</si>
  <si>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</si>
  <si>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</si>
  <si>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</si>
  <si>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</si>
  <si>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</si>
  <si>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</si>
  <si>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</si>
  <si>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</si>
  <si>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</si>
  <si>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</si>
  <si>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</si>
  <si>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</si>
  <si>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</si>
  <si>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</si>
  <si>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</si>
  <si>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</si>
  <si>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</si>
  <si>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</si>
  <si>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</si>
  <si>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</si>
  <si>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</si>
  <si>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</si>
  <si>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</si>
  <si>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</si>
  <si>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</si>
  <si>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</si>
  <si>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</si>
  <si>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</si>
  <si>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</si>
  <si>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</si>
  <si>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</si>
  <si>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</si>
  <si>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</si>
  <si>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</si>
  <si>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</si>
  <si>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</si>
  <si>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</si>
  <si>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</si>
  <si>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</si>
  <si>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</si>
  <si>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</si>
  <si>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</si>
  <si>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</si>
  <si>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</si>
  <si>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</si>
  <si>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</si>
  <si>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</si>
  <si>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</si>
  <si>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</si>
  <si>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</si>
  <si>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</si>
  <si>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</si>
  <si>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</si>
  <si>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</si>
  <si>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</si>
  <si>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</si>
  <si>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</si>
  <si>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</si>
  <si>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</si>
  <si>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</si>
  <si>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</si>
  <si>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</si>
  <si>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</si>
  <si>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</si>
  <si>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</si>
  <si>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</si>
  <si>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</si>
  <si>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</si>
  <si>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</si>
  <si>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</si>
  <si>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</si>
  <si>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</si>
  <si>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</si>
  <si>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</si>
  <si>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</si>
  <si>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</si>
  <si>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</si>
  <si>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</si>
  <si>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</si>
  <si>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</si>
  <si>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</si>
  <si>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</si>
  <si>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</si>
  <si>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</si>
  <si>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</si>
  <si>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</si>
  <si>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</si>
  <si>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</si>
  <si>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</si>
  <si>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</si>
  <si>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</si>
  <si>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</si>
  <si>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</si>
  <si>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</si>
  <si>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</si>
  <si>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</si>
  <si>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</si>
  <si>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</si>
  <si>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</si>
  <si>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</si>
  <si>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</si>
  <si>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</si>
  <si>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</si>
  <si>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</si>
  <si>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</si>
  <si>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</si>
  <si>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</si>
  <si>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</si>
  <si>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</si>
  <si>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</si>
  <si>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</si>
  <si>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</si>
  <si>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</si>
  <si>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</si>
  <si>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</si>
  <si>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</si>
  <si>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</si>
  <si>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</si>
  <si>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</si>
  <si>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</si>
  <si>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</si>
  <si>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</si>
  <si>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</si>
  <si>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</si>
  <si>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</si>
  <si>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</si>
  <si>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</si>
  <si>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</si>
  <si>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</si>
  <si>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</si>
  <si>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</si>
  <si>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</si>
  <si>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</si>
  <si>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</si>
  <si>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</si>
  <si>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</si>
  <si>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</si>
  <si>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</si>
  <si>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</si>
  <si>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</si>
  <si>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</si>
  <si>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</si>
  <si>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</si>
  <si>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</si>
  <si>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</si>
  <si>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</si>
  <si>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</si>
  <si>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</si>
  <si>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</si>
  <si>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</si>
  <si>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</si>
  <si>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</si>
  <si>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</si>
  <si>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</si>
  <si>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</si>
  <si>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</si>
  <si>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</si>
  <si>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</si>
  <si>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</si>
  <si>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</si>
  <si>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</si>
  <si>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</si>
  <si>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</si>
  <si>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</si>
  <si>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</si>
  <si>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</si>
  <si>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</si>
  <si>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</si>
  <si>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</si>
  <si>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</si>
  <si>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</si>
  <si>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</si>
  <si>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</si>
  <si>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</si>
  <si>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</si>
  <si>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</si>
  <si>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</si>
  <si>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</si>
  <si>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</si>
  <si>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</si>
  <si>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</si>
  <si>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</si>
  <si>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</si>
  <si>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</si>
  <si>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</si>
  <si>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</si>
  <si>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</si>
  <si>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</si>
  <si>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</si>
  <si>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</si>
  <si>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</si>
  <si>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</si>
  <si>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</si>
  <si>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</si>
  <si>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</si>
  <si>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</si>
  <si>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</si>
  <si>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</si>
  <si>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</si>
  <si>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</si>
  <si>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</si>
  <si>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</si>
  <si>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</si>
  <si>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</si>
  <si>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</si>
  <si>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</si>
  <si>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</si>
  <si>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</si>
  <si>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</si>
  <si>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</si>
  <si>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</si>
  <si>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</si>
  <si>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</si>
  <si>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</si>
  <si>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</si>
  <si>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</si>
  <si>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</si>
  <si>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</si>
  <si>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</si>
  <si>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</si>
  <si>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</si>
  <si>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</si>
  <si>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</si>
  <si>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</si>
  <si>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</si>
  <si>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</si>
  <si>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</si>
  <si>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</si>
  <si>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</si>
  <si>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</si>
  <si>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</si>
  <si>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</si>
  <si>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</si>
  <si>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</si>
  <si>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</si>
  <si>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</si>
  <si>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</si>
  <si>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</si>
  <si>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</si>
  <si>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</si>
  <si>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</si>
  <si>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</si>
  <si>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</si>
  <si>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</si>
  <si>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</si>
  <si>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</si>
  <si>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</si>
  <si>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</si>
  <si>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</si>
  <si>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</si>
  <si>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</si>
  <si>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</si>
  <si>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</si>
  <si>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</si>
  <si>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</si>
  <si>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</si>
  <si>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</si>
  <si>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</si>
  <si>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</si>
  <si>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</si>
  <si>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</si>
  <si>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</si>
  <si>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</si>
  <si>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</si>
  <si>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</si>
  <si>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</si>
  <si>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</si>
  <si>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</si>
  <si>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</si>
  <si>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</si>
  <si>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</si>
  <si>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</si>
  <si>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</si>
  <si>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</si>
  <si>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</si>
  <si>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</si>
  <si>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</si>
  <si>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</si>
  <si>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</si>
  <si>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</si>
  <si>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</si>
  <si>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</si>
  <si>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</si>
  <si>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</si>
  <si>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</si>
  <si>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</si>
  <si>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</si>
  <si>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</si>
  <si>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</si>
  <si>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</si>
  <si>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</si>
  <si>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</si>
  <si>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</si>
  <si>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</si>
  <si>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</si>
  <si>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</si>
  <si>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</si>
  <si>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</si>
  <si>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</si>
  <si>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</si>
  <si>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</si>
  <si>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</si>
  <si>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</si>
  <si>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</si>
  <si>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</si>
  <si>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</si>
  <si>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</si>
  <si>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</si>
  <si>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</si>
  <si>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</si>
  <si>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</si>
  <si>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</si>
  <si>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</si>
  <si>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</si>
  <si>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</si>
  <si>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</si>
  <si>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</si>
  <si>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</si>
  <si>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</si>
  <si>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</si>
  <si>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</si>
  <si>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</si>
  <si>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</si>
  <si>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</si>
  <si>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</si>
  <si>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</si>
  <si>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</si>
  <si>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</si>
  <si>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</si>
  <si>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</si>
  <si>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</si>
  <si>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</si>
  <si>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</si>
  <si>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</si>
  <si>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</si>
  <si>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</si>
  <si>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</si>
  <si>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</si>
  <si>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</si>
  <si>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</si>
  <si>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</si>
  <si>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</si>
  <si>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</si>
  <si>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</si>
  <si>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</si>
  <si>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</si>
  <si>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</si>
  <si>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</si>
  <si>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</si>
  <si>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</si>
  <si>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</si>
  <si>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</si>
  <si>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</si>
  <si>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</si>
  <si>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</si>
  <si>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</si>
  <si>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</si>
  <si>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</si>
  <si>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</si>
  <si>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</si>
  <si>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</si>
  <si>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</si>
  <si>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</si>
  <si>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</si>
  <si>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</si>
  <si>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</si>
  <si>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</si>
  <si>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</si>
  <si>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</si>
  <si>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</si>
  <si>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</si>
  <si>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</si>
  <si>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</si>
  <si>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</si>
  <si>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</si>
  <si>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</si>
  <si>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</si>
  <si>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</si>
  <si>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</si>
  <si>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</si>
  <si>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</si>
  <si>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</si>
  <si>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</si>
  <si>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</si>
  <si>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</si>
  <si>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</si>
  <si>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</si>
  <si>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</si>
  <si>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</si>
  <si>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</si>
  <si>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</si>
  <si>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</si>
  <si>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</si>
  <si>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</si>
  <si>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</si>
  <si>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</si>
  <si>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</si>
  <si>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</si>
  <si>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</si>
  <si>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</si>
  <si>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</si>
  <si>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</si>
  <si>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</si>
  <si>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</si>
  <si>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</si>
  <si>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</si>
  <si>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</si>
  <si>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</si>
  <si>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</si>
  <si>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</si>
  <si>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</si>
  <si>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</si>
  <si>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</si>
  <si>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</si>
  <si>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</si>
  <si>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</si>
  <si>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</si>
  <si>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</si>
  <si>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</si>
  <si>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</si>
  <si>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</si>
  <si>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</si>
  <si>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</si>
  <si>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</si>
  <si>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</si>
  <si>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</si>
  <si>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</si>
  <si>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</si>
  <si>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</si>
  <si>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</si>
  <si>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</si>
  <si>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</si>
  <si>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</si>
  <si>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</si>
  <si>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</si>
  <si>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</si>
  <si>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</si>
  <si>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</si>
  <si>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</si>
  <si>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</si>
  <si>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</si>
  <si>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</si>
  <si>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</si>
  <si>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</si>
  <si>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</si>
  <si>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</si>
  <si>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</si>
  <si>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</si>
  <si>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</si>
  <si>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</si>
  <si>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</si>
  <si>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</si>
  <si>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</si>
  <si>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</si>
  <si>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</si>
  <si>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</si>
  <si>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</si>
  <si>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</si>
  <si>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</si>
  <si>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</si>
  <si>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</si>
  <si>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</si>
  <si>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</si>
  <si>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</si>
  <si>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</si>
  <si>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</si>
  <si>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</si>
  <si>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</si>
  <si>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</si>
  <si>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</si>
  <si>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</si>
  <si>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</si>
  <si>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</si>
  <si>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</si>
  <si>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</si>
  <si>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</si>
  <si>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</si>
  <si>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</si>
  <si>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</si>
  <si>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</si>
  <si>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</si>
  <si>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</si>
  <si>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</si>
  <si>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</si>
  <si>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</si>
  <si>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</si>
  <si>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</si>
  <si>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</si>
  <si>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</si>
  <si>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</si>
  <si>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</si>
  <si>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</si>
  <si>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</si>
  <si>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</si>
  <si>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</si>
  <si>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</si>
  <si>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</si>
  <si>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</si>
  <si>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</si>
  <si>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</si>
  <si>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</si>
  <si>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</si>
  <si>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</si>
  <si>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</si>
  <si>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</si>
  <si>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</si>
  <si>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</si>
  <si>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</si>
  <si>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</si>
  <si>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</si>
  <si>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</si>
  <si>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</si>
  <si>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</si>
  <si>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</si>
  <si>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</si>
  <si>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</si>
  <si>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</si>
  <si>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</si>
  <si>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</si>
  <si>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</si>
  <si>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</si>
  <si>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</si>
  <si>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</si>
  <si>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</si>
  <si>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</si>
  <si>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</si>
  <si>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</si>
  <si>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</si>
  <si>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</si>
  <si>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</si>
  <si>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</si>
  <si>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</si>
  <si>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</si>
  <si>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</si>
  <si>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</si>
  <si>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</si>
  <si>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</si>
  <si>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</si>
  <si>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</si>
  <si>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</si>
  <si>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</si>
  <si>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</si>
  <si>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</si>
  <si>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</si>
  <si>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</si>
  <si>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</si>
  <si>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</si>
  <si>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</si>
  <si>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</si>
  <si>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</si>
  <si>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</si>
  <si>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</si>
  <si>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</si>
  <si>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</si>
  <si>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</si>
  <si>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</si>
  <si>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</si>
  <si>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</si>
  <si>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</si>
  <si>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</si>
  <si>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</si>
  <si>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</si>
  <si>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</si>
  <si>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</si>
  <si>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</si>
  <si>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</si>
  <si>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</si>
  <si>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</si>
  <si>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</si>
  <si>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</si>
  <si>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</si>
  <si>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</si>
  <si>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</si>
  <si>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</si>
  <si>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</si>
  <si>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</si>
  <si>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</si>
  <si>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</si>
  <si>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</si>
  <si>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</si>
  <si>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</si>
  <si>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</si>
  <si>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</si>
  <si>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</si>
  <si>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</si>
  <si>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</si>
  <si>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</si>
  <si>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</si>
  <si>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</si>
  <si>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</si>
  <si>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</si>
  <si>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</si>
  <si>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</si>
  <si>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</si>
  <si>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</si>
  <si>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</si>
  <si>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</si>
  <si>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</si>
  <si>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</si>
  <si>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</si>
  <si>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</si>
  <si>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</si>
  <si>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</si>
  <si>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</si>
  <si>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</si>
  <si>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</si>
  <si>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</si>
  <si>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</si>
  <si>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</si>
  <si>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</si>
  <si>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</si>
  <si>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</si>
  <si>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</si>
  <si>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</si>
  <si>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</si>
  <si>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</si>
  <si>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</si>
  <si>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</si>
  <si>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</si>
  <si>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</si>
  <si>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</si>
  <si>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</si>
  <si>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</si>
  <si>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</si>
  <si>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</si>
  <si>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</si>
  <si>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</si>
  <si>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</si>
  <si>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</si>
  <si>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</si>
  <si>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</si>
  <si>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</si>
  <si>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</si>
  <si>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</si>
  <si>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</si>
  <si>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</si>
  <si>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</si>
  <si>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</si>
  <si>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</si>
  <si>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</si>
  <si>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</si>
  <si>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</si>
  <si>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</si>
  <si>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</si>
  <si>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</si>
  <si>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</si>
  <si>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</si>
  <si>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</si>
  <si>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</si>
  <si>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</si>
  <si>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</si>
  <si>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</si>
  <si>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</si>
  <si>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</si>
  <si>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</si>
  <si>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</si>
  <si>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</si>
  <si>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</si>
  <si>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</si>
  <si>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</si>
  <si>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</si>
  <si>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</si>
  <si>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</si>
  <si>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</si>
  <si>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</si>
  <si>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</si>
  <si>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</si>
  <si>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</si>
  <si>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</si>
  <si>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</si>
  <si>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</si>
  <si>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</si>
  <si>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</si>
  <si>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</si>
  <si>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</si>
  <si>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</si>
  <si>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</si>
  <si>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</si>
  <si>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</si>
  <si>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</si>
  <si>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</si>
  <si>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</si>
  <si>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</si>
  <si>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</si>
  <si>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</si>
  <si>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</si>
  <si>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</si>
  <si>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</si>
  <si>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</si>
  <si>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</si>
  <si>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</si>
  <si>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</si>
  <si>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</si>
  <si>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</si>
  <si>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</si>
  <si>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</si>
  <si>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</si>
  <si>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</si>
  <si>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</si>
  <si>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</si>
  <si>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</si>
  <si>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</si>
  <si>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</si>
  <si>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</si>
  <si>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</si>
  <si>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</si>
  <si>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</si>
  <si>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</si>
  <si>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</si>
  <si>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</si>
  <si>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</si>
  <si>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</si>
  <si>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</si>
  <si>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</si>
  <si>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</si>
  <si>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</si>
  <si>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</si>
  <si>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</si>
  <si>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</si>
  <si>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</si>
  <si>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</si>
  <si>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</si>
  <si>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</si>
  <si>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</si>
  <si>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</si>
  <si>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</si>
  <si>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</si>
  <si>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</si>
  <si>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</si>
  <si>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</si>
  <si>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</si>
  <si>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</si>
  <si>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</si>
  <si>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</si>
  <si>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</si>
  <si>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</si>
  <si>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</si>
  <si>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</si>
  <si>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</si>
  <si>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</si>
  <si>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</si>
  <si>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</si>
  <si>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</si>
  <si>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</si>
  <si>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</si>
  <si>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</si>
  <si>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</si>
  <si>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</si>
  <si>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</si>
  <si>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</si>
  <si>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</si>
  <si>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</si>
  <si>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</si>
  <si>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</si>
  <si>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</si>
  <si>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</si>
  <si>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</si>
  <si>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</si>
  <si>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</si>
  <si>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</si>
  <si>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</si>
  <si>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</si>
  <si>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</si>
  <si>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</si>
  <si>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</si>
  <si>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</si>
  <si>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</si>
  <si>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</si>
  <si>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</si>
  <si>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</si>
  <si>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</si>
  <si>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</si>
  <si>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</si>
  <si>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</si>
  <si>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</si>
  <si>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</si>
  <si>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</si>
  <si>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</si>
  <si>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</si>
  <si>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</si>
  <si>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</si>
  <si>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</si>
  <si>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</si>
  <si>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</si>
  <si>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</si>
  <si>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</si>
  <si>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</si>
  <si>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</si>
  <si>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</si>
  <si>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</si>
  <si>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</si>
  <si>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</si>
  <si>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</si>
  <si>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</si>
  <si>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</si>
  <si>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</si>
  <si>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</si>
  <si>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</si>
  <si>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</si>
  <si>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</si>
  <si>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</si>
  <si>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</si>
  <si>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</si>
  <si>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</si>
  <si>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</si>
  <si>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</si>
  <si>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</si>
  <si>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</si>
  <si>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</si>
  <si>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</si>
  <si>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</si>
  <si>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</si>
  <si>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</si>
  <si>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</si>
  <si>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</si>
  <si>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</si>
  <si>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</si>
  <si>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</si>
  <si>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</si>
  <si>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</si>
  <si>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</si>
  <si>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</si>
  <si>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</si>
  <si>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</si>
  <si>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</si>
  <si>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</si>
  <si>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</si>
  <si>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</si>
  <si>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</si>
  <si>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</si>
  <si>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</si>
  <si>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</si>
  <si>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</si>
  <si>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</si>
  <si>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</si>
  <si>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</si>
  <si>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</si>
  <si>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</si>
  <si>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</si>
  <si>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</si>
  <si>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</si>
  <si>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</si>
  <si>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</si>
  <si>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</si>
  <si>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</si>
  <si>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</si>
  <si>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</si>
  <si>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</si>
  <si>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</si>
  <si>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</si>
  <si>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</si>
  <si>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</si>
  <si>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</si>
  <si>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</si>
  <si>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</si>
  <si>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</si>
  <si>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</si>
  <si>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</si>
  <si>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</si>
  <si>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</si>
  <si>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</si>
  <si>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</si>
  <si>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</si>
  <si>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</si>
  <si>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</si>
  <si>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</si>
  <si>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</si>
  <si>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</si>
  <si>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</si>
  <si>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</si>
  <si>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</si>
  <si>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</si>
  <si>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</si>
  <si>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</si>
  <si>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</si>
  <si>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</si>
  <si>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</si>
  <si>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</si>
  <si>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</si>
  <si>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</si>
  <si>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</si>
  <si>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</si>
  <si>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</si>
  <si>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</si>
  <si>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</si>
  <si>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</si>
  <si>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</si>
  <si>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</si>
  <si>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</si>
  <si>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</si>
  <si>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</si>
  <si>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</si>
  <si>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</si>
  <si>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</si>
  <si>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</si>
  <si>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</si>
  <si>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</si>
  <si>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</si>
  <si>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</si>
  <si>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</si>
  <si>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</si>
  <si>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</si>
  <si>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</si>
  <si>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</si>
  <si>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</si>
  <si>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</si>
  <si>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</si>
  <si>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</si>
  <si>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</si>
  <si>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</si>
  <si>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</si>
  <si>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</si>
  <si>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</si>
  <si>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</si>
  <si>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</si>
  <si>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</si>
  <si>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</si>
  <si>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</si>
  <si>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</si>
  <si>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</si>
  <si>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</si>
  <si>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</si>
  <si>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</si>
  <si>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</si>
  <si>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</si>
  <si>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</si>
  <si>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</si>
  <si>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</si>
  <si>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</si>
  <si>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</si>
  <si>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</si>
  <si>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</si>
  <si>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</si>
  <si>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</si>
  <si>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</si>
  <si>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</si>
  <si>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</si>
  <si>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</si>
  <si>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</si>
  <si>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</si>
  <si>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</si>
  <si>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</si>
  <si>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</si>
  <si>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</si>
  <si>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</si>
  <si>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</si>
  <si>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</si>
  <si>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</si>
  <si>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</si>
  <si>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</si>
  <si>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</si>
  <si>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</si>
  <si>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</si>
  <si>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</si>
  <si>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</si>
  <si>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</si>
  <si>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</si>
  <si>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</si>
  <si>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</si>
  <si>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</si>
  <si>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</si>
  <si>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</si>
  <si>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</si>
  <si>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</si>
  <si>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</si>
  <si>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</si>
  <si>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</si>
  <si>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</si>
  <si>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</si>
  <si>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</si>
  <si>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</si>
  <si>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</si>
  <si>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</si>
  <si>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</si>
  <si>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</si>
  <si>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</si>
  <si>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</si>
  <si>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</si>
  <si>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</si>
  <si>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</si>
  <si>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</si>
  <si>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</si>
  <si>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</si>
  <si>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</si>
  <si>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</si>
  <si>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</si>
  <si>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</si>
  <si>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</si>
  <si>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</si>
  <si>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</si>
  <si>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</si>
  <si>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</si>
  <si>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</si>
  <si>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</si>
  <si>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</si>
  <si>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</si>
  <si>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</si>
  <si>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</si>
  <si>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</si>
  <si>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</si>
  <si>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</si>
  <si>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</si>
  <si>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</si>
  <si>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</si>
  <si>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</si>
  <si>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</si>
  <si>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</si>
  <si>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</si>
  <si>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</si>
  <si>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</si>
  <si>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</si>
  <si>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</si>
  <si>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</si>
  <si>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</si>
  <si>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</si>
  <si>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</si>
  <si>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</si>
  <si>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</si>
  <si>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</si>
  <si>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</si>
  <si>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</si>
  <si>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</si>
  <si>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</si>
  <si>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</si>
  <si>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</si>
  <si>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</si>
  <si>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</si>
  <si>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</si>
  <si>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</si>
  <si>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</si>
  <si>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</si>
  <si>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</si>
  <si>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</si>
  <si>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</si>
  <si>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</si>
  <si>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</si>
  <si>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</si>
  <si>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</si>
  <si>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</si>
  <si>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</si>
  <si>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</si>
  <si>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</si>
  <si>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</si>
  <si>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</si>
  <si>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</si>
  <si>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</si>
  <si>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</si>
  <si>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</si>
  <si>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</si>
  <si>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</si>
  <si>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</si>
  <si>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</si>
  <si>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</si>
  <si>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</si>
  <si>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</si>
  <si>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</si>
  <si>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</si>
  <si>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</si>
  <si>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</si>
  <si>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</si>
  <si>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</si>
  <si>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</si>
  <si>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</si>
  <si>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</si>
  <si>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</si>
  <si>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</si>
  <si>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</si>
  <si>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</si>
  <si>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</si>
  <si>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</si>
  <si>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</si>
  <si>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</si>
  <si>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</si>
  <si>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</si>
  <si>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</si>
  <si>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</si>
  <si>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</si>
  <si>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</si>
  <si>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</si>
  <si>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</si>
  <si>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</si>
  <si>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</si>
  <si>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</si>
  <si>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</si>
  <si>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</si>
  <si>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</si>
  <si>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</si>
  <si>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</si>
  <si>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</si>
  <si>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</si>
  <si>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</si>
  <si>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</si>
  <si>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</si>
  <si>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</si>
  <si>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</si>
  <si>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</si>
  <si>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</si>
  <si>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</si>
  <si>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</si>
  <si>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</si>
  <si>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</si>
  <si>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</si>
  <si>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</si>
  <si>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</si>
  <si>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</si>
  <si>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</si>
  <si>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</si>
  <si>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</si>
  <si>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</si>
  <si>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</si>
  <si>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</si>
  <si>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</si>
  <si>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</si>
  <si>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</si>
  <si>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</si>
  <si>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</si>
  <si>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</si>
  <si>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</si>
  <si>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</si>
  <si>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</si>
  <si>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</si>
  <si>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</si>
  <si>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</si>
  <si>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</si>
  <si>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</si>
  <si>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</si>
  <si>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</si>
  <si>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</si>
  <si>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</si>
  <si>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</si>
  <si>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</si>
  <si>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</si>
  <si>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</si>
  <si>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</si>
  <si>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</si>
  <si>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</si>
  <si>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</si>
  <si>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</si>
  <si>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</si>
  <si>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</si>
  <si>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</si>
  <si>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</si>
  <si>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</si>
  <si>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</si>
  <si>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</si>
  <si>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</si>
  <si>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</si>
  <si>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</si>
  <si>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</si>
  <si>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</si>
  <si>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</si>
  <si>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</si>
  <si>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</si>
  <si>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</si>
  <si>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</si>
  <si>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</si>
  <si>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</si>
  <si>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</si>
  <si>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</si>
  <si>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</si>
  <si>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</si>
  <si>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</si>
  <si>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</si>
  <si>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</si>
  <si>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</si>
  <si>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</si>
  <si>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</si>
  <si>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</si>
  <si>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</si>
  <si>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</si>
  <si>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</si>
  <si>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</si>
  <si>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</si>
  <si>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</si>
  <si>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</si>
  <si>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</si>
  <si>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</si>
  <si>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</si>
  <si>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</si>
  <si>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</si>
  <si>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</si>
  <si>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</si>
  <si>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</si>
  <si>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</si>
  <si>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</si>
  <si>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</si>
  <si>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</si>
  <si>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</si>
  <si>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</si>
  <si>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</si>
  <si>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</si>
  <si>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</si>
  <si>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</si>
  <si>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</si>
  <si>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</si>
  <si>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</si>
  <si>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</si>
  <si>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</si>
  <si>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</si>
  <si>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</si>
  <si>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</si>
  <si>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</si>
  <si>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</si>
  <si>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</si>
  <si>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</si>
  <si>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</si>
  <si>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</si>
  <si>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</si>
  <si>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</si>
  <si>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</si>
  <si>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</si>
  <si>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</si>
  <si>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</si>
  <si>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</si>
  <si>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</si>
  <si>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</si>
  <si>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</si>
  <si>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</si>
  <si>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</si>
  <si>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</si>
  <si>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</si>
  <si>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</si>
  <si>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</si>
  <si>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</si>
  <si>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</si>
  <si>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</si>
  <si>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</si>
  <si>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</si>
  <si>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</si>
  <si>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</si>
  <si>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</si>
  <si>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</si>
  <si>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</si>
  <si>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</si>
  <si>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</si>
  <si>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</si>
  <si>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</si>
  <si>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</si>
  <si>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</si>
  <si>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</si>
  <si>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</si>
  <si>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</si>
  <si>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</si>
  <si>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</si>
  <si>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</si>
  <si>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</si>
  <si>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</si>
  <si>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</si>
  <si>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</si>
  <si>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</si>
  <si>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</si>
  <si>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</si>
  <si>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</si>
  <si>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</si>
  <si>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</si>
  <si>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</si>
  <si>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</si>
  <si>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</si>
  <si>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</si>
  <si>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</si>
  <si>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</si>
  <si>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</si>
  <si>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</si>
  <si>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</si>
  <si>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</si>
  <si>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</si>
  <si>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</si>
  <si>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</si>
  <si>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</si>
  <si>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</si>
  <si>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</si>
  <si>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</si>
  <si>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</si>
  <si>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</si>
  <si>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</si>
  <si>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</si>
  <si>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</si>
  <si>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</si>
  <si>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</si>
  <si>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</si>
  <si>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</si>
  <si>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</si>
  <si>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</si>
  <si>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</si>
  <si>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</si>
  <si>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</si>
  <si>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</si>
  <si>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</si>
  <si>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</si>
  <si>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</si>
  <si>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</si>
  <si>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</si>
  <si>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</si>
  <si>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</si>
  <si>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</si>
  <si>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</si>
  <si>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</si>
  <si>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</si>
  <si>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</si>
  <si>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</si>
  <si>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</si>
  <si>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</si>
  <si>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</si>
  <si>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</si>
  <si>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</si>
  <si>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</si>
  <si>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</si>
  <si>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</si>
  <si>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</si>
  <si>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</si>
  <si>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</si>
  <si>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</si>
  <si>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</si>
  <si>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</si>
  <si>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</si>
  <si>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</si>
  <si>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</si>
  <si>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</si>
  <si>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</si>
  <si>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</si>
  <si>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</si>
  <si>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</si>
  <si>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</si>
  <si>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</si>
  <si>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</si>
  <si>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</si>
  <si>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</si>
  <si>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</si>
  <si>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</si>
  <si>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</si>
  <si>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</si>
  <si>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</si>
  <si>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</si>
  <si>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</si>
  <si>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</si>
  <si>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</si>
  <si>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</si>
  <si>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</si>
  <si>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</si>
  <si>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</si>
  <si>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</si>
  <si>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</si>
  <si>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</si>
  <si>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</si>
  <si>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</si>
  <si>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</si>
  <si>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</si>
  <si>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</si>
  <si>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</si>
  <si>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</si>
  <si>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</si>
  <si>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</si>
  <si>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</si>
  <si>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</si>
  <si>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</si>
  <si>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</si>
  <si>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</si>
  <si>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</si>
  <si>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</si>
  <si>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</si>
  <si>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</si>
  <si>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</si>
  <si>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</si>
  <si>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</si>
  <si>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</si>
  <si>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</si>
  <si>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</si>
  <si>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</si>
  <si>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</si>
  <si>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</si>
  <si>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</si>
  <si>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</si>
  <si>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</si>
  <si>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</si>
  <si>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</si>
  <si>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</si>
  <si>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</si>
  <si>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</si>
  <si>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</si>
  <si>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</si>
  <si>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</si>
  <si>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</si>
  <si>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</si>
  <si>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</si>
  <si>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</si>
  <si>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</si>
  <si>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</si>
  <si>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</si>
  <si>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</si>
  <si>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</si>
  <si>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</si>
  <si>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</si>
  <si>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</si>
  <si>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</si>
  <si>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</si>
  <si>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</si>
  <si>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</si>
  <si>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</si>
  <si>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</si>
  <si>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</si>
  <si>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</si>
  <si>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</si>
  <si>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</si>
  <si>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</si>
  <si>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</si>
  <si>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</si>
  <si>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</si>
  <si>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</si>
  <si>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</si>
  <si>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</si>
  <si>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</si>
  <si>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</si>
  <si>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</si>
  <si>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</si>
  <si>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</si>
  <si>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</si>
  <si>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Cook County</t>
  </si>
  <si>
    <t>1500 McDaniel Avenue</t>
  </si>
  <si>
    <t>Evanston</t>
  </si>
  <si>
    <t>obafemir@district65.net</t>
  </si>
  <si>
    <t>RSM US LLP</t>
  </si>
  <si>
    <t>John George</t>
  </si>
  <si>
    <t>One South Wacker, Suite 800</t>
  </si>
  <si>
    <t>Chicago</t>
  </si>
  <si>
    <t>IL</t>
  </si>
  <si>
    <t>312-634-3400</t>
  </si>
  <si>
    <t>312-634-5518</t>
  </si>
  <si>
    <t>066-003346</t>
  </si>
  <si>
    <t>john.george@rsmus.com</t>
  </si>
  <si>
    <t>See AFR Opinion on Opinion tab</t>
  </si>
  <si>
    <t>None</t>
  </si>
  <si>
    <t>N/A - No Single Audit</t>
  </si>
  <si>
    <t>N/A - No Findings</t>
  </si>
  <si>
    <t>legal support provided as necessary by E65 counsel</t>
  </si>
  <si>
    <t>administrative functions performed by Evanston 65 staff</t>
  </si>
  <si>
    <t>The joint agreeement is not allocated a liability (or on-behalf amount) by the State.  These amounts are allocated to the Districts who participate in the joint agreement</t>
  </si>
  <si>
    <t>Revenue source 4999 on tab 9-14 = Rehabilitation Services - Vocational Rehabilitation Grants to States</t>
  </si>
  <si>
    <t>Expense function 2190 on tab 15-22 = OT/PT salaries and benefits</t>
  </si>
  <si>
    <t>Expense function 2900 on tab 15-22 = TRS benefits and other miscellaneous expenses</t>
  </si>
  <si>
    <t>Question 2 on Audit Check tab - budget deficient part - AFR is complete.  Error shows as the joint agreement breaks even each year</t>
  </si>
  <si>
    <t>Question 10 on Audit Check Tab - unrestricted equals zero as joint agreement has no fund balance</t>
  </si>
  <si>
    <t>Park School - Education - Purchased Service</t>
  </si>
  <si>
    <t>10-1000-300</t>
  </si>
  <si>
    <t>Assured Healthcare Staffing</t>
  </si>
  <si>
    <t>Phil Ehrhardt</t>
  </si>
  <si>
    <t>847-859-8010</t>
  </si>
  <si>
    <t>superintendent@district65.net</t>
  </si>
  <si>
    <t>Kathy Zalewski</t>
  </si>
  <si>
    <t>847-859-8043</t>
  </si>
  <si>
    <t>Signed pages of AFR</t>
  </si>
  <si>
    <t>Financial Statements</t>
  </si>
  <si>
    <t>GAS IC Report</t>
  </si>
  <si>
    <t>AFR Opinion</t>
  </si>
  <si>
    <t>Evanston Dists 65/202 Jnt Agr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</si>
</sst>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6" fillId="0" borderId="0" xfId="0" applyFont="1" applyAlignment="1">
      <alignment horizontal="right"/>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56" fillId="0" borderId="0" xfId="0" applyFont="1" applyAlignment="1">
      <alignment horizontal="left" wrapText="1"/>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14999847407452621"/>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6" t="s">
        <v>405</v>
      </c>
      <c r="J1" s="1987"/>
      <c r="K1" s="1987"/>
      <c r="L1" s="1987"/>
      <c r="M1" s="1987"/>
      <c r="N1" s="1987"/>
      <c r="O1" s="1987"/>
      <c r="P1" s="1987"/>
      <c r="Q1" s="1987"/>
      <c r="R1" s="1987"/>
      <c r="S1" s="1987"/>
    </row>
    <row r="2" spans="1:28" ht="12" customHeight="1" x14ac:dyDescent="0.2">
      <c r="A2" s="47" t="s">
        <v>1991</v>
      </c>
      <c r="D2" s="48"/>
      <c r="I2" s="1988" t="s">
        <v>979</v>
      </c>
      <c r="J2" s="1987"/>
      <c r="K2" s="1987"/>
      <c r="L2" s="1987"/>
      <c r="M2" s="1987"/>
      <c r="N2" s="1987"/>
      <c r="O2" s="1987"/>
      <c r="P2" s="1987"/>
      <c r="Q2" s="1987"/>
      <c r="R2" s="1987"/>
      <c r="S2" s="1987"/>
    </row>
    <row r="3" spans="1:28" ht="12" customHeight="1" x14ac:dyDescent="0.2">
      <c r="A3" s="155" t="s">
        <v>1943</v>
      </c>
      <c r="B3" s="156"/>
      <c r="C3" s="156"/>
      <c r="D3" s="157"/>
      <c r="I3" s="1988" t="s">
        <v>52</v>
      </c>
      <c r="J3" s="1987"/>
      <c r="K3" s="1987"/>
      <c r="L3" s="1987"/>
      <c r="M3" s="1987"/>
      <c r="N3" s="1987"/>
      <c r="O3" s="1987"/>
      <c r="P3" s="1987"/>
      <c r="Q3" s="1987"/>
      <c r="R3" s="1987"/>
      <c r="S3" s="1987"/>
    </row>
    <row r="4" spans="1:28" ht="12" customHeight="1" x14ac:dyDescent="0.2">
      <c r="A4" s="37"/>
      <c r="I4" s="1988" t="s">
        <v>524</v>
      </c>
      <c r="J4" s="1987"/>
      <c r="K4" s="1987"/>
      <c r="L4" s="1987"/>
      <c r="M4" s="1987"/>
      <c r="N4" s="1987"/>
      <c r="O4" s="1987"/>
      <c r="P4" s="1987"/>
      <c r="Q4" s="1987"/>
      <c r="R4" s="1987"/>
      <c r="S4" s="1987"/>
    </row>
    <row r="5" spans="1:28" ht="14.1" customHeight="1" x14ac:dyDescent="0.2">
      <c r="B5" s="104"/>
      <c r="C5" s="26" t="s">
        <v>910</v>
      </c>
      <c r="D5" s="84"/>
      <c r="E5" s="84"/>
      <c r="H5" s="38"/>
      <c r="I5" s="1996" t="s">
        <v>680</v>
      </c>
      <c r="J5" s="1995"/>
      <c r="K5" s="1995"/>
      <c r="L5" s="1995"/>
      <c r="M5" s="1995"/>
      <c r="N5" s="1995"/>
      <c r="O5" s="1995"/>
      <c r="P5" s="1995"/>
      <c r="Q5" s="1995"/>
      <c r="R5" s="1995"/>
      <c r="S5" s="1995"/>
    </row>
    <row r="6" spans="1:28" ht="14.1" customHeight="1" x14ac:dyDescent="0.2">
      <c r="B6" s="104" t="s">
        <v>2065</v>
      </c>
      <c r="C6" s="26" t="s">
        <v>911</v>
      </c>
      <c r="D6" s="84"/>
      <c r="E6" s="84"/>
      <c r="I6" s="1994" t="s">
        <v>883</v>
      </c>
      <c r="J6" s="1995"/>
      <c r="K6" s="1995"/>
      <c r="L6" s="1995"/>
      <c r="M6" s="1995"/>
      <c r="N6" s="1995"/>
      <c r="O6" s="1995"/>
      <c r="P6" s="1995"/>
      <c r="Q6" s="1995"/>
      <c r="R6" s="1995"/>
      <c r="S6" s="1995"/>
    </row>
    <row r="7" spans="1:28" ht="12.2" customHeight="1" x14ac:dyDescent="0.2">
      <c r="I7" s="1989">
        <v>43646</v>
      </c>
      <c r="J7" s="1990"/>
      <c r="K7" s="1990"/>
      <c r="L7" s="1990"/>
      <c r="M7" s="1990"/>
      <c r="N7" s="1990"/>
      <c r="O7" s="1990"/>
      <c r="P7" s="1990"/>
      <c r="Q7" s="1990"/>
      <c r="R7" s="1990"/>
      <c r="S7" s="199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1" t="s">
        <v>674</v>
      </c>
      <c r="J9" s="1992"/>
      <c r="K9" s="1992"/>
      <c r="L9" s="1992"/>
      <c r="M9" s="1992"/>
      <c r="N9" s="1992"/>
      <c r="O9" s="1992"/>
      <c r="P9" s="1992"/>
      <c r="Q9" s="1992"/>
      <c r="R9" s="1992"/>
      <c r="S9" s="1993"/>
      <c r="T9" s="2007" t="s">
        <v>533</v>
      </c>
      <c r="U9" s="2008"/>
      <c r="V9" s="2008"/>
      <c r="W9" s="2008"/>
      <c r="X9" s="2008"/>
      <c r="Y9" s="2008"/>
      <c r="Z9" s="2008"/>
      <c r="AA9" s="2009"/>
    </row>
    <row r="10" spans="1:28" ht="13.5" customHeight="1" x14ac:dyDescent="0.2">
      <c r="A10" s="2014" t="s">
        <v>675</v>
      </c>
      <c r="B10" s="2015"/>
      <c r="C10" s="2015"/>
      <c r="D10" s="2015"/>
      <c r="E10" s="2015"/>
      <c r="F10" s="2015"/>
      <c r="G10" s="2015"/>
      <c r="H10" s="2016"/>
      <c r="I10" s="29"/>
      <c r="J10" s="30"/>
      <c r="K10" s="28"/>
      <c r="R10" s="30"/>
      <c r="S10" s="30"/>
      <c r="T10" s="2010"/>
      <c r="U10" s="1995"/>
      <c r="V10" s="1995"/>
      <c r="W10" s="1995"/>
      <c r="X10" s="1995"/>
      <c r="Y10" s="1995"/>
      <c r="Z10" s="1995"/>
      <c r="AA10" s="2001"/>
    </row>
    <row r="11" spans="1:28" ht="14.25" customHeight="1" x14ac:dyDescent="0.2">
      <c r="A11" s="2017" t="s">
        <v>955</v>
      </c>
      <c r="B11" s="2018"/>
      <c r="C11" s="2018"/>
      <c r="D11" s="2018"/>
      <c r="E11" s="2018"/>
      <c r="F11" s="2018"/>
      <c r="G11" s="2018"/>
      <c r="H11" s="2019"/>
      <c r="I11" s="27"/>
      <c r="J11" s="74"/>
      <c r="K11" s="27"/>
      <c r="O11" s="148" t="s">
        <v>2065</v>
      </c>
      <c r="P11" s="100" t="s">
        <v>201</v>
      </c>
      <c r="Q11" s="30"/>
      <c r="R11" s="28"/>
      <c r="S11" s="27"/>
      <c r="T11" s="2011"/>
      <c r="U11" s="2012"/>
      <c r="V11" s="2012"/>
      <c r="W11" s="2012"/>
      <c r="X11" s="2012"/>
      <c r="Y11" s="2012"/>
      <c r="Z11" s="2012"/>
      <c r="AA11" s="201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1">
        <v>5016065061</v>
      </c>
      <c r="B13" s="2022"/>
      <c r="C13" s="2022"/>
      <c r="D13" s="2022"/>
      <c r="E13" s="2022"/>
      <c r="F13" s="2022"/>
      <c r="G13" s="2022"/>
      <c r="H13" s="2023"/>
      <c r="I13" s="31"/>
      <c r="J13" s="30"/>
      <c r="K13" s="28"/>
      <c r="L13" s="30"/>
      <c r="M13" s="30"/>
      <c r="N13" s="30"/>
      <c r="O13" s="30"/>
      <c r="P13" s="30"/>
      <c r="Q13" s="30"/>
      <c r="R13" s="30"/>
      <c r="S13" s="30"/>
      <c r="T13" s="2026" t="s">
        <v>2070</v>
      </c>
      <c r="U13" s="2027"/>
      <c r="V13" s="2027"/>
      <c r="W13" s="2027"/>
      <c r="X13" s="2027"/>
      <c r="Y13" s="2028"/>
      <c r="Z13" s="2028"/>
      <c r="AA13" s="202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0" t="s">
        <v>2066</v>
      </c>
      <c r="B15" s="2024"/>
      <c r="C15" s="2024"/>
      <c r="D15" s="2024"/>
      <c r="E15" s="2024"/>
      <c r="F15" s="2024"/>
      <c r="G15" s="2024"/>
      <c r="H15" s="2025"/>
      <c r="T15" s="2030" t="s">
        <v>2071</v>
      </c>
      <c r="U15" s="1974"/>
      <c r="V15" s="1974"/>
      <c r="W15" s="1974"/>
      <c r="X15" s="1974"/>
      <c r="Y15" s="2031"/>
      <c r="Z15" s="2031"/>
      <c r="AA15" s="203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0" t="s">
        <v>2103</v>
      </c>
      <c r="B17" s="1981"/>
      <c r="C17" s="1981"/>
      <c r="D17" s="1981"/>
      <c r="E17" s="1981"/>
      <c r="F17" s="1981"/>
      <c r="G17" s="1981"/>
      <c r="H17" s="2006"/>
      <c r="T17" s="2037" t="s">
        <v>2072</v>
      </c>
      <c r="U17" s="2038"/>
      <c r="V17" s="2038"/>
      <c r="W17" s="2038"/>
      <c r="X17" s="2038"/>
      <c r="Y17" s="2038"/>
      <c r="Z17" s="2038"/>
      <c r="AA17" s="2039"/>
    </row>
    <row r="18" spans="1:27" ht="13.5" customHeight="1" x14ac:dyDescent="0.2">
      <c r="A18" s="85" t="s">
        <v>530</v>
      </c>
      <c r="B18" s="76"/>
      <c r="C18" s="72"/>
      <c r="D18" s="76"/>
      <c r="E18" s="76"/>
      <c r="F18" s="76"/>
      <c r="G18" s="76"/>
      <c r="H18" s="56"/>
      <c r="I18" s="2005" t="s">
        <v>676</v>
      </c>
      <c r="J18" s="1956"/>
      <c r="K18" s="1956"/>
      <c r="L18" s="1956"/>
      <c r="M18" s="1956"/>
      <c r="N18" s="1956"/>
      <c r="O18" s="1956"/>
      <c r="P18" s="1956"/>
      <c r="Q18" s="1956"/>
      <c r="R18" s="1956"/>
      <c r="S18" s="1957"/>
      <c r="T18" s="85" t="s">
        <v>711</v>
      </c>
      <c r="U18" s="51"/>
      <c r="V18" s="72"/>
      <c r="W18" s="50"/>
      <c r="X18" s="85" t="s">
        <v>266</v>
      </c>
      <c r="Y18" s="81"/>
      <c r="Z18" s="159" t="s">
        <v>677</v>
      </c>
      <c r="AA18" s="46"/>
    </row>
    <row r="19" spans="1:27" ht="13.5" customHeight="1" x14ac:dyDescent="0.2">
      <c r="A19" s="2020" t="s">
        <v>2067</v>
      </c>
      <c r="B19" s="1966"/>
      <c r="C19" s="1966"/>
      <c r="D19" s="1966"/>
      <c r="E19" s="1966"/>
      <c r="F19" s="1966"/>
      <c r="G19" s="1966"/>
      <c r="H19" s="1946"/>
      <c r="I19" s="30"/>
      <c r="J19" s="99"/>
      <c r="K19" s="40"/>
      <c r="L19" s="38"/>
      <c r="M19" s="112" t="s">
        <v>315</v>
      </c>
      <c r="P19" s="27"/>
      <c r="Q19" s="27"/>
      <c r="R19" s="27"/>
      <c r="S19" s="31"/>
      <c r="T19" s="2020" t="s">
        <v>2073</v>
      </c>
      <c r="U19" s="1945"/>
      <c r="V19" s="1945"/>
      <c r="W19" s="1946"/>
      <c r="X19" s="2035" t="s">
        <v>2074</v>
      </c>
      <c r="Y19" s="2036"/>
      <c r="Z19" s="2033">
        <v>60606</v>
      </c>
      <c r="AA19" s="203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4" t="s">
        <v>2068</v>
      </c>
      <c r="B21" s="1945"/>
      <c r="C21" s="1945"/>
      <c r="D21" s="1945"/>
      <c r="E21" s="1945"/>
      <c r="F21" s="1945"/>
      <c r="G21" s="1945"/>
      <c r="H21" s="1946"/>
      <c r="I21" s="2000" t="s">
        <v>678</v>
      </c>
      <c r="J21" s="1995"/>
      <c r="K21" s="1995"/>
      <c r="L21" s="1995"/>
      <c r="M21" s="1995"/>
      <c r="N21" s="1995"/>
      <c r="O21" s="1995"/>
      <c r="P21" s="1995"/>
      <c r="Q21" s="1995"/>
      <c r="R21" s="1995"/>
      <c r="S21" s="2001"/>
      <c r="T21" s="2044" t="s">
        <v>2075</v>
      </c>
      <c r="U21" s="2045"/>
      <c r="V21" s="2045"/>
      <c r="W21" s="2045"/>
      <c r="X21" s="2050" t="s">
        <v>2076</v>
      </c>
      <c r="Y21" s="2051"/>
      <c r="Z21" s="2051"/>
      <c r="AA21" s="2052"/>
    </row>
    <row r="22" spans="1:27" ht="13.5" customHeight="1" x14ac:dyDescent="0.2">
      <c r="A22" s="87" t="s">
        <v>531</v>
      </c>
      <c r="B22" s="59"/>
      <c r="C22" s="59"/>
      <c r="D22" s="59"/>
      <c r="E22" s="59"/>
      <c r="F22" s="59"/>
      <c r="G22" s="59"/>
      <c r="H22" s="60"/>
      <c r="I22" s="2002" t="s">
        <v>1429</v>
      </c>
      <c r="J22" s="2003"/>
      <c r="K22" s="2003"/>
      <c r="L22" s="2003"/>
      <c r="M22" s="2003"/>
      <c r="N22" s="2003"/>
      <c r="O22" s="2003"/>
      <c r="P22" s="2003"/>
      <c r="Q22" s="2003"/>
      <c r="R22" s="2003"/>
      <c r="S22" s="2004"/>
      <c r="T22" s="85" t="s">
        <v>1516</v>
      </c>
      <c r="U22" s="51"/>
      <c r="V22" s="72"/>
      <c r="W22" s="51"/>
      <c r="X22" s="160" t="s">
        <v>1318</v>
      </c>
      <c r="Z22" s="45"/>
      <c r="AA22" s="46"/>
    </row>
    <row r="23" spans="1:27" ht="13.5" customHeight="1" x14ac:dyDescent="0.2">
      <c r="A23" s="1997" t="s">
        <v>2069</v>
      </c>
      <c r="B23" s="1998"/>
      <c r="C23" s="1998"/>
      <c r="D23" s="1998"/>
      <c r="E23" s="1998"/>
      <c r="F23" s="1998"/>
      <c r="G23" s="1998"/>
      <c r="H23" s="1999"/>
      <c r="T23" s="1980" t="s">
        <v>2077</v>
      </c>
      <c r="U23" s="2043"/>
      <c r="V23" s="2043"/>
      <c r="W23" s="2043"/>
      <c r="X23" s="2047">
        <v>44530</v>
      </c>
      <c r="Y23" s="2048"/>
      <c r="Z23" s="2048"/>
      <c r="AA23" s="2049"/>
    </row>
    <row r="24" spans="1:27" ht="14.1" customHeight="1" x14ac:dyDescent="0.2">
      <c r="A24" s="88" t="s">
        <v>677</v>
      </c>
      <c r="B24" s="49"/>
      <c r="C24" s="49"/>
      <c r="D24" s="49"/>
      <c r="E24" s="49"/>
      <c r="F24" s="49"/>
      <c r="G24" s="49"/>
      <c r="H24" s="61"/>
      <c r="J24" s="1967" t="str">
        <f>IF(B5="x",IF(AUDITCHECK!D29="AFR form Incomplete.","",IF(AUDITCHECK!D29="Deficit reduction plan is required.","School District must complete a deficit reduction plan in the 2019-2020 Budget",)),"")</f>
        <v/>
      </c>
      <c r="K24" s="1967"/>
      <c r="L24" s="1967"/>
      <c r="M24" s="1967"/>
      <c r="N24" s="1967"/>
      <c r="O24" s="1967"/>
      <c r="P24" s="1967"/>
      <c r="Q24" s="1967"/>
      <c r="R24" s="1967"/>
      <c r="S24" s="1968"/>
      <c r="T24" s="105" t="s">
        <v>531</v>
      </c>
      <c r="U24" s="106"/>
      <c r="V24" s="106"/>
      <c r="W24" s="106"/>
      <c r="X24" s="107"/>
      <c r="Y24" s="107"/>
      <c r="Z24" s="107"/>
      <c r="AA24" s="108"/>
    </row>
    <row r="25" spans="1:27" ht="14.1" customHeight="1" x14ac:dyDescent="0.2">
      <c r="A25" s="1944">
        <v>60201</v>
      </c>
      <c r="B25" s="1945"/>
      <c r="C25" s="1945"/>
      <c r="D25" s="1945"/>
      <c r="E25" s="1945"/>
      <c r="F25" s="1945"/>
      <c r="G25" s="1945"/>
      <c r="H25" s="1946"/>
      <c r="I25" s="113"/>
      <c r="J25" s="1969"/>
      <c r="K25" s="1969"/>
      <c r="L25" s="1969"/>
      <c r="M25" s="1969"/>
      <c r="N25" s="1969"/>
      <c r="O25" s="1969"/>
      <c r="P25" s="1969"/>
      <c r="Q25" s="1969"/>
      <c r="R25" s="1969"/>
      <c r="S25" s="1970"/>
      <c r="T25" s="2040" t="s">
        <v>2078</v>
      </c>
      <c r="U25" s="2041"/>
      <c r="V25" s="2041"/>
      <c r="W25" s="2041"/>
      <c r="X25" s="2041"/>
      <c r="Y25" s="2041"/>
      <c r="Z25" s="2041"/>
      <c r="AA25" s="20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5" t="s">
        <v>1511</v>
      </c>
      <c r="J27" s="1956"/>
      <c r="K27" s="1956"/>
      <c r="L27" s="1956"/>
      <c r="M27" s="1956"/>
      <c r="N27" s="1956"/>
      <c r="O27" s="1956"/>
      <c r="P27" s="1956"/>
      <c r="Q27" s="1956"/>
      <c r="R27" s="1956"/>
      <c r="S27" s="195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6"/>
      <c r="Q35" s="1945"/>
      <c r="R35" s="194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0" t="s">
        <v>2094</v>
      </c>
      <c r="B38" s="1981"/>
      <c r="C38" s="1981"/>
      <c r="D38" s="1981"/>
      <c r="E38" s="1981"/>
      <c r="F38" s="1945"/>
      <c r="G38" s="1945"/>
      <c r="H38" s="1946"/>
      <c r="I38" s="1973"/>
      <c r="J38" s="1974"/>
      <c r="K38" s="1974"/>
      <c r="L38" s="1974"/>
      <c r="M38" s="1974"/>
      <c r="N38" s="1974"/>
      <c r="O38" s="1974"/>
      <c r="P38" s="1975"/>
      <c r="Q38" s="1975"/>
      <c r="R38" s="1975"/>
      <c r="S38" s="1976"/>
      <c r="T38" s="2030"/>
      <c r="U38" s="1974"/>
      <c r="V38" s="1974"/>
      <c r="W38" s="1974"/>
      <c r="X38" s="1975"/>
      <c r="Y38" s="1975"/>
      <c r="Z38" s="1975"/>
      <c r="AA38" s="1976"/>
    </row>
    <row r="39" spans="1:27" ht="12" customHeight="1" x14ac:dyDescent="0.2">
      <c r="A39" s="1950" t="s">
        <v>531</v>
      </c>
      <c r="B39" s="1951"/>
      <c r="C39" s="72"/>
      <c r="D39" s="69"/>
      <c r="E39" s="69"/>
      <c r="F39" s="79"/>
      <c r="G39" s="69"/>
      <c r="H39" s="56"/>
      <c r="I39" s="1950" t="s">
        <v>531</v>
      </c>
      <c r="J39" s="1951"/>
      <c r="K39" s="1951"/>
      <c r="L39" s="1951"/>
      <c r="M39" s="1951"/>
      <c r="N39" s="67"/>
      <c r="O39" s="72"/>
      <c r="P39" s="72"/>
      <c r="Q39" s="78"/>
      <c r="R39" s="72"/>
      <c r="S39" s="56"/>
      <c r="T39" s="72" t="s">
        <v>531</v>
      </c>
      <c r="U39" s="51"/>
      <c r="V39" s="72"/>
      <c r="W39" s="50"/>
      <c r="X39" s="78"/>
      <c r="Y39" s="45"/>
      <c r="Z39" s="45"/>
      <c r="AA39" s="46"/>
    </row>
    <row r="40" spans="1:27" ht="13.5" customHeight="1" x14ac:dyDescent="0.2">
      <c r="A40" s="1958" t="s">
        <v>2096</v>
      </c>
      <c r="B40" s="1959"/>
      <c r="C40" s="1960"/>
      <c r="D40" s="1960"/>
      <c r="E40" s="1960"/>
      <c r="F40" s="1961"/>
      <c r="G40" s="1961"/>
      <c r="H40" s="1962"/>
      <c r="I40" s="1983"/>
      <c r="J40" s="1984"/>
      <c r="K40" s="1984"/>
      <c r="L40" s="1984"/>
      <c r="M40" s="1984"/>
      <c r="N40" s="1984"/>
      <c r="O40" s="1984"/>
      <c r="P40" s="1984"/>
      <c r="Q40" s="1984"/>
      <c r="R40" s="1984"/>
      <c r="S40" s="1985"/>
      <c r="T40" s="1983"/>
      <c r="U40" s="2046"/>
      <c r="V40" s="1984"/>
      <c r="W40" s="1984"/>
      <c r="X40" s="1984"/>
      <c r="Y40" s="1984"/>
      <c r="Z40" s="1984"/>
      <c r="AA40" s="198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2" t="s">
        <v>2095</v>
      </c>
      <c r="B42" s="1964"/>
      <c r="C42" s="1965"/>
      <c r="D42" s="1963"/>
      <c r="E42" s="1964"/>
      <c r="F42" s="1964"/>
      <c r="G42" s="1964"/>
      <c r="H42" s="1965"/>
      <c r="I42" s="1947"/>
      <c r="J42" s="1948"/>
      <c r="K42" s="1948"/>
      <c r="L42" s="1948"/>
      <c r="M42" s="1948"/>
      <c r="N42" s="1948"/>
      <c r="O42" s="1949"/>
      <c r="P42" s="1982"/>
      <c r="Q42" s="1948"/>
      <c r="R42" s="1948"/>
      <c r="S42" s="1949"/>
      <c r="T42" s="1947"/>
      <c r="U42" s="1948"/>
      <c r="V42" s="1948"/>
      <c r="W42" s="1949"/>
      <c r="X42" s="1982"/>
      <c r="Y42" s="1948"/>
      <c r="Z42" s="1948"/>
      <c r="AA42" s="194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7"/>
      <c r="B44" s="1978"/>
      <c r="C44" s="1978"/>
      <c r="D44" s="1978"/>
      <c r="E44" s="1978"/>
      <c r="F44" s="1978"/>
      <c r="G44" s="1978"/>
      <c r="H44" s="1979"/>
      <c r="I44" s="1952"/>
      <c r="J44" s="1953"/>
      <c r="K44" s="1953"/>
      <c r="L44" s="1953"/>
      <c r="M44" s="1953"/>
      <c r="N44" s="1953"/>
      <c r="O44" s="1953"/>
      <c r="P44" s="1953"/>
      <c r="Q44" s="1953"/>
      <c r="R44" s="1953"/>
      <c r="S44" s="1954"/>
      <c r="T44" s="1952"/>
      <c r="U44" s="1971"/>
      <c r="V44" s="1971"/>
      <c r="W44" s="1971"/>
      <c r="X44" s="1971"/>
      <c r="Y44" s="1971"/>
      <c r="Z44" s="1953"/>
      <c r="AA44" s="195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tint="-0.14999847407452621"/>
  </sheetPr>
  <dimension ref="A1:F36"/>
  <sheetViews>
    <sheetView showGridLines="0" defaultGridColor="0" colorId="8" zoomScale="110" zoomScaleNormal="110" workbookViewId="0">
      <selection activeCell="B1" sqref="B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6" t="s">
        <v>1802</v>
      </c>
      <c r="B2" s="1528" t="s">
        <v>1949</v>
      </c>
      <c r="C2" s="714" t="s">
        <v>1950</v>
      </c>
      <c r="D2" s="714" t="s">
        <v>1951</v>
      </c>
      <c r="E2" s="714" t="s">
        <v>1952</v>
      </c>
      <c r="F2" s="714" t="s">
        <v>1953</v>
      </c>
    </row>
    <row r="3" spans="1:6" ht="12" customHeight="1" x14ac:dyDescent="0.2">
      <c r="A3" s="2187"/>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fitToPage="1"/>
  </sheetPr>
  <dimension ref="A1:K59"/>
  <sheetViews>
    <sheetView showGridLines="0" defaultGridColor="0" topLeftCell="A2" colorId="8" zoomScale="110" zoomScaleNormal="110" workbookViewId="0">
      <selection activeCell="B1" sqref="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629</v>
      </c>
      <c r="B1" s="2206"/>
      <c r="C1" s="721"/>
    </row>
    <row r="2" spans="1:7" ht="33.75" x14ac:dyDescent="0.2">
      <c r="A2" s="2213" t="s">
        <v>1802</v>
      </c>
      <c r="B2" s="2214"/>
      <c r="C2" s="1884" t="s">
        <v>1954</v>
      </c>
      <c r="D2" s="723" t="s">
        <v>1955</v>
      </c>
      <c r="E2" s="723" t="s">
        <v>1956</v>
      </c>
      <c r="F2" s="1884" t="s">
        <v>1957</v>
      </c>
    </row>
    <row r="3" spans="1:7" ht="15.75" customHeight="1" x14ac:dyDescent="0.2">
      <c r="A3" s="2215" t="s">
        <v>1114</v>
      </c>
      <c r="B3" s="2216"/>
      <c r="C3" s="2209"/>
      <c r="D3" s="2210"/>
      <c r="E3" s="2210"/>
      <c r="F3" s="2211"/>
    </row>
    <row r="4" spans="1:7" ht="12.75" customHeight="1" thickBot="1" x14ac:dyDescent="0.25">
      <c r="A4" s="2203" t="s">
        <v>630</v>
      </c>
      <c r="B4" s="2204"/>
      <c r="C4" s="581"/>
      <c r="D4" s="581"/>
      <c r="E4" s="581"/>
      <c r="F4" s="1755">
        <f>SUM(C4+D4)-E4</f>
        <v>0</v>
      </c>
    </row>
    <row r="5" spans="1:7" ht="15.75" customHeight="1" thickTop="1" x14ac:dyDescent="0.2">
      <c r="A5" s="2207" t="s">
        <v>1110</v>
      </c>
      <c r="B5" s="2202"/>
      <c r="C5" s="2196"/>
      <c r="D5" s="2197"/>
      <c r="E5" s="2197"/>
      <c r="F5" s="219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9" t="s">
        <v>631</v>
      </c>
      <c r="B15" s="2200"/>
      <c r="C15" s="1755">
        <f>SUM(C6:C14)</f>
        <v>0</v>
      </c>
      <c r="D15" s="1755">
        <f>SUM(D6:D14)</f>
        <v>0</v>
      </c>
      <c r="E15" s="1755">
        <f>SUM(E6:E14)</f>
        <v>0</v>
      </c>
      <c r="F15" s="1755">
        <f>SUM(F6:F14)</f>
        <v>0</v>
      </c>
      <c r="G15" s="552"/>
    </row>
    <row r="16" spans="1:7" s="202" customFormat="1" ht="15.75" customHeight="1" thickTop="1" x14ac:dyDescent="0.2">
      <c r="A16" s="2212" t="s">
        <v>1111</v>
      </c>
      <c r="B16" s="2202"/>
      <c r="C16" s="2196"/>
      <c r="D16" s="2197"/>
      <c r="E16" s="2197"/>
      <c r="F16" s="2198"/>
    </row>
    <row r="17" spans="1:11" ht="12.75" customHeight="1" thickBot="1" x14ac:dyDescent="0.25">
      <c r="A17" s="2194" t="s">
        <v>64</v>
      </c>
      <c r="B17" s="2195"/>
      <c r="C17" s="726"/>
      <c r="D17" s="585"/>
      <c r="E17" s="726"/>
      <c r="F17" s="1755">
        <f>SUM(C17+D17)-E17</f>
        <v>0</v>
      </c>
    </row>
    <row r="18" spans="1:11" ht="12.75" customHeight="1" thickTop="1" thickBot="1" x14ac:dyDescent="0.25">
      <c r="A18" s="2194" t="s">
        <v>6</v>
      </c>
      <c r="B18" s="2195"/>
      <c r="C18" s="726"/>
      <c r="D18" s="585"/>
      <c r="E18" s="726"/>
      <c r="F18" s="1755">
        <f>SUM(C18+D18)-E18</f>
        <v>0</v>
      </c>
    </row>
    <row r="19" spans="1:11" ht="12.75" customHeight="1" thickTop="1" thickBot="1" x14ac:dyDescent="0.25">
      <c r="A19" s="2194" t="s">
        <v>388</v>
      </c>
      <c r="B19" s="2195"/>
      <c r="C19" s="726"/>
      <c r="D19" s="585"/>
      <c r="E19" s="726"/>
      <c r="F19" s="1755">
        <f>SUM(C19+D19)-E19</f>
        <v>0</v>
      </c>
    </row>
    <row r="20" spans="1:11" ht="12.75" customHeight="1" thickTop="1" thickBot="1" x14ac:dyDescent="0.25">
      <c r="A20" s="2194" t="s">
        <v>448</v>
      </c>
      <c r="B20" s="2195"/>
      <c r="C20" s="726"/>
      <c r="D20" s="585"/>
      <c r="E20" s="726"/>
      <c r="F20" s="1755">
        <f>SUM(C20+D20)-E20</f>
        <v>0</v>
      </c>
    </row>
    <row r="21" spans="1:11" ht="14.25" thickTop="1" thickBot="1" x14ac:dyDescent="0.25">
      <c r="A21" s="2199" t="s">
        <v>632</v>
      </c>
      <c r="B21" s="2200"/>
      <c r="C21" s="1755">
        <f>SUM(C17:C20)</f>
        <v>0</v>
      </c>
      <c r="D21" s="1755">
        <f>SUM(D17:D20)</f>
        <v>0</v>
      </c>
      <c r="E21" s="1755">
        <f>SUM(E17:E20)</f>
        <v>0</v>
      </c>
      <c r="F21" s="1755">
        <f>SUM(F17:F20)</f>
        <v>0</v>
      </c>
      <c r="G21" s="552"/>
    </row>
    <row r="22" spans="1:11" ht="15.75" customHeight="1" thickTop="1" x14ac:dyDescent="0.2">
      <c r="A22" s="2201" t="s">
        <v>1112</v>
      </c>
      <c r="B22" s="2202"/>
      <c r="C22" s="2196"/>
      <c r="D22" s="2197"/>
      <c r="E22" s="2197"/>
      <c r="F22" s="2198"/>
    </row>
    <row r="23" spans="1:11" ht="13.5" thickBot="1" x14ac:dyDescent="0.25">
      <c r="A23" s="2203" t="s">
        <v>633</v>
      </c>
      <c r="B23" s="2204"/>
      <c r="C23" s="581"/>
      <c r="D23" s="581"/>
      <c r="E23" s="581"/>
      <c r="F23" s="1755">
        <f>SUM(C23+D23)-E23</f>
        <v>0</v>
      </c>
      <c r="G23" s="552"/>
    </row>
    <row r="24" spans="1:11" ht="15.75" customHeight="1" thickTop="1" x14ac:dyDescent="0.2">
      <c r="A24" s="2201" t="s">
        <v>1113</v>
      </c>
      <c r="B24" s="2202"/>
      <c r="C24" s="2196"/>
      <c r="D24" s="2197"/>
      <c r="E24" s="2197"/>
      <c r="F24" s="2198"/>
    </row>
    <row r="25" spans="1:11" ht="13.5" thickBot="1" x14ac:dyDescent="0.25">
      <c r="A25" s="2203" t="s">
        <v>634</v>
      </c>
      <c r="B25" s="2204"/>
      <c r="C25" s="581"/>
      <c r="D25" s="581"/>
      <c r="E25" s="581"/>
      <c r="F25" s="1755">
        <f>SUM(C25+D25)-E25</f>
        <v>0</v>
      </c>
      <c r="G25" s="552"/>
    </row>
    <row r="26" spans="1:11" ht="15.75" customHeight="1" thickTop="1" x14ac:dyDescent="0.2">
      <c r="A26" s="2207" t="s">
        <v>657</v>
      </c>
      <c r="B26" s="2202"/>
      <c r="C26" s="727"/>
      <c r="D26" s="727"/>
      <c r="E26" s="727"/>
      <c r="F26" s="728"/>
    </row>
    <row r="27" spans="1:11" ht="13.5" thickBot="1" x14ac:dyDescent="0.25">
      <c r="A27" s="2199" t="s">
        <v>1070</v>
      </c>
      <c r="B27" s="2200"/>
      <c r="C27" s="585"/>
      <c r="D27" s="585"/>
      <c r="E27" s="585"/>
      <c r="F27" s="1755">
        <f>SUM(C27+D27)-E27</f>
        <v>0</v>
      </c>
      <c r="G27" s="552"/>
    </row>
    <row r="28" spans="1:11" ht="7.5" customHeight="1" thickTop="1" x14ac:dyDescent="0.2">
      <c r="A28" s="593"/>
    </row>
    <row r="29" spans="1:11" ht="23.25" customHeight="1" x14ac:dyDescent="0.2">
      <c r="A29" s="2205" t="s">
        <v>582</v>
      </c>
      <c r="B29" s="2206"/>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8" t="s">
        <v>584</v>
      </c>
      <c r="C52" s="2189"/>
      <c r="D52" s="2189"/>
      <c r="E52" s="749" t="s">
        <v>845</v>
      </c>
      <c r="F52" s="2190"/>
      <c r="G52" s="2191"/>
      <c r="H52" s="736"/>
      <c r="I52" s="736"/>
      <c r="J52" s="746"/>
    </row>
    <row r="53" spans="1:11" ht="11.25" customHeight="1" x14ac:dyDescent="0.2">
      <c r="A53" s="750" t="s">
        <v>913</v>
      </c>
      <c r="B53" s="751" t="s">
        <v>951</v>
      </c>
      <c r="C53" s="746"/>
      <c r="D53" s="737"/>
      <c r="E53" s="749" t="s">
        <v>497</v>
      </c>
      <c r="F53" s="2192"/>
      <c r="G53" s="2193"/>
      <c r="H53" s="736"/>
      <c r="I53" s="736"/>
      <c r="J53" s="746"/>
    </row>
    <row r="54" spans="1:11" ht="11.25" customHeight="1" x14ac:dyDescent="0.2">
      <c r="A54" s="752" t="s">
        <v>914</v>
      </c>
      <c r="B54" s="747" t="s">
        <v>952</v>
      </c>
      <c r="C54" s="746"/>
      <c r="D54" s="737"/>
      <c r="E54" s="749" t="s">
        <v>498</v>
      </c>
      <c r="F54" s="2192"/>
      <c r="G54" s="219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tint="-0.14999847407452621"/>
  </sheetPr>
  <dimension ref="A1:K48"/>
  <sheetViews>
    <sheetView showGridLines="0" defaultGridColor="0" colorId="8" zoomScale="110" zoomScaleNormal="110" workbookViewId="0">
      <selection activeCell="B1" sqref="B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7" t="s">
        <v>856</v>
      </c>
      <c r="B1" s="2218"/>
      <c r="C1" s="2218"/>
      <c r="D1" s="2218"/>
      <c r="E1" s="2218"/>
      <c r="F1" s="2218"/>
      <c r="G1" s="2219"/>
      <c r="H1" s="1530"/>
      <c r="I1" s="760"/>
      <c r="J1" s="433"/>
    </row>
    <row r="2" spans="1:11" ht="26.25" x14ac:dyDescent="0.2">
      <c r="A2" s="2236" t="s">
        <v>1677</v>
      </c>
      <c r="B2" s="2237"/>
      <c r="C2" s="2237"/>
      <c r="D2" s="2237"/>
      <c r="E2" s="2238"/>
      <c r="F2" s="761" t="s">
        <v>904</v>
      </c>
      <c r="G2" s="762" t="s">
        <v>1674</v>
      </c>
      <c r="H2" s="762" t="s">
        <v>410</v>
      </c>
      <c r="I2" s="762" t="s">
        <v>1158</v>
      </c>
      <c r="J2" s="762" t="s">
        <v>1812</v>
      </c>
      <c r="K2" s="762" t="s">
        <v>138</v>
      </c>
    </row>
    <row r="3" spans="1:11" x14ac:dyDescent="0.2">
      <c r="A3" s="2239" t="s">
        <v>1962</v>
      </c>
      <c r="B3" s="2240"/>
      <c r="C3" s="2240"/>
      <c r="D3" s="2240"/>
      <c r="E3" s="2241"/>
      <c r="F3" s="763"/>
      <c r="G3" s="764"/>
      <c r="H3" s="764"/>
      <c r="I3" s="764"/>
      <c r="J3" s="765"/>
      <c r="K3" s="765"/>
    </row>
    <row r="4" spans="1:11" x14ac:dyDescent="0.2">
      <c r="A4" s="2242" t="s">
        <v>369</v>
      </c>
      <c r="B4" s="2243"/>
      <c r="C4" s="2243"/>
      <c r="D4" s="2243"/>
      <c r="E4" s="2189"/>
      <c r="F4" s="766"/>
      <c r="G4" s="767"/>
      <c r="H4" s="768"/>
      <c r="I4" s="767"/>
      <c r="J4" s="769"/>
      <c r="K4" s="769"/>
    </row>
    <row r="5" spans="1:11" x14ac:dyDescent="0.2">
      <c r="A5" s="2220" t="s">
        <v>1069</v>
      </c>
      <c r="B5" s="2221"/>
      <c r="C5" s="2221"/>
      <c r="D5" s="2221"/>
      <c r="E5" s="2222"/>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0" t="s">
        <v>1813</v>
      </c>
      <c r="B10" s="2221"/>
      <c r="C10" s="2221"/>
      <c r="D10" s="2221"/>
      <c r="E10" s="2223"/>
      <c r="F10" s="783" t="s">
        <v>862</v>
      </c>
      <c r="G10" s="782"/>
      <c r="H10" s="784"/>
      <c r="I10" s="764"/>
      <c r="J10" s="765"/>
      <c r="K10" s="765"/>
    </row>
    <row r="11" spans="1:11" x14ac:dyDescent="0.2">
      <c r="A11" s="2220" t="s">
        <v>160</v>
      </c>
      <c r="B11" s="2221"/>
      <c r="C11" s="2221"/>
      <c r="D11" s="2221"/>
      <c r="E11" s="2222"/>
      <c r="F11" s="770" t="s">
        <v>852</v>
      </c>
      <c r="G11" s="771"/>
      <c r="H11" s="764"/>
      <c r="I11" s="764"/>
      <c r="J11" s="765"/>
      <c r="K11" s="773"/>
    </row>
    <row r="12" spans="1:11" ht="13.5" thickBot="1" x14ac:dyDescent="0.25">
      <c r="A12" s="2247" t="s">
        <v>905</v>
      </c>
      <c r="B12" s="2248"/>
      <c r="C12" s="2248"/>
      <c r="D12" s="2248"/>
      <c r="E12" s="2249"/>
      <c r="F12" s="1757"/>
      <c r="G12" s="1758">
        <f>SUM(G5:G11)</f>
        <v>0</v>
      </c>
      <c r="H12" s="1758">
        <f>SUM(H5:H11)</f>
        <v>0</v>
      </c>
      <c r="I12" s="1758">
        <f>SUM(I5:I11)</f>
        <v>0</v>
      </c>
      <c r="J12" s="1758">
        <f>SUM(J5:J11)</f>
        <v>0</v>
      </c>
      <c r="K12" s="1758">
        <f>SUM(K5:K11)</f>
        <v>0</v>
      </c>
    </row>
    <row r="13" spans="1:11" ht="13.5" thickTop="1" x14ac:dyDescent="0.2">
      <c r="A13" s="2244" t="s">
        <v>370</v>
      </c>
      <c r="B13" s="2245"/>
      <c r="C13" s="2245"/>
      <c r="D13" s="2245"/>
      <c r="E13" s="2246"/>
      <c r="F13" s="785"/>
      <c r="G13" s="786"/>
      <c r="H13" s="787"/>
      <c r="I13" s="788"/>
      <c r="J13" s="788"/>
      <c r="K13" s="788"/>
    </row>
    <row r="14" spans="1:11" x14ac:dyDescent="0.2">
      <c r="A14" s="2227" t="s">
        <v>456</v>
      </c>
      <c r="B14" s="2227"/>
      <c r="C14" s="2227"/>
      <c r="D14" s="2227"/>
      <c r="E14" s="2228"/>
      <c r="F14" s="789" t="s">
        <v>854</v>
      </c>
      <c r="G14" s="782"/>
      <c r="H14" s="764"/>
      <c r="I14" s="771"/>
      <c r="J14" s="773"/>
      <c r="K14" s="765"/>
    </row>
    <row r="15" spans="1:11" x14ac:dyDescent="0.2">
      <c r="A15" s="2221" t="s">
        <v>4</v>
      </c>
      <c r="B15" s="2221"/>
      <c r="C15" s="2221"/>
      <c r="D15" s="2221"/>
      <c r="E15" s="2222"/>
      <c r="F15" s="789" t="s">
        <v>855</v>
      </c>
      <c r="G15" s="771"/>
      <c r="H15" s="764"/>
      <c r="I15" s="764"/>
      <c r="J15" s="765"/>
      <c r="K15" s="765"/>
    </row>
    <row r="16" spans="1:11" x14ac:dyDescent="0.2">
      <c r="A16" s="2221" t="s">
        <v>298</v>
      </c>
      <c r="B16" s="2221"/>
      <c r="C16" s="2221"/>
      <c r="D16" s="2221"/>
      <c r="E16" s="2222"/>
      <c r="F16" s="789" t="s">
        <v>923</v>
      </c>
      <c r="G16" s="772"/>
      <c r="H16" s="767"/>
      <c r="I16" s="767"/>
      <c r="J16" s="769"/>
      <c r="K16" s="769"/>
    </row>
    <row r="17" spans="1:11" x14ac:dyDescent="0.2">
      <c r="A17" s="2252" t="s">
        <v>935</v>
      </c>
      <c r="B17" s="2252"/>
      <c r="C17" s="2252"/>
      <c r="D17" s="2252"/>
      <c r="E17" s="2253"/>
      <c r="F17" s="790"/>
      <c r="G17" s="791"/>
      <c r="H17" s="792"/>
      <c r="I17" s="792"/>
      <c r="J17" s="793"/>
      <c r="K17" s="794"/>
    </row>
    <row r="18" spans="1:11" x14ac:dyDescent="0.2">
      <c r="A18" s="2231" t="s">
        <v>368</v>
      </c>
      <c r="B18" s="2232"/>
      <c r="C18" s="2232"/>
      <c r="D18" s="2232"/>
      <c r="E18" s="2233"/>
      <c r="F18" s="789" t="s">
        <v>932</v>
      </c>
      <c r="G18" s="782"/>
      <c r="H18" s="782"/>
      <c r="I18" s="782"/>
      <c r="J18" s="765"/>
      <c r="K18" s="795"/>
    </row>
    <row r="19" spans="1:11" ht="21.75" customHeight="1" x14ac:dyDescent="0.2">
      <c r="A19" s="2229" t="s">
        <v>1809</v>
      </c>
      <c r="B19" s="2229"/>
      <c r="C19" s="2229"/>
      <c r="D19" s="2229"/>
      <c r="E19" s="2230"/>
      <c r="F19" s="789" t="s">
        <v>933</v>
      </c>
      <c r="G19" s="782"/>
      <c r="H19" s="782"/>
      <c r="I19" s="782"/>
      <c r="J19" s="765"/>
      <c r="K19" s="795"/>
    </row>
    <row r="20" spans="1:11" x14ac:dyDescent="0.2">
      <c r="A20" s="2231" t="s">
        <v>1814</v>
      </c>
      <c r="B20" s="2232"/>
      <c r="C20" s="2232"/>
      <c r="D20" s="2232"/>
      <c r="E20" s="2233"/>
      <c r="F20" s="789" t="s">
        <v>934</v>
      </c>
      <c r="G20" s="782"/>
      <c r="H20" s="782"/>
      <c r="I20" s="782"/>
      <c r="J20" s="765"/>
      <c r="K20" s="795"/>
    </row>
    <row r="21" spans="1:11" ht="13.5" thickBot="1" x14ac:dyDescent="0.25">
      <c r="A21" s="2250" t="s">
        <v>638</v>
      </c>
      <c r="B21" s="2250"/>
      <c r="C21" s="2250"/>
      <c r="D21" s="2250"/>
      <c r="E21" s="2250"/>
      <c r="F21" s="1759"/>
      <c r="G21" s="792"/>
      <c r="H21" s="796"/>
      <c r="I21" s="796"/>
      <c r="J21" s="1760">
        <f>SUM(J18:J20)</f>
        <v>0</v>
      </c>
      <c r="K21" s="793"/>
    </row>
    <row r="22" spans="1:11" ht="13.5" thickTop="1" x14ac:dyDescent="0.2">
      <c r="A22" s="2221" t="s">
        <v>1815</v>
      </c>
      <c r="B22" s="2221"/>
      <c r="C22" s="2221"/>
      <c r="D22" s="2221"/>
      <c r="E22" s="2222"/>
      <c r="F22" s="789" t="s">
        <v>862</v>
      </c>
      <c r="G22" s="782"/>
      <c r="H22" s="764"/>
      <c r="I22" s="764"/>
      <c r="J22" s="797"/>
      <c r="K22" s="765"/>
    </row>
    <row r="23" spans="1:11" ht="13.5" thickBot="1" x14ac:dyDescent="0.25">
      <c r="A23" s="2251" t="s">
        <v>906</v>
      </c>
      <c r="B23" s="2250"/>
      <c r="C23" s="2250"/>
      <c r="D23" s="2250"/>
      <c r="E23" s="2250"/>
      <c r="F23" s="1761"/>
      <c r="G23" s="1758">
        <f>SUM(G14:G16,G21,G22)</f>
        <v>0</v>
      </c>
      <c r="H23" s="1758">
        <f>SUM(H14:H16,H21,H22)</f>
        <v>0</v>
      </c>
      <c r="I23" s="1758">
        <f>SUM(I14:I16,I21,I22)</f>
        <v>0</v>
      </c>
      <c r="J23" s="1758">
        <f>SUM(J14:J16,J21,J22)</f>
        <v>0</v>
      </c>
      <c r="K23" s="1758">
        <f>SUM(K14:K16,K21,K22)</f>
        <v>0</v>
      </c>
    </row>
    <row r="24" spans="1:11" ht="14.25" thickTop="1" thickBot="1" x14ac:dyDescent="0.25">
      <c r="A24" s="2251" t="s">
        <v>1963</v>
      </c>
      <c r="B24" s="2250"/>
      <c r="C24" s="2250"/>
      <c r="D24" s="2250"/>
      <c r="E24" s="2250"/>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4"/>
      <c r="I31" s="2225"/>
      <c r="J31" s="2225"/>
      <c r="K31" s="2225"/>
    </row>
    <row r="32" spans="1:11" x14ac:dyDescent="0.2">
      <c r="A32" s="809"/>
      <c r="B32" s="237"/>
      <c r="C32" s="237"/>
      <c r="D32" s="237"/>
      <c r="E32" s="805"/>
      <c r="F32" s="811" t="s">
        <v>540</v>
      </c>
      <c r="G32" s="764"/>
      <c r="H32" s="2226"/>
      <c r="I32" s="2225"/>
      <c r="J32" s="2225"/>
      <c r="K32" s="2225"/>
    </row>
    <row r="33" spans="1:11" ht="1.5" customHeight="1" x14ac:dyDescent="0.2">
      <c r="A33" s="812" t="s">
        <v>1169</v>
      </c>
      <c r="B33" s="364"/>
      <c r="C33" s="364"/>
      <c r="D33" s="364"/>
      <c r="E33" s="364"/>
      <c r="F33" s="364"/>
      <c r="G33" s="813"/>
      <c r="H33" s="2226"/>
      <c r="I33" s="2225"/>
      <c r="J33" s="2225"/>
      <c r="K33" s="2225"/>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1" t="s">
        <v>541</v>
      </c>
      <c r="B41" s="2234"/>
      <c r="C41" s="2234"/>
      <c r="D41" s="2234"/>
      <c r="E41" s="2234"/>
      <c r="F41" s="223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tint="-0.14999847407452621"/>
  </sheetPr>
  <dimension ref="A1:N27"/>
  <sheetViews>
    <sheetView showGridLines="0" defaultGridColor="0" colorId="8" zoomScale="110" zoomScaleNormal="110" workbookViewId="0">
      <selection activeCell="B1" sqref="B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1908</v>
      </c>
      <c r="B1" s="2257"/>
      <c r="C1" s="2258"/>
      <c r="D1" s="826"/>
      <c r="E1" s="827"/>
      <c r="F1" s="827"/>
      <c r="G1" s="828"/>
      <c r="H1" s="829"/>
      <c r="I1" s="830"/>
      <c r="J1" s="2254"/>
      <c r="K1" s="2255"/>
      <c r="L1" s="2255"/>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c r="D12" s="844"/>
      <c r="E12" s="844"/>
      <c r="F12" s="1760">
        <f>(C12+D12)-E12</f>
        <v>0</v>
      </c>
      <c r="G12" s="843">
        <v>10</v>
      </c>
      <c r="H12" s="765"/>
      <c r="I12" s="765"/>
      <c r="J12" s="765"/>
      <c r="K12" s="1769">
        <f>(H12+I12)-J12</f>
        <v>0</v>
      </c>
      <c r="L12" s="1769">
        <f>F12-K12</f>
        <v>0</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0</v>
      </c>
      <c r="D16" s="1760">
        <f>SUM(D3,D5:D6,D8:D10,D12:D15)</f>
        <v>0</v>
      </c>
      <c r="E16" s="1760">
        <f>SUM(E3,E5:E6,E8:E10,E12:E15)</f>
        <v>0</v>
      </c>
      <c r="F16" s="1760">
        <f>SUM(F3,F5:F6,F8:F10,F12:F15)</f>
        <v>0</v>
      </c>
      <c r="G16" s="843"/>
      <c r="H16" s="1760">
        <f>SUM(H3,H6,H8:H10,H12:H14,)</f>
        <v>0</v>
      </c>
      <c r="I16" s="1760">
        <f>SUM(I3,I6,I8:I10,I12:I14,)</f>
        <v>0</v>
      </c>
      <c r="J16" s="1760">
        <f>SUM(J3,J6,J8:J10,J12:J14,)</f>
        <v>0</v>
      </c>
      <c r="K16" s="1760">
        <f>(H16+I16)-J16</f>
        <v>0</v>
      </c>
      <c r="L16" s="1760">
        <f>F16-K16</f>
        <v>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0" tint="-0.14999847407452621"/>
  </sheetPr>
  <dimension ref="A1:H202"/>
  <sheetViews>
    <sheetView showGridLines="0" defaultGridColor="0" colorId="8" zoomScale="110" zoomScaleNormal="110" workbookViewId="0">
      <pane ySplit="5" topLeftCell="A36" activePane="bottomLeft" state="frozen"/>
      <selection activeCell="B1" sqref="B1"/>
      <selection pane="bottomLeft" activeCell="B1" sqref="B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2" t="s">
        <v>1973</v>
      </c>
      <c r="B1" s="2263"/>
      <c r="C1" s="2263"/>
      <c r="D1" s="2263"/>
      <c r="E1" s="2263"/>
      <c r="F1" s="2264"/>
      <c r="G1" s="855"/>
    </row>
    <row r="2" spans="1:7" ht="15" customHeight="1" thickBot="1" x14ac:dyDescent="0.25">
      <c r="A2" s="2265" t="s">
        <v>477</v>
      </c>
      <c r="B2" s="2266"/>
      <c r="C2" s="2266"/>
      <c r="D2" s="2266"/>
      <c r="E2" s="2266"/>
      <c r="F2" s="226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3921274</v>
      </c>
      <c r="G8" s="865"/>
    </row>
    <row r="9" spans="1:7" x14ac:dyDescent="0.2">
      <c r="A9" s="869" t="s">
        <v>460</v>
      </c>
      <c r="B9" s="870" t="s">
        <v>1876</v>
      </c>
      <c r="C9" s="871"/>
      <c r="D9" s="869" t="s">
        <v>501</v>
      </c>
      <c r="E9" s="868"/>
      <c r="F9" s="1909">
        <f>'Expenditures 15-22'!K151</f>
        <v>183345</v>
      </c>
      <c r="G9" s="872"/>
    </row>
    <row r="10" spans="1:7" x14ac:dyDescent="0.2">
      <c r="A10" s="869" t="s">
        <v>499</v>
      </c>
      <c r="B10" s="870" t="s">
        <v>1877</v>
      </c>
      <c r="C10" s="871"/>
      <c r="D10" s="869" t="s">
        <v>501</v>
      </c>
      <c r="E10" s="868"/>
      <c r="F10" s="1909">
        <f>'Expenditures 15-22'!K174</f>
        <v>0</v>
      </c>
      <c r="G10" s="872"/>
    </row>
    <row r="11" spans="1:7" x14ac:dyDescent="0.2">
      <c r="A11" s="869" t="s">
        <v>461</v>
      </c>
      <c r="B11" s="870" t="s">
        <v>1878</v>
      </c>
      <c r="C11" s="871"/>
      <c r="D11" s="869" t="s">
        <v>501</v>
      </c>
      <c r="E11" s="868"/>
      <c r="F11" s="1909">
        <f>'Expenditures 15-22'!K210</f>
        <v>586075</v>
      </c>
      <c r="G11" s="872"/>
    </row>
    <row r="12" spans="1:7" x14ac:dyDescent="0.2">
      <c r="A12" s="869" t="s">
        <v>462</v>
      </c>
      <c r="B12" s="870" t="s">
        <v>1879</v>
      </c>
      <c r="C12" s="871"/>
      <c r="D12" s="869" t="s">
        <v>501</v>
      </c>
      <c r="E12" s="868"/>
      <c r="F12" s="1909">
        <f>'Expenditures 15-22'!K295</f>
        <v>249901</v>
      </c>
      <c r="G12" s="872"/>
    </row>
    <row r="13" spans="1:7" x14ac:dyDescent="0.2">
      <c r="A13" s="869" t="s">
        <v>106</v>
      </c>
      <c r="B13" s="870" t="s">
        <v>1880</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4940595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41079</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158868</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29135</v>
      </c>
      <c r="G52" s="865"/>
    </row>
    <row r="53" spans="1:7" x14ac:dyDescent="0.2">
      <c r="A53" s="869" t="s">
        <v>459</v>
      </c>
      <c r="B53" s="869" t="s">
        <v>1475</v>
      </c>
      <c r="C53" s="889">
        <f>'Expenditures 15-22'!B102</f>
        <v>4000</v>
      </c>
      <c r="D53" s="888" t="str">
        <f>'Expenditures 15-22'!A102</f>
        <v>Total Payments to Other Govt Units</v>
      </c>
      <c r="E53" s="868"/>
      <c r="F53" s="1913">
        <f>'Expenditures 15-22'!K102</f>
        <v>3871</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16000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14579</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263532</v>
      </c>
      <c r="G76" s="865"/>
    </row>
    <row r="77" spans="1:8" s="893" customFormat="1" ht="12" customHeight="1" thickTop="1" thickBot="1" x14ac:dyDescent="0.25">
      <c r="A77" s="1779"/>
      <c r="B77" s="1776"/>
      <c r="C77" s="1772"/>
      <c r="D77" s="1777" t="s">
        <v>1899</v>
      </c>
      <c r="E77" s="1774"/>
      <c r="F77" s="1780">
        <f>(F14-F76)</f>
        <v>4677063</v>
      </c>
      <c r="G77" s="869"/>
    </row>
    <row r="78" spans="1:8" s="893" customFormat="1" ht="12" customHeight="1" thickTop="1" x14ac:dyDescent="0.2">
      <c r="A78" s="1781"/>
      <c r="B78" s="1776"/>
      <c r="C78" s="1772"/>
      <c r="D78" s="1777" t="s">
        <v>2060</v>
      </c>
      <c r="E78" s="1774"/>
      <c r="F78" s="898">
        <v>0</v>
      </c>
      <c r="G78" s="899"/>
      <c r="H78" s="869"/>
    </row>
    <row r="79" spans="1:8" s="893" customFormat="1" ht="12" customHeight="1" thickBot="1" x14ac:dyDescent="0.25">
      <c r="A79" s="1782"/>
      <c r="B79" s="1776"/>
      <c r="C79" s="1772"/>
      <c r="D79" s="1777" t="s">
        <v>1900</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9" t="s">
        <v>1105</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1946392</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5025</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0</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374482</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0</v>
      </c>
      <c r="G125" s="930"/>
    </row>
    <row r="126" spans="1:7" x14ac:dyDescent="0.2">
      <c r="A126" s="927" t="s">
        <v>668</v>
      </c>
      <c r="B126" s="927" t="s">
        <v>2022</v>
      </c>
      <c r="C126" s="932">
        <v>4300</v>
      </c>
      <c r="D126" s="933" t="str">
        <f>'Revenues 9-14'!A204</f>
        <v>Total Title I</v>
      </c>
      <c r="E126" s="906"/>
      <c r="F126" s="1789">
        <f>SUM('Revenues 9-14'!C204,'Revenues 9-14'!D204,'Revenues 9-14'!F204,'Revenues 9-14'!G204)</f>
        <v>0</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26672</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9948</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2362519</v>
      </c>
    </row>
    <row r="175" spans="1:7" ht="12" customHeight="1" x14ac:dyDescent="0.2">
      <c r="A175" s="1770"/>
      <c r="B175" s="1784"/>
      <c r="C175" s="1785"/>
      <c r="D175" s="1786" t="s">
        <v>2055</v>
      </c>
      <c r="E175" s="1787"/>
      <c r="F175" s="1789">
        <f>'PCTC-OEPP 27-28'!F77-F174</f>
        <v>2314544</v>
      </c>
    </row>
    <row r="176" spans="1:7" ht="12" customHeight="1" x14ac:dyDescent="0.2">
      <c r="A176" s="1770"/>
      <c r="B176" s="1784"/>
      <c r="C176" s="1785"/>
      <c r="D176" s="1786" t="s">
        <v>1817</v>
      </c>
      <c r="E176" s="1787"/>
      <c r="F176" s="1789">
        <f>'Cap Outlay Deprec 26'!I18</f>
        <v>0</v>
      </c>
    </row>
    <row r="177" spans="1:7" ht="12" customHeight="1" x14ac:dyDescent="0.2">
      <c r="A177" s="1770"/>
      <c r="B177" s="1784"/>
      <c r="C177" s="1785"/>
      <c r="D177" s="1786" t="s">
        <v>2056</v>
      </c>
      <c r="E177" s="1787"/>
      <c r="F177" s="1789">
        <f>F175+F176</f>
        <v>2314544</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2057</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H142"/>
  <sheetViews>
    <sheetView showGridLines="0" topLeftCell="A7" zoomScaleNormal="100" workbookViewId="0">
      <selection activeCell="B1" sqref="B1"/>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3" t="s">
        <v>1818</v>
      </c>
      <c r="B4" s="2274"/>
      <c r="C4" s="2274"/>
      <c r="D4" s="2274"/>
      <c r="E4" s="2274"/>
      <c r="F4" s="2274"/>
      <c r="G4" s="2275"/>
    </row>
    <row r="5" spans="1:7" x14ac:dyDescent="0.25">
      <c r="A5" s="2276"/>
      <c r="B5" s="2277"/>
      <c r="C5" s="2277"/>
      <c r="D5" s="2277"/>
      <c r="E5" s="2277"/>
      <c r="F5" s="2277"/>
      <c r="G5" s="2278"/>
    </row>
    <row r="6" spans="1:7" ht="18.75" x14ac:dyDescent="0.25">
      <c r="A6" s="1937" t="s">
        <v>2064</v>
      </c>
      <c r="B6" s="1938"/>
      <c r="C6" s="1938"/>
      <c r="D6" s="1938"/>
      <c r="E6" s="1938"/>
      <c r="F6" s="1938"/>
      <c r="G6" s="1939"/>
    </row>
    <row r="7" spans="1:7" ht="18.75" x14ac:dyDescent="0.25">
      <c r="A7" s="1534" t="s">
        <v>1819</v>
      </c>
      <c r="B7" s="1535"/>
      <c r="C7" s="1535"/>
      <c r="D7" s="1535"/>
      <c r="E7" s="1535"/>
      <c r="F7" s="1535"/>
      <c r="G7" s="1536"/>
    </row>
    <row r="8" spans="1:7" ht="30.75" customHeight="1" x14ac:dyDescent="0.25">
      <c r="A8" s="2279" t="s">
        <v>1931</v>
      </c>
      <c r="B8" s="2280"/>
      <c r="C8" s="2280"/>
      <c r="D8" s="2280"/>
      <c r="E8" s="2280"/>
      <c r="F8" s="2280"/>
      <c r="G8" s="2281"/>
    </row>
    <row r="9" spans="1:7" ht="15.75" customHeight="1" x14ac:dyDescent="0.25">
      <c r="A9" s="2282" t="s">
        <v>1906</v>
      </c>
      <c r="B9" s="2283"/>
      <c r="C9" s="2283"/>
      <c r="D9" s="2283"/>
      <c r="E9" s="2283"/>
      <c r="F9" s="2283"/>
      <c r="G9" s="2284"/>
    </row>
    <row r="10" spans="1:7" ht="35.25" customHeight="1" x14ac:dyDescent="0.25">
      <c r="A10" s="2279" t="s">
        <v>2063</v>
      </c>
      <c r="B10" s="2280"/>
      <c r="C10" s="2280"/>
      <c r="D10" s="2280"/>
      <c r="E10" s="2280"/>
      <c r="F10" s="2280"/>
      <c r="G10" s="2281"/>
    </row>
    <row r="11" spans="1:7" ht="15" customHeight="1" x14ac:dyDescent="0.25">
      <c r="A11" s="1537" t="s">
        <v>1820</v>
      </c>
      <c r="B11" s="1538"/>
      <c r="C11" s="1538"/>
      <c r="D11" s="1538"/>
      <c r="E11" s="1538"/>
      <c r="F11" s="1538"/>
      <c r="G11" s="1539"/>
    </row>
    <row r="12" spans="1:7" ht="17.25" customHeight="1" x14ac:dyDescent="0.25">
      <c r="A12" s="2279" t="s">
        <v>1933</v>
      </c>
      <c r="B12" s="2280"/>
      <c r="C12" s="2280"/>
      <c r="D12" s="2280"/>
      <c r="E12" s="2280"/>
      <c r="F12" s="2280"/>
      <c r="G12" s="2281"/>
    </row>
    <row r="13" spans="1:7" ht="15" customHeight="1" x14ac:dyDescent="0.25">
      <c r="A13" s="1537" t="s">
        <v>1825</v>
      </c>
      <c r="B13" s="1538"/>
      <c r="C13" s="1538"/>
      <c r="D13" s="1538"/>
      <c r="E13" s="1538"/>
      <c r="F13" s="1538"/>
      <c r="G13" s="1539"/>
    </row>
    <row r="14" spans="1:7" ht="32.25" customHeight="1" x14ac:dyDescent="0.25">
      <c r="A14" s="2270" t="s">
        <v>1974</v>
      </c>
      <c r="B14" s="2271"/>
      <c r="C14" s="2271"/>
      <c r="D14" s="2271"/>
      <c r="E14" s="2271"/>
      <c r="F14" s="2271"/>
      <c r="G14" s="2272"/>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0" t="s">
        <v>2091</v>
      </c>
      <c r="B18" s="1941" t="s">
        <v>2092</v>
      </c>
      <c r="C18" s="1942" t="s">
        <v>2093</v>
      </c>
      <c r="D18" s="1844">
        <v>84518</v>
      </c>
      <c r="E18" s="1540">
        <f t="shared" ref="E18:E142" si="0">IF(D18&lt;=25000,D18,IF(D18&gt;25000,25000,0))</f>
        <v>25000</v>
      </c>
      <c r="F18" s="193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3">
        <f>IF(F18=0,0,D18-F18)</f>
        <v>59518</v>
      </c>
      <c r="H18" s="1647"/>
    </row>
    <row r="19" spans="1:8" x14ac:dyDescent="0.25">
      <c r="A19" s="1653"/>
      <c r="B19" s="1933"/>
      <c r="C19" s="1656"/>
      <c r="D19" s="1844"/>
      <c r="E19" s="1540">
        <f t="shared" ref="E19:E141" si="2">IF(D19&lt;=25000,D19,IF(D19&gt;25000,25000,0))</f>
        <v>0</v>
      </c>
      <c r="F19" s="1936">
        <f t="shared" si="1"/>
        <v>0</v>
      </c>
      <c r="G19" s="1793">
        <f t="shared" ref="G19:G141" si="3">IF(F19=0,0,D19-F19)</f>
        <v>0</v>
      </c>
    </row>
    <row r="20" spans="1:8" x14ac:dyDescent="0.25">
      <c r="A20" s="1653"/>
      <c r="B20" s="1933"/>
      <c r="C20" s="1656"/>
      <c r="D20" s="1844"/>
      <c r="E20" s="1540">
        <f t="shared" si="2"/>
        <v>0</v>
      </c>
      <c r="F20" s="1936">
        <f t="shared" si="1"/>
        <v>0</v>
      </c>
      <c r="G20" s="1793">
        <f t="shared" si="3"/>
        <v>0</v>
      </c>
    </row>
    <row r="21" spans="1:8" x14ac:dyDescent="0.25">
      <c r="A21" s="1653"/>
      <c r="B21" s="1933"/>
      <c r="C21" s="1656"/>
      <c r="D21" s="1844"/>
      <c r="E21" s="1540">
        <f t="shared" si="2"/>
        <v>0</v>
      </c>
      <c r="F21" s="1936">
        <f t="shared" si="1"/>
        <v>0</v>
      </c>
      <c r="G21" s="1793">
        <f t="shared" si="3"/>
        <v>0</v>
      </c>
    </row>
    <row r="22" spans="1:8" x14ac:dyDescent="0.25">
      <c r="A22" s="1653"/>
      <c r="B22" s="1933"/>
      <c r="C22" s="1656"/>
      <c r="D22" s="1844"/>
      <c r="E22" s="1540">
        <f t="shared" si="2"/>
        <v>0</v>
      </c>
      <c r="F22" s="1936">
        <f t="shared" si="1"/>
        <v>0</v>
      </c>
      <c r="G22" s="1793">
        <f t="shared" si="3"/>
        <v>0</v>
      </c>
    </row>
    <row r="23" spans="1:8" x14ac:dyDescent="0.25">
      <c r="A23" s="1653"/>
      <c r="B23" s="1933"/>
      <c r="C23" s="1656"/>
      <c r="D23" s="1844"/>
      <c r="E23" s="1540">
        <f t="shared" si="2"/>
        <v>0</v>
      </c>
      <c r="F23" s="1936">
        <f t="shared" si="1"/>
        <v>0</v>
      </c>
      <c r="G23" s="1793">
        <f t="shared" si="3"/>
        <v>0</v>
      </c>
    </row>
    <row r="24" spans="1:8" x14ac:dyDescent="0.25">
      <c r="A24" s="1653"/>
      <c r="B24" s="1933"/>
      <c r="C24" s="1656"/>
      <c r="D24" s="1844"/>
      <c r="E24" s="1540">
        <f t="shared" si="2"/>
        <v>0</v>
      </c>
      <c r="F24" s="1936">
        <f t="shared" si="1"/>
        <v>0</v>
      </c>
      <c r="G24" s="1793">
        <f t="shared" si="3"/>
        <v>0</v>
      </c>
    </row>
    <row r="25" spans="1:8" x14ac:dyDescent="0.25">
      <c r="A25" s="1653"/>
      <c r="B25" s="1933"/>
      <c r="C25" s="1656"/>
      <c r="D25" s="1844"/>
      <c r="E25" s="1540">
        <f t="shared" si="2"/>
        <v>0</v>
      </c>
      <c r="F25" s="1936">
        <f t="shared" si="1"/>
        <v>0</v>
      </c>
      <c r="G25" s="1793">
        <f t="shared" si="3"/>
        <v>0</v>
      </c>
    </row>
    <row r="26" spans="1:8" x14ac:dyDescent="0.25">
      <c r="A26" s="1653"/>
      <c r="B26" s="1933"/>
      <c r="C26" s="1656"/>
      <c r="D26" s="1844"/>
      <c r="E26" s="1540">
        <f t="shared" si="2"/>
        <v>0</v>
      </c>
      <c r="F26" s="1936">
        <f t="shared" si="1"/>
        <v>0</v>
      </c>
      <c r="G26" s="1793">
        <f t="shared" si="3"/>
        <v>0</v>
      </c>
    </row>
    <row r="27" spans="1:8" x14ac:dyDescent="0.25">
      <c r="A27" s="1653"/>
      <c r="B27" s="1933"/>
      <c r="C27" s="1654"/>
      <c r="D27" s="1844"/>
      <c r="E27" s="1540">
        <f t="shared" si="2"/>
        <v>0</v>
      </c>
      <c r="F27" s="1936">
        <f t="shared" si="1"/>
        <v>0</v>
      </c>
      <c r="G27" s="1793">
        <f t="shared" si="3"/>
        <v>0</v>
      </c>
    </row>
    <row r="28" spans="1:8" x14ac:dyDescent="0.25">
      <c r="A28" s="1653"/>
      <c r="B28" s="1933"/>
      <c r="C28" s="1654"/>
      <c r="D28" s="1844"/>
      <c r="E28" s="1540">
        <f t="shared" si="2"/>
        <v>0</v>
      </c>
      <c r="F28" s="1936">
        <f t="shared" si="1"/>
        <v>0</v>
      </c>
      <c r="G28" s="1793">
        <f t="shared" si="3"/>
        <v>0</v>
      </c>
    </row>
    <row r="29" spans="1:8" x14ac:dyDescent="0.25">
      <c r="A29" s="1653"/>
      <c r="B29" s="1933"/>
      <c r="C29" s="1654"/>
      <c r="D29" s="1844"/>
      <c r="E29" s="1540">
        <f t="shared" si="2"/>
        <v>0</v>
      </c>
      <c r="F29" s="1936">
        <f t="shared" si="1"/>
        <v>0</v>
      </c>
      <c r="G29" s="1793">
        <f t="shared" si="3"/>
        <v>0</v>
      </c>
    </row>
    <row r="30" spans="1:8" x14ac:dyDescent="0.25">
      <c r="A30" s="1653"/>
      <c r="B30" s="1933"/>
      <c r="C30" s="1654"/>
      <c r="D30" s="1844"/>
      <c r="E30" s="1540">
        <f t="shared" si="2"/>
        <v>0</v>
      </c>
      <c r="F30" s="1936">
        <f t="shared" si="1"/>
        <v>0</v>
      </c>
      <c r="G30" s="1793">
        <f t="shared" si="3"/>
        <v>0</v>
      </c>
    </row>
    <row r="31" spans="1:8" x14ac:dyDescent="0.25">
      <c r="A31" s="1653"/>
      <c r="B31" s="1933"/>
      <c r="C31" s="1654"/>
      <c r="D31" s="1844"/>
      <c r="E31" s="1540">
        <f t="shared" si="2"/>
        <v>0</v>
      </c>
      <c r="F31" s="1936">
        <f t="shared" si="1"/>
        <v>0</v>
      </c>
      <c r="G31" s="1793">
        <f t="shared" si="3"/>
        <v>0</v>
      </c>
    </row>
    <row r="32" spans="1:8" x14ac:dyDescent="0.25">
      <c r="A32" s="1653"/>
      <c r="B32" s="1933"/>
      <c r="C32" s="1654"/>
      <c r="D32" s="1844"/>
      <c r="E32" s="1540">
        <f t="shared" si="2"/>
        <v>0</v>
      </c>
      <c r="F32" s="1936">
        <f t="shared" si="1"/>
        <v>0</v>
      </c>
      <c r="G32" s="1793">
        <f t="shared" si="3"/>
        <v>0</v>
      </c>
    </row>
    <row r="33" spans="1:7" x14ac:dyDescent="0.25">
      <c r="A33" s="1653"/>
      <c r="B33" s="1933"/>
      <c r="C33" s="1654"/>
      <c r="D33" s="1844"/>
      <c r="E33" s="1540">
        <f t="shared" si="2"/>
        <v>0</v>
      </c>
      <c r="F33" s="1936">
        <f t="shared" si="1"/>
        <v>0</v>
      </c>
      <c r="G33" s="1793">
        <f t="shared" si="3"/>
        <v>0</v>
      </c>
    </row>
    <row r="34" spans="1:7" x14ac:dyDescent="0.25">
      <c r="A34" s="1653"/>
      <c r="B34" s="1933"/>
      <c r="C34" s="1654"/>
      <c r="D34" s="1844"/>
      <c r="E34" s="1540">
        <f t="shared" si="2"/>
        <v>0</v>
      </c>
      <c r="F34" s="1936">
        <f t="shared" si="1"/>
        <v>0</v>
      </c>
      <c r="G34" s="1793">
        <f t="shared" si="3"/>
        <v>0</v>
      </c>
    </row>
    <row r="35" spans="1:7" x14ac:dyDescent="0.25">
      <c r="A35" s="1653"/>
      <c r="B35" s="1933"/>
      <c r="C35" s="1654"/>
      <c r="D35" s="1844"/>
      <c r="E35" s="1540">
        <f t="shared" si="2"/>
        <v>0</v>
      </c>
      <c r="F35" s="1936">
        <f t="shared" si="1"/>
        <v>0</v>
      </c>
      <c r="G35" s="1793">
        <f t="shared" si="3"/>
        <v>0</v>
      </c>
    </row>
    <row r="36" spans="1:7" x14ac:dyDescent="0.25">
      <c r="A36" s="1653"/>
      <c r="B36" s="1933"/>
      <c r="C36" s="1654"/>
      <c r="D36" s="1844"/>
      <c r="E36" s="1540">
        <f t="shared" si="2"/>
        <v>0</v>
      </c>
      <c r="F36" s="1936">
        <f t="shared" si="1"/>
        <v>0</v>
      </c>
      <c r="G36" s="1793">
        <f t="shared" si="3"/>
        <v>0</v>
      </c>
    </row>
    <row r="37" spans="1:7" x14ac:dyDescent="0.25">
      <c r="A37" s="1653"/>
      <c r="B37" s="1933"/>
      <c r="C37" s="1654"/>
      <c r="D37" s="1844"/>
      <c r="E37" s="1540">
        <f t="shared" si="2"/>
        <v>0</v>
      </c>
      <c r="F37" s="1936">
        <f t="shared" si="1"/>
        <v>0</v>
      </c>
      <c r="G37" s="1793">
        <f t="shared" si="3"/>
        <v>0</v>
      </c>
    </row>
    <row r="38" spans="1:7" x14ac:dyDescent="0.25">
      <c r="A38" s="1653"/>
      <c r="B38" s="1933"/>
      <c r="C38" s="1654"/>
      <c r="D38" s="1844"/>
      <c r="E38" s="1540">
        <f t="shared" si="2"/>
        <v>0</v>
      </c>
      <c r="F38" s="1936">
        <f t="shared" si="1"/>
        <v>0</v>
      </c>
      <c r="G38" s="1793">
        <f t="shared" si="3"/>
        <v>0</v>
      </c>
    </row>
    <row r="39" spans="1:7" x14ac:dyDescent="0.25">
      <c r="A39" s="1653"/>
      <c r="B39" s="1934"/>
      <c r="C39" s="1654"/>
      <c r="D39" s="1844"/>
      <c r="E39" s="1540">
        <f t="shared" si="2"/>
        <v>0</v>
      </c>
      <c r="F39" s="1936">
        <f t="shared" si="1"/>
        <v>0</v>
      </c>
      <c r="G39" s="1793">
        <f t="shared" si="3"/>
        <v>0</v>
      </c>
    </row>
    <row r="40" spans="1:7" x14ac:dyDescent="0.25">
      <c r="A40" s="1653"/>
      <c r="B40" s="1934"/>
      <c r="C40" s="1654"/>
      <c r="D40" s="1844"/>
      <c r="E40" s="1540">
        <f t="shared" si="2"/>
        <v>0</v>
      </c>
      <c r="F40" s="1936">
        <f t="shared" si="1"/>
        <v>0</v>
      </c>
      <c r="G40" s="1793">
        <f t="shared" si="3"/>
        <v>0</v>
      </c>
    </row>
    <row r="41" spans="1:7" x14ac:dyDescent="0.25">
      <c r="A41" s="1653"/>
      <c r="B41" s="1934"/>
      <c r="C41" s="1654"/>
      <c r="D41" s="1844"/>
      <c r="E41" s="1540">
        <f t="shared" si="2"/>
        <v>0</v>
      </c>
      <c r="F41" s="1936">
        <f t="shared" si="1"/>
        <v>0</v>
      </c>
      <c r="G41" s="1793">
        <f t="shared" si="3"/>
        <v>0</v>
      </c>
    </row>
    <row r="42" spans="1:7" x14ac:dyDescent="0.25">
      <c r="A42" s="1653"/>
      <c r="B42" s="1934"/>
      <c r="C42" s="1654"/>
      <c r="D42" s="1844"/>
      <c r="E42" s="1540">
        <f t="shared" si="2"/>
        <v>0</v>
      </c>
      <c r="F42" s="1936">
        <f t="shared" si="1"/>
        <v>0</v>
      </c>
      <c r="G42" s="1793">
        <f t="shared" si="3"/>
        <v>0</v>
      </c>
    </row>
    <row r="43" spans="1:7" x14ac:dyDescent="0.25">
      <c r="A43" s="1653"/>
      <c r="B43" s="1934"/>
      <c r="C43" s="1654"/>
      <c r="D43" s="1844"/>
      <c r="E43" s="1540">
        <f t="shared" si="2"/>
        <v>0</v>
      </c>
      <c r="F43" s="1936">
        <f t="shared" si="1"/>
        <v>0</v>
      </c>
      <c r="G43" s="1793">
        <f t="shared" si="3"/>
        <v>0</v>
      </c>
    </row>
    <row r="44" spans="1:7" x14ac:dyDescent="0.25">
      <c r="A44" s="1653"/>
      <c r="B44" s="1934"/>
      <c r="C44" s="1654"/>
      <c r="D44" s="1844"/>
      <c r="E44" s="1540">
        <f t="shared" si="2"/>
        <v>0</v>
      </c>
      <c r="F44" s="1936">
        <f t="shared" si="1"/>
        <v>0</v>
      </c>
      <c r="G44" s="1793">
        <f t="shared" si="3"/>
        <v>0</v>
      </c>
    </row>
    <row r="45" spans="1:7" x14ac:dyDescent="0.25">
      <c r="A45" s="1653"/>
      <c r="B45" s="1934"/>
      <c r="C45" s="1654"/>
      <c r="D45" s="1844"/>
      <c r="E45" s="1540">
        <f t="shared" si="2"/>
        <v>0</v>
      </c>
      <c r="F45" s="1936">
        <f t="shared" si="1"/>
        <v>0</v>
      </c>
      <c r="G45" s="1793">
        <f t="shared" si="3"/>
        <v>0</v>
      </c>
    </row>
    <row r="46" spans="1:7" x14ac:dyDescent="0.25">
      <c r="A46" s="1653"/>
      <c r="B46" s="1934"/>
      <c r="C46" s="1654"/>
      <c r="D46" s="1844"/>
      <c r="E46" s="1540">
        <f t="shared" si="2"/>
        <v>0</v>
      </c>
      <c r="F46" s="1936">
        <f t="shared" si="1"/>
        <v>0</v>
      </c>
      <c r="G46" s="1793">
        <f t="shared" si="3"/>
        <v>0</v>
      </c>
    </row>
    <row r="47" spans="1:7" x14ac:dyDescent="0.25">
      <c r="A47" s="1653"/>
      <c r="B47" s="1667"/>
      <c r="C47" s="1654"/>
      <c r="D47" s="1844"/>
      <c r="E47" s="1540">
        <f t="shared" si="2"/>
        <v>0</v>
      </c>
      <c r="F47" s="1936">
        <f t="shared" si="1"/>
        <v>0</v>
      </c>
      <c r="G47" s="1793">
        <f t="shared" si="3"/>
        <v>0</v>
      </c>
    </row>
    <row r="48" spans="1:7" x14ac:dyDescent="0.25">
      <c r="A48" s="1653"/>
      <c r="B48" s="1667"/>
      <c r="C48" s="1654"/>
      <c r="D48" s="1844"/>
      <c r="E48" s="1540">
        <f t="shared" si="2"/>
        <v>0</v>
      </c>
      <c r="F48" s="1936">
        <f t="shared" si="1"/>
        <v>0</v>
      </c>
      <c r="G48" s="1793">
        <f t="shared" si="3"/>
        <v>0</v>
      </c>
    </row>
    <row r="49" spans="1:7" x14ac:dyDescent="0.25">
      <c r="A49" s="1653"/>
      <c r="B49" s="1667"/>
      <c r="C49" s="1654"/>
      <c r="D49" s="1844"/>
      <c r="E49" s="1540">
        <f t="shared" si="2"/>
        <v>0</v>
      </c>
      <c r="F49" s="1936">
        <f t="shared" si="1"/>
        <v>0</v>
      </c>
      <c r="G49" s="1793">
        <f t="shared" si="3"/>
        <v>0</v>
      </c>
    </row>
    <row r="50" spans="1:7" x14ac:dyDescent="0.25">
      <c r="A50" s="1653"/>
      <c r="B50" s="1667"/>
      <c r="C50" s="1654"/>
      <c r="D50" s="1844"/>
      <c r="E50" s="1540">
        <f t="shared" si="2"/>
        <v>0</v>
      </c>
      <c r="F50" s="1936">
        <f t="shared" si="1"/>
        <v>0</v>
      </c>
      <c r="G50" s="1793">
        <f t="shared" si="3"/>
        <v>0</v>
      </c>
    </row>
    <row r="51" spans="1:7" x14ac:dyDescent="0.25">
      <c r="A51" s="1653"/>
      <c r="B51" s="1667"/>
      <c r="C51" s="1654"/>
      <c r="D51" s="1844"/>
      <c r="E51" s="1540">
        <f t="shared" si="2"/>
        <v>0</v>
      </c>
      <c r="F51" s="1936">
        <f t="shared" si="1"/>
        <v>0</v>
      </c>
      <c r="G51" s="1793">
        <f t="shared" si="3"/>
        <v>0</v>
      </c>
    </row>
    <row r="52" spans="1:7" x14ac:dyDescent="0.25">
      <c r="A52" s="1653"/>
      <c r="B52" s="1667"/>
      <c r="C52" s="1654"/>
      <c r="D52" s="1844"/>
      <c r="E52" s="1540">
        <f t="shared" si="2"/>
        <v>0</v>
      </c>
      <c r="F52" s="1936">
        <f t="shared" si="1"/>
        <v>0</v>
      </c>
      <c r="G52" s="1793">
        <f t="shared" si="3"/>
        <v>0</v>
      </c>
    </row>
    <row r="53" spans="1:7" x14ac:dyDescent="0.25">
      <c r="A53" s="1653"/>
      <c r="B53" s="1667"/>
      <c r="C53" s="1654"/>
      <c r="D53" s="1844"/>
      <c r="E53" s="1540">
        <f t="shared" si="2"/>
        <v>0</v>
      </c>
      <c r="F53" s="1936">
        <f t="shared" si="1"/>
        <v>0</v>
      </c>
      <c r="G53" s="1793">
        <f t="shared" si="3"/>
        <v>0</v>
      </c>
    </row>
    <row r="54" spans="1:7" x14ac:dyDescent="0.25">
      <c r="A54" s="1653"/>
      <c r="B54" s="1667"/>
      <c r="C54" s="1654"/>
      <c r="D54" s="1844"/>
      <c r="E54" s="1540">
        <f t="shared" si="2"/>
        <v>0</v>
      </c>
      <c r="F54" s="1936">
        <f t="shared" si="1"/>
        <v>0</v>
      </c>
      <c r="G54" s="1793">
        <f t="shared" si="3"/>
        <v>0</v>
      </c>
    </row>
    <row r="55" spans="1:7" x14ac:dyDescent="0.25">
      <c r="A55" s="1653"/>
      <c r="B55" s="1667"/>
      <c r="C55" s="1654"/>
      <c r="D55" s="1844"/>
      <c r="E55" s="1540">
        <f t="shared" si="2"/>
        <v>0</v>
      </c>
      <c r="F55" s="1936">
        <f t="shared" si="1"/>
        <v>0</v>
      </c>
      <c r="G55" s="1793">
        <f t="shared" si="3"/>
        <v>0</v>
      </c>
    </row>
    <row r="56" spans="1:7" x14ac:dyDescent="0.25">
      <c r="A56" s="1653"/>
      <c r="B56" s="1667"/>
      <c r="C56" s="1654"/>
      <c r="D56" s="1844"/>
      <c r="E56" s="1540">
        <f t="shared" si="2"/>
        <v>0</v>
      </c>
      <c r="F56" s="1936">
        <f t="shared" si="1"/>
        <v>0</v>
      </c>
      <c r="G56" s="1793">
        <f t="shared" si="3"/>
        <v>0</v>
      </c>
    </row>
    <row r="57" spans="1:7" x14ac:dyDescent="0.25">
      <c r="A57" s="1653"/>
      <c r="B57" s="1667"/>
      <c r="C57" s="1654"/>
      <c r="D57" s="1844"/>
      <c r="E57" s="1540">
        <f t="shared" si="2"/>
        <v>0</v>
      </c>
      <c r="F57" s="1936">
        <f t="shared" si="1"/>
        <v>0</v>
      </c>
      <c r="G57" s="1793">
        <f t="shared" si="3"/>
        <v>0</v>
      </c>
    </row>
    <row r="58" spans="1:7" x14ac:dyDescent="0.25">
      <c r="A58" s="1653"/>
      <c r="B58" s="1667"/>
      <c r="C58" s="1654"/>
      <c r="D58" s="1844"/>
      <c r="E58" s="1540">
        <f t="shared" si="2"/>
        <v>0</v>
      </c>
      <c r="F58" s="1936">
        <f t="shared" si="1"/>
        <v>0</v>
      </c>
      <c r="G58" s="1793">
        <f t="shared" si="3"/>
        <v>0</v>
      </c>
    </row>
    <row r="59" spans="1:7" x14ac:dyDescent="0.25">
      <c r="A59" s="1653"/>
      <c r="B59" s="1667"/>
      <c r="C59" s="1654"/>
      <c r="D59" s="1844"/>
      <c r="E59" s="1540">
        <f t="shared" si="2"/>
        <v>0</v>
      </c>
      <c r="F59" s="1936">
        <f t="shared" si="1"/>
        <v>0</v>
      </c>
      <c r="G59" s="1793">
        <f t="shared" si="3"/>
        <v>0</v>
      </c>
    </row>
    <row r="60" spans="1:7" x14ac:dyDescent="0.25">
      <c r="A60" s="1653"/>
      <c r="B60" s="1667"/>
      <c r="C60" s="1654"/>
      <c r="D60" s="1844"/>
      <c r="E60" s="1540">
        <f t="shared" si="2"/>
        <v>0</v>
      </c>
      <c r="F60" s="1936">
        <f t="shared" si="1"/>
        <v>0</v>
      </c>
      <c r="G60" s="1793">
        <f t="shared" si="3"/>
        <v>0</v>
      </c>
    </row>
    <row r="61" spans="1:7" x14ac:dyDescent="0.25">
      <c r="A61" s="1653"/>
      <c r="B61" s="1667"/>
      <c r="C61" s="1654"/>
      <c r="D61" s="1844"/>
      <c r="E61" s="1540">
        <f t="shared" si="2"/>
        <v>0</v>
      </c>
      <c r="F61" s="1936">
        <f t="shared" si="1"/>
        <v>0</v>
      </c>
      <c r="G61" s="1793">
        <f t="shared" si="3"/>
        <v>0</v>
      </c>
    </row>
    <row r="62" spans="1:7" x14ac:dyDescent="0.25">
      <c r="A62" s="1653"/>
      <c r="B62" s="1667"/>
      <c r="C62" s="1654"/>
      <c r="D62" s="1844"/>
      <c r="E62" s="1540">
        <f t="shared" si="2"/>
        <v>0</v>
      </c>
      <c r="F62" s="1936">
        <f t="shared" si="1"/>
        <v>0</v>
      </c>
      <c r="G62" s="1793">
        <f t="shared" si="3"/>
        <v>0</v>
      </c>
    </row>
    <row r="63" spans="1:7" x14ac:dyDescent="0.25">
      <c r="A63" s="1653"/>
      <c r="B63" s="1667"/>
      <c r="C63" s="1654"/>
      <c r="D63" s="1844"/>
      <c r="E63" s="1540">
        <f t="shared" si="2"/>
        <v>0</v>
      </c>
      <c r="F63" s="1936">
        <f t="shared" si="1"/>
        <v>0</v>
      </c>
      <c r="G63" s="1793">
        <f t="shared" si="3"/>
        <v>0</v>
      </c>
    </row>
    <row r="64" spans="1:7" x14ac:dyDescent="0.25">
      <c r="A64" s="1653"/>
      <c r="B64" s="1667"/>
      <c r="C64" s="1654"/>
      <c r="D64" s="1844"/>
      <c r="E64" s="1540">
        <f t="shared" si="2"/>
        <v>0</v>
      </c>
      <c r="F64" s="1936">
        <f t="shared" si="1"/>
        <v>0</v>
      </c>
      <c r="G64" s="1793">
        <f t="shared" si="3"/>
        <v>0</v>
      </c>
    </row>
    <row r="65" spans="1:7" x14ac:dyDescent="0.25">
      <c r="A65" s="1655"/>
      <c r="B65" s="1667"/>
      <c r="C65" s="1656"/>
      <c r="D65" s="1844"/>
      <c r="E65" s="1540">
        <f t="shared" si="2"/>
        <v>0</v>
      </c>
      <c r="F65" s="1936">
        <f t="shared" si="1"/>
        <v>0</v>
      </c>
      <c r="G65" s="1793">
        <f t="shared" si="3"/>
        <v>0</v>
      </c>
    </row>
    <row r="66" spans="1:7" x14ac:dyDescent="0.25">
      <c r="A66" s="1653"/>
      <c r="B66" s="1667"/>
      <c r="C66" s="1654"/>
      <c r="D66" s="1844"/>
      <c r="E66" s="1540">
        <f t="shared" si="2"/>
        <v>0</v>
      </c>
      <c r="F66" s="1936">
        <f t="shared" si="1"/>
        <v>0</v>
      </c>
      <c r="G66" s="1793">
        <f t="shared" si="3"/>
        <v>0</v>
      </c>
    </row>
    <row r="67" spans="1:7" x14ac:dyDescent="0.25">
      <c r="A67" s="1653"/>
      <c r="B67" s="1667"/>
      <c r="C67" s="1654"/>
      <c r="D67" s="1844"/>
      <c r="E67" s="1540">
        <f t="shared" si="2"/>
        <v>0</v>
      </c>
      <c r="F67" s="1936">
        <f t="shared" si="1"/>
        <v>0</v>
      </c>
      <c r="G67" s="1793">
        <f t="shared" si="3"/>
        <v>0</v>
      </c>
    </row>
    <row r="68" spans="1:7" x14ac:dyDescent="0.25">
      <c r="A68" s="1653"/>
      <c r="B68" s="1667"/>
      <c r="C68" s="1654"/>
      <c r="D68" s="1844"/>
      <c r="E68" s="1540">
        <f t="shared" si="2"/>
        <v>0</v>
      </c>
      <c r="F68" s="1936">
        <f t="shared" si="1"/>
        <v>0</v>
      </c>
      <c r="G68" s="1793">
        <f t="shared" si="3"/>
        <v>0</v>
      </c>
    </row>
    <row r="69" spans="1:7" x14ac:dyDescent="0.25">
      <c r="A69" s="1653"/>
      <c r="B69" s="1667"/>
      <c r="C69" s="1654"/>
      <c r="D69" s="1844"/>
      <c r="E69" s="1540">
        <f t="shared" si="2"/>
        <v>0</v>
      </c>
      <c r="F69" s="1936">
        <f t="shared" si="1"/>
        <v>0</v>
      </c>
      <c r="G69" s="1793">
        <f t="shared" si="3"/>
        <v>0</v>
      </c>
    </row>
    <row r="70" spans="1:7" x14ac:dyDescent="0.25">
      <c r="A70" s="1653"/>
      <c r="B70" s="1667"/>
      <c r="C70" s="1654"/>
      <c r="D70" s="1844"/>
      <c r="E70" s="1540">
        <f t="shared" si="2"/>
        <v>0</v>
      </c>
      <c r="F70" s="1936">
        <f t="shared" si="1"/>
        <v>0</v>
      </c>
      <c r="G70" s="1793">
        <f t="shared" si="3"/>
        <v>0</v>
      </c>
    </row>
    <row r="71" spans="1:7" x14ac:dyDescent="0.25">
      <c r="A71" s="1653"/>
      <c r="B71" s="1667"/>
      <c r="C71" s="1654"/>
      <c r="D71" s="1844"/>
      <c r="E71" s="1540">
        <f t="shared" si="2"/>
        <v>0</v>
      </c>
      <c r="F71" s="1936">
        <f t="shared" si="1"/>
        <v>0</v>
      </c>
      <c r="G71" s="1793">
        <f t="shared" si="3"/>
        <v>0</v>
      </c>
    </row>
    <row r="72" spans="1:7" x14ac:dyDescent="0.25">
      <c r="A72" s="1653"/>
      <c r="B72" s="1667"/>
      <c r="C72" s="1654"/>
      <c r="D72" s="1844"/>
      <c r="E72" s="1540">
        <f t="shared" si="2"/>
        <v>0</v>
      </c>
      <c r="F72" s="1936">
        <f t="shared" si="1"/>
        <v>0</v>
      </c>
      <c r="G72" s="1793">
        <f t="shared" si="3"/>
        <v>0</v>
      </c>
    </row>
    <row r="73" spans="1:7" x14ac:dyDescent="0.25">
      <c r="A73" s="1653"/>
      <c r="B73" s="1667"/>
      <c r="C73" s="1654"/>
      <c r="D73" s="1844"/>
      <c r="E73" s="1540">
        <f t="shared" si="2"/>
        <v>0</v>
      </c>
      <c r="F73" s="1936">
        <f t="shared" si="1"/>
        <v>0</v>
      </c>
      <c r="G73" s="1793">
        <f t="shared" si="3"/>
        <v>0</v>
      </c>
    </row>
    <row r="74" spans="1:7" x14ac:dyDescent="0.25">
      <c r="A74" s="1653"/>
      <c r="B74" s="1667"/>
      <c r="C74" s="1654"/>
      <c r="D74" s="1844"/>
      <c r="E74" s="1540">
        <f t="shared" ref="E74:E85" si="4">IF(D74&lt;=25000,D74,IF(D74&gt;25000,25000,0))</f>
        <v>0</v>
      </c>
      <c r="F74" s="1936">
        <f t="shared" si="1"/>
        <v>0</v>
      </c>
      <c r="G74" s="1793">
        <f t="shared" ref="G74:G85" si="5">IF(F74=0,0,D74-F74)</f>
        <v>0</v>
      </c>
    </row>
    <row r="75" spans="1:7" x14ac:dyDescent="0.25">
      <c r="A75" s="1653"/>
      <c r="B75" s="1667"/>
      <c r="C75" s="1654"/>
      <c r="D75" s="1844"/>
      <c r="E75" s="1540">
        <f t="shared" si="4"/>
        <v>0</v>
      </c>
      <c r="F75" s="1936">
        <f t="shared" si="1"/>
        <v>0</v>
      </c>
      <c r="G75" s="1793">
        <f t="shared" si="5"/>
        <v>0</v>
      </c>
    </row>
    <row r="76" spans="1:7" x14ac:dyDescent="0.25">
      <c r="A76" s="1653"/>
      <c r="B76" s="1667"/>
      <c r="C76" s="1654"/>
      <c r="D76" s="1844"/>
      <c r="E76" s="1540">
        <f t="shared" si="4"/>
        <v>0</v>
      </c>
      <c r="F76" s="1936">
        <f t="shared" si="1"/>
        <v>0</v>
      </c>
      <c r="G76" s="1793">
        <f t="shared" si="5"/>
        <v>0</v>
      </c>
    </row>
    <row r="77" spans="1:7" x14ac:dyDescent="0.25">
      <c r="A77" s="1653"/>
      <c r="B77" s="1667"/>
      <c r="C77" s="1654"/>
      <c r="D77" s="1844"/>
      <c r="E77" s="1540">
        <f t="shared" si="4"/>
        <v>0</v>
      </c>
      <c r="F77" s="1936">
        <f t="shared" si="1"/>
        <v>0</v>
      </c>
      <c r="G77" s="1793">
        <f t="shared" si="5"/>
        <v>0</v>
      </c>
    </row>
    <row r="78" spans="1:7" x14ac:dyDescent="0.25">
      <c r="A78" s="1653"/>
      <c r="B78" s="1667"/>
      <c r="C78" s="1654"/>
      <c r="D78" s="1844"/>
      <c r="E78" s="1540">
        <f t="shared" si="4"/>
        <v>0</v>
      </c>
      <c r="F78" s="1936">
        <f t="shared" si="1"/>
        <v>0</v>
      </c>
      <c r="G78" s="1793">
        <f t="shared" si="5"/>
        <v>0</v>
      </c>
    </row>
    <row r="79" spans="1:7" x14ac:dyDescent="0.25">
      <c r="A79" s="1653"/>
      <c r="B79" s="1667"/>
      <c r="C79" s="1654"/>
      <c r="D79" s="1844"/>
      <c r="E79" s="1540">
        <f t="shared" si="4"/>
        <v>0</v>
      </c>
      <c r="F79" s="1936">
        <f t="shared" si="1"/>
        <v>0</v>
      </c>
      <c r="G79" s="1793">
        <f t="shared" si="5"/>
        <v>0</v>
      </c>
    </row>
    <row r="80" spans="1:7" x14ac:dyDescent="0.25">
      <c r="A80" s="1653"/>
      <c r="B80" s="1667"/>
      <c r="C80" s="1654"/>
      <c r="D80" s="1844"/>
      <c r="E80" s="1540">
        <f t="shared" si="4"/>
        <v>0</v>
      </c>
      <c r="F80" s="1936">
        <f t="shared" si="1"/>
        <v>0</v>
      </c>
      <c r="G80" s="1793">
        <f t="shared" si="5"/>
        <v>0</v>
      </c>
    </row>
    <row r="81" spans="1:7" x14ac:dyDescent="0.25">
      <c r="A81" s="1653"/>
      <c r="B81" s="1667"/>
      <c r="C81" s="1654"/>
      <c r="D81" s="1844"/>
      <c r="E81" s="1540">
        <f t="shared" si="4"/>
        <v>0</v>
      </c>
      <c r="F81" s="1936">
        <f t="shared" si="1"/>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2"/>
        <v>0</v>
      </c>
      <c r="F86" s="1936">
        <f t="shared" si="6"/>
        <v>0</v>
      </c>
      <c r="G86" s="1793">
        <f t="shared" si="3"/>
        <v>0</v>
      </c>
    </row>
    <row r="87" spans="1:7" x14ac:dyDescent="0.25">
      <c r="A87" s="1653"/>
      <c r="B87" s="1667"/>
      <c r="C87" s="1654"/>
      <c r="D87" s="1844"/>
      <c r="E87" s="1540">
        <f t="shared" si="2"/>
        <v>0</v>
      </c>
      <c r="F87" s="1936">
        <f t="shared" si="6"/>
        <v>0</v>
      </c>
      <c r="G87" s="1793">
        <f t="shared" si="3"/>
        <v>0</v>
      </c>
    </row>
    <row r="88" spans="1:7" x14ac:dyDescent="0.25">
      <c r="A88" s="1653"/>
      <c r="B88" s="1667"/>
      <c r="C88" s="1654"/>
      <c r="D88" s="1844"/>
      <c r="E88" s="1540">
        <f t="shared" si="2"/>
        <v>0</v>
      </c>
      <c r="F88" s="1936">
        <f t="shared" si="6"/>
        <v>0</v>
      </c>
      <c r="G88" s="1793">
        <f t="shared" si="3"/>
        <v>0</v>
      </c>
    </row>
    <row r="89" spans="1:7" x14ac:dyDescent="0.25">
      <c r="A89" s="1653"/>
      <c r="B89" s="1667"/>
      <c r="C89" s="1654"/>
      <c r="D89" s="1844"/>
      <c r="E89" s="1540">
        <f t="shared" si="2"/>
        <v>0</v>
      </c>
      <c r="F89" s="1936">
        <f t="shared" si="6"/>
        <v>0</v>
      </c>
      <c r="G89" s="1793">
        <f t="shared" si="3"/>
        <v>0</v>
      </c>
    </row>
    <row r="90" spans="1:7" x14ac:dyDescent="0.25">
      <c r="A90" s="1653"/>
      <c r="B90" s="1667"/>
      <c r="C90" s="1654"/>
      <c r="D90" s="1844"/>
      <c r="E90" s="1540">
        <f t="shared" si="2"/>
        <v>0</v>
      </c>
      <c r="F90" s="1936">
        <f t="shared" si="6"/>
        <v>0</v>
      </c>
      <c r="G90" s="1793">
        <f t="shared" si="3"/>
        <v>0</v>
      </c>
    </row>
    <row r="91" spans="1:7" x14ac:dyDescent="0.25">
      <c r="A91" s="1653"/>
      <c r="B91" s="1667"/>
      <c r="C91" s="1654"/>
      <c r="D91" s="1844"/>
      <c r="E91" s="1540">
        <f t="shared" si="2"/>
        <v>0</v>
      </c>
      <c r="F91" s="1936">
        <f t="shared" si="6"/>
        <v>0</v>
      </c>
      <c r="G91" s="1793">
        <f t="shared" si="3"/>
        <v>0</v>
      </c>
    </row>
    <row r="92" spans="1:7" x14ac:dyDescent="0.25">
      <c r="A92" s="1653"/>
      <c r="B92" s="1667"/>
      <c r="C92" s="1654"/>
      <c r="D92" s="1844"/>
      <c r="E92" s="1540">
        <f t="shared" si="2"/>
        <v>0</v>
      </c>
      <c r="F92" s="1936">
        <f t="shared" si="6"/>
        <v>0</v>
      </c>
      <c r="G92" s="1793">
        <f t="shared" si="3"/>
        <v>0</v>
      </c>
    </row>
    <row r="93" spans="1:7" x14ac:dyDescent="0.25">
      <c r="A93" s="1653"/>
      <c r="B93" s="1667"/>
      <c r="C93" s="1654"/>
      <c r="D93" s="1844"/>
      <c r="E93" s="1540">
        <f t="shared" si="2"/>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2"/>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2"/>
        <v>0</v>
      </c>
      <c r="F141" s="1936">
        <f t="shared" si="6"/>
        <v>0</v>
      </c>
      <c r="G141" s="1793">
        <f t="shared" si="3"/>
        <v>0</v>
      </c>
    </row>
    <row r="142" spans="1:7" x14ac:dyDescent="0.25">
      <c r="A142" s="1796" t="s">
        <v>156</v>
      </c>
      <c r="B142" s="1797"/>
      <c r="C142" s="1798"/>
      <c r="D142" s="1794">
        <f>SUM(D18:D141)</f>
        <v>84518</v>
      </c>
      <c r="E142" s="1541">
        <f t="shared" si="0"/>
        <v>25000</v>
      </c>
      <c r="F142" s="1932">
        <f>SUM(F18:F141)</f>
        <v>25000</v>
      </c>
      <c r="G142" s="1795">
        <f>SUM(G18:G141)</f>
        <v>59518</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tint="-0.14999847407452621"/>
  </sheetPr>
  <dimension ref="A1:I46"/>
  <sheetViews>
    <sheetView showGridLines="0" defaultGridColor="0" colorId="8" zoomScale="110" zoomScaleNormal="110" workbookViewId="0">
      <selection activeCell="B1" sqref="B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5" t="s">
        <v>1679</v>
      </c>
      <c r="B5" s="2286"/>
      <c r="C5" s="2286"/>
      <c r="D5" s="2286"/>
      <c r="E5" s="2286"/>
      <c r="F5" s="2286"/>
      <c r="G5" s="228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90" t="s">
        <v>1975</v>
      </c>
      <c r="B11" s="2291"/>
      <c r="C11" s="2291"/>
      <c r="D11" s="2292"/>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2853505</v>
      </c>
      <c r="F19" s="1799"/>
      <c r="G19" s="1801">
        <f>'Expenditures 15-22'!K33-SUM('Expenditures 15-22'!G33,'Expenditures 15-22'!I33)+'Expenditures 15-22'!D229</f>
        <v>2853505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751912</v>
      </c>
      <c r="F21" s="1802"/>
      <c r="G21" s="1805">
        <f>'Expenditures 15-22'!K42-SUM('Expenditures 15-22'!G42,'Expenditures 15-22'!I42)+'Expenditures 15-22'!K120-SUM('Expenditures 15-22'!G120,'Expenditures 15-22'!I120)+'Expenditures 15-22'!K180-SUM('Expenditures 15-22'!G180,'Expenditures 15-22'!I180)+'Expenditures 15-22'!D238</f>
        <v>751912</v>
      </c>
      <c r="H21" s="987"/>
      <c r="I21" s="162"/>
    </row>
    <row r="22" spans="1:9" s="668" customFormat="1" ht="12" customHeight="1" x14ac:dyDescent="0.2">
      <c r="A22" s="994" t="s">
        <v>564</v>
      </c>
      <c r="B22" s="995"/>
      <c r="C22" s="993">
        <v>2200</v>
      </c>
      <c r="D22" s="1802"/>
      <c r="E22" s="1804">
        <f>'Expenditures 15-22'!K47-SUM('Expenditures 15-22'!G47,'Expenditures 15-22'!I47)+'Expenditures 15-22'!D243</f>
        <v>7978</v>
      </c>
      <c r="F22" s="1802"/>
      <c r="G22" s="1805">
        <f>'Expenditures 15-22'!K47-SUM('Expenditures 15-22'!G47,'Expenditures 15-22'!I47)+'Expenditures 15-22'!D243</f>
        <v>7978</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105134</v>
      </c>
      <c r="F23" s="1802"/>
      <c r="G23" s="1804">
        <f>'Expenditures 15-22'!K53-SUM('Expenditures 15-22'!G53,'Expenditures 15-22'!I53)+'Expenditures 15-22'!D257+'Expenditures 15-22'!K330-SUM('Expenditures 15-22'!G330,'Expenditures 15-22'!I330)</f>
        <v>105134</v>
      </c>
      <c r="H23" s="987"/>
      <c r="I23" s="162"/>
    </row>
    <row r="24" spans="1:9" s="668" customFormat="1" ht="12" customHeight="1" x14ac:dyDescent="0.2">
      <c r="A24" s="994" t="s">
        <v>566</v>
      </c>
      <c r="B24" s="995"/>
      <c r="C24" s="993">
        <v>2400</v>
      </c>
      <c r="D24" s="1802"/>
      <c r="E24" s="1804">
        <f>'Expenditures 15-22'!K57-SUM('Expenditures 15-22'!G57,'Expenditures 15-22'!I57)+'Expenditures 15-22'!D261</f>
        <v>237361</v>
      </c>
      <c r="F24" s="1802"/>
      <c r="G24" s="1805">
        <f>'Expenditures 15-22'!K57-SUM('Expenditures 15-22'!G57,'Expenditures 15-22'!I57)+'Expenditures 15-22'!D261</f>
        <v>237361</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15795</v>
      </c>
      <c r="E26" s="1804">
        <f>'Expenditures 15-22'!K122-SUM('Expenditures 15-22'!G122,'Expenditures 15-22'!I122)+E7</f>
        <v>0</v>
      </c>
      <c r="F26" s="1804">
        <f>'Expenditures 15-22'!K59-SUM('Expenditures 15-22'!G59,'Expenditures 15-22'!I59)+'Expenditures 15-22'!D263-E7</f>
        <v>15795</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17952</v>
      </c>
      <c r="E27" s="1804">
        <f>E8</f>
        <v>0</v>
      </c>
      <c r="F27" s="1804">
        <f>'Expenditures 15-22'!K60-SUM('Expenditures 15-22'!G60,'Expenditures 15-22'!I60)+'Expenditures 15-22'!D264-E8</f>
        <v>17952</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179821</v>
      </c>
      <c r="F28" s="1806">
        <f>'Expenditures 15-22'!K61-SUM('Expenditures 15-22'!G61,'Expenditures 15-22'!I61)+'Expenditures 15-22'!K124-SUM('Expenditures 15-22'!G124,'Expenditures 15-22'!I124)+'Expenditures 15-22'!D266-E9</f>
        <v>179821</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608537</v>
      </c>
      <c r="F29" s="1802"/>
      <c r="G29" s="1805">
        <f>'Expenditures 15-22'!K62-SUM('Expenditures 15-22'!G62,'Expenditures 15-22'!I62)+'Expenditures 15-22'!K125-SUM('Expenditures 15-22'!G125,'Expenditures 15-22'!I125)+'Expenditures 15-22'!K182-SUM('Expenditures 15-22'!G182,'Expenditures 15-22'!I182)+'Expenditures 15-22'!D267</f>
        <v>608537</v>
      </c>
      <c r="H29" s="985"/>
    </row>
    <row r="30" spans="1:9" ht="12" customHeight="1" x14ac:dyDescent="0.2">
      <c r="A30" s="994" t="s">
        <v>100</v>
      </c>
      <c r="B30" s="997"/>
      <c r="C30" s="993">
        <v>2560</v>
      </c>
      <c r="D30" s="1802"/>
      <c r="E30" s="1804">
        <f>'Expenditures 15-22'!K63-SUM('Expenditures 15-22'!G63,'Expenditures 15-22'!I63)+'Expenditures 15-22'!D268-E10</f>
        <v>30727</v>
      </c>
      <c r="F30" s="1802"/>
      <c r="G30" s="1804">
        <f>'Expenditures 15-22'!K63-SUM('Expenditures 15-22'!G63,'Expenditures 15-22'!I63)+'Expenditures 15-22'!D268-E10</f>
        <v>30727</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6385</v>
      </c>
      <c r="F34" s="1802"/>
      <c r="G34" s="1804">
        <f>'Expenditures 15-22'!K68-SUM('Expenditures 15-22'!G68,'Expenditures 15-22'!I68)+'Expenditures 15-22'!D273</f>
        <v>6385</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9044</v>
      </c>
      <c r="E36" s="1804">
        <f>E13</f>
        <v>0</v>
      </c>
      <c r="F36" s="1804">
        <f>'Expenditures 15-22'!K70-SUM('Expenditures 15-22'!G70,'Expenditures 15-22'!I70)+'Expenditures 15-22'!D275-E13</f>
        <v>9044</v>
      </c>
      <c r="G36" s="1804">
        <f>E13</f>
        <v>0</v>
      </c>
    </row>
    <row r="37" spans="1:7" ht="12" customHeight="1" x14ac:dyDescent="0.2">
      <c r="A37" s="994" t="s">
        <v>404</v>
      </c>
      <c r="B37" s="997"/>
      <c r="C37" s="993">
        <v>2660</v>
      </c>
      <c r="D37" s="1804">
        <f>'Expenditures 15-22'!K71-SUM('Expenditures 15-22'!G71,'Expenditures 15-22'!I71)+'Expenditures 15-22'!D276-E14</f>
        <v>34786</v>
      </c>
      <c r="E37" s="1804">
        <f>E14</f>
        <v>0</v>
      </c>
      <c r="F37" s="1804">
        <f>'Expenditures 15-22'!K71-SUM('Expenditures 15-22'!G71,'Expenditures 15-22'!I71)+'Expenditures 15-22'!D276-E14</f>
        <v>34786</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32652</v>
      </c>
      <c r="F38" s="1802"/>
      <c r="G38" s="1804">
        <f>'Expenditures 15-22'!K73-SUM('Expenditures 15-22'!G73,'Expenditures 15-22'!I73)+'Expenditures 15-22'!K128-SUM('Expenditures 15-22'!G128,'Expenditures 15-22'!I128)+'Expenditures 15-22'!K183-SUM('Expenditures 15-22'!G183,'Expenditures 15-22'!I183)+'Expenditures 15-22'!D278</f>
        <v>32652</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29135</v>
      </c>
      <c r="F39" s="1802"/>
      <c r="G39" s="1804">
        <f>'Expenditures 15-22'!K75-SUM('Expenditures 15-22'!G75,'Expenditures 15-22'!I75)+'Expenditures 15-22'!K130-SUM('Expenditures 15-22'!G130,'Expenditures 15-22'!I130)+'Expenditures 15-22'!K185-SUM('Expenditures 15-22'!G185,'Expenditures 15-22'!I185)+'Expenditures 15-22'!D280</f>
        <v>29135</v>
      </c>
    </row>
    <row r="40" spans="1:7" ht="12" customHeight="1" x14ac:dyDescent="0.2">
      <c r="A40" s="990" t="s">
        <v>1823</v>
      </c>
      <c r="B40" s="991"/>
      <c r="C40" s="993"/>
      <c r="D40" s="1802"/>
      <c r="E40" s="1806">
        <f>-'Contracts Paid in CY 29'!G142</f>
        <v>-59518</v>
      </c>
      <c r="F40" s="1802"/>
      <c r="G40" s="1806">
        <f>-'Contracts Paid in CY 29'!G142</f>
        <v>-59518</v>
      </c>
    </row>
    <row r="41" spans="1:7" ht="12" customHeight="1" x14ac:dyDescent="0.2">
      <c r="A41" s="998" t="s">
        <v>156</v>
      </c>
      <c r="B41" s="999"/>
      <c r="C41" s="1000"/>
      <c r="D41" s="1806">
        <f>SUM(D19:D39)</f>
        <v>77577</v>
      </c>
      <c r="E41" s="1806">
        <f>SUM(E19:E40)</f>
        <v>4783629</v>
      </c>
      <c r="F41" s="1806">
        <f>SUM(F19:F39)</f>
        <v>257398</v>
      </c>
      <c r="G41" s="1806">
        <f>SUM(G19:G40)</f>
        <v>4603808</v>
      </c>
    </row>
    <row r="42" spans="1:7" x14ac:dyDescent="0.2">
      <c r="A42" s="987"/>
      <c r="B42" s="162"/>
      <c r="C42" s="1001"/>
      <c r="D42" s="2288" t="s">
        <v>522</v>
      </c>
      <c r="E42" s="2289"/>
      <c r="F42" s="1002" t="s">
        <v>523</v>
      </c>
      <c r="G42" s="1003"/>
    </row>
    <row r="43" spans="1:7" ht="12" customHeight="1" x14ac:dyDescent="0.2">
      <c r="A43" s="987"/>
      <c r="B43" s="162"/>
      <c r="C43" s="1001"/>
      <c r="D43" s="1807" t="s">
        <v>473</v>
      </c>
      <c r="E43" s="1808">
        <f>D41</f>
        <v>77577</v>
      </c>
      <c r="F43" s="1807" t="s">
        <v>473</v>
      </c>
      <c r="G43" s="1808">
        <f>F41</f>
        <v>257398</v>
      </c>
    </row>
    <row r="44" spans="1:7" ht="12" customHeight="1" x14ac:dyDescent="0.2">
      <c r="A44" s="987"/>
      <c r="B44" s="162"/>
      <c r="C44" s="1001"/>
      <c r="D44" s="1807" t="s">
        <v>474</v>
      </c>
      <c r="E44" s="1808">
        <f>E41</f>
        <v>4783629</v>
      </c>
      <c r="F44" s="1807" t="s">
        <v>474</v>
      </c>
      <c r="G44" s="1808">
        <f>G41</f>
        <v>4603808</v>
      </c>
    </row>
    <row r="45" spans="1:7" ht="12" customHeight="1" x14ac:dyDescent="0.2">
      <c r="A45" s="987"/>
      <c r="B45" s="162"/>
      <c r="C45" s="162"/>
      <c r="D45" s="1809" t="s">
        <v>1006</v>
      </c>
      <c r="E45" s="1810">
        <f>(E43/E44)</f>
        <v>1.6217185739111458E-2</v>
      </c>
      <c r="F45" s="1809" t="s">
        <v>1006</v>
      </c>
      <c r="G45" s="1810">
        <f>(G43/G44)</f>
        <v>5.5909803362781417E-2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0" tint="-0.14999847407452621"/>
    <pageSetUpPr fitToPage="1"/>
  </sheetPr>
  <dimension ref="A1:L97"/>
  <sheetViews>
    <sheetView showGridLines="0" zoomScale="110" zoomScaleNormal="110" workbookViewId="0">
      <pane ySplit="4" topLeftCell="A10" activePane="bottomLeft" state="frozen"/>
      <selection activeCell="A47" sqref="A47"/>
      <selection pane="bottomLeft" activeCell="O37" sqref="O37"/>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7" t="s">
        <v>1379</v>
      </c>
      <c r="B1" s="2307"/>
      <c r="C1" s="2307"/>
      <c r="D1" s="2307"/>
      <c r="E1" s="2307"/>
      <c r="F1" s="2307"/>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8" t="s">
        <v>1546</v>
      </c>
      <c r="B5" s="2309"/>
      <c r="C5" s="2310"/>
      <c r="D5" s="2310"/>
      <c r="E5" s="2310"/>
      <c r="F5" s="2310"/>
    </row>
    <row r="6" spans="1:10" ht="12" customHeight="1" x14ac:dyDescent="0.25">
      <c r="A6" s="1850"/>
      <c r="B6" s="1851"/>
      <c r="C6" s="2311" t="str">
        <f>COVER!A17</f>
        <v>Evanston Dists 65/202 Jnt Agr</v>
      </c>
      <c r="D6" s="2311"/>
      <c r="E6" s="2311"/>
      <c r="F6" s="1852"/>
    </row>
    <row r="7" spans="1:10" ht="11.25" customHeight="1" thickBot="1" x14ac:dyDescent="0.3">
      <c r="A7" s="1850"/>
      <c r="B7" s="1851"/>
      <c r="C7" s="2312">
        <f>COVER!A13</f>
        <v>5016065061</v>
      </c>
      <c r="D7" s="2312"/>
      <c r="E7" s="2312"/>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t="s">
        <v>2065</v>
      </c>
      <c r="D21" s="1865" t="s">
        <v>2065</v>
      </c>
      <c r="E21" s="1868"/>
      <c r="F21" s="1867" t="s">
        <v>2083</v>
      </c>
      <c r="H21" s="1878">
        <f t="shared" si="0"/>
        <v>5</v>
      </c>
      <c r="I21" s="1878">
        <f t="shared" si="1"/>
        <v>5</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2065</v>
      </c>
      <c r="D25" s="1865" t="s">
        <v>2065</v>
      </c>
      <c r="E25" s="1868"/>
      <c r="F25" s="1867" t="s">
        <v>2084</v>
      </c>
      <c r="H25" s="1878">
        <f t="shared" si="0"/>
        <v>5</v>
      </c>
      <c r="I25" s="1878">
        <f t="shared" si="1"/>
        <v>5</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13"/>
      <c r="D35" s="2313"/>
      <c r="E35" s="2313"/>
      <c r="F35" s="2314"/>
    </row>
    <row r="36" spans="1:11" ht="12" customHeight="1" x14ac:dyDescent="0.2">
      <c r="A36" s="2296"/>
      <c r="B36" s="2297"/>
      <c r="C36" s="2297"/>
      <c r="D36" s="2297"/>
      <c r="E36" s="2297"/>
      <c r="F36" s="2298"/>
    </row>
    <row r="37" spans="1:11" ht="12" customHeight="1" x14ac:dyDescent="0.2">
      <c r="A37" s="2296"/>
      <c r="B37" s="2297"/>
      <c r="C37" s="2297"/>
      <c r="D37" s="2297"/>
      <c r="E37" s="2297"/>
      <c r="F37" s="2298"/>
    </row>
    <row r="38" spans="1:11" ht="12" customHeight="1" x14ac:dyDescent="0.2">
      <c r="A38" s="2299"/>
      <c r="B38" s="2300"/>
      <c r="C38" s="2300"/>
      <c r="D38" s="2300"/>
      <c r="E38" s="2300"/>
      <c r="F38" s="2301"/>
    </row>
    <row r="39" spans="1:11" ht="4.5" hidden="1" customHeight="1" x14ac:dyDescent="0.2">
      <c r="A39" s="1873"/>
      <c r="B39" s="1873"/>
      <c r="C39" s="1873"/>
      <c r="D39" s="1873"/>
      <c r="E39" s="1873"/>
      <c r="F39" s="1873"/>
    </row>
    <row r="40" spans="1:11" s="1870" customFormat="1" ht="12" customHeight="1" x14ac:dyDescent="0.25">
      <c r="A40" s="1874" t="s">
        <v>1391</v>
      </c>
      <c r="B40" s="1875"/>
      <c r="C40" s="2302"/>
      <c r="D40" s="2302"/>
      <c r="E40" s="2302"/>
      <c r="F40" s="2303"/>
      <c r="H40" s="1879"/>
      <c r="I40" s="1879"/>
      <c r="J40" s="1879"/>
      <c r="K40" s="1879"/>
    </row>
    <row r="41" spans="1:11" s="1870" customFormat="1" ht="12" customHeight="1" x14ac:dyDescent="0.25">
      <c r="A41" s="2304"/>
      <c r="B41" s="2305"/>
      <c r="C41" s="2305"/>
      <c r="D41" s="2305"/>
      <c r="E41" s="2305"/>
      <c r="F41" s="2306"/>
      <c r="H41" s="1879"/>
      <c r="I41" s="1879"/>
      <c r="J41" s="1879"/>
      <c r="K41" s="1879"/>
    </row>
    <row r="42" spans="1:11" s="1870" customFormat="1" ht="12" customHeight="1" x14ac:dyDescent="0.25">
      <c r="A42" s="2304"/>
      <c r="B42" s="2305"/>
      <c r="C42" s="2305"/>
      <c r="D42" s="2305"/>
      <c r="E42" s="2305"/>
      <c r="F42" s="2306"/>
      <c r="H42" s="1879"/>
      <c r="I42" s="1879"/>
      <c r="J42" s="1879"/>
      <c r="K42" s="1879"/>
    </row>
    <row r="43" spans="1:11" s="1870" customFormat="1" ht="15" x14ac:dyDescent="0.25">
      <c r="A43" s="2293"/>
      <c r="B43" s="2294"/>
      <c r="C43" s="2294"/>
      <c r="D43" s="2294"/>
      <c r="E43" s="2294"/>
      <c r="F43" s="2295"/>
      <c r="H43" s="1879"/>
      <c r="I43" s="1879"/>
      <c r="J43" s="1879"/>
      <c r="K43" s="1879"/>
    </row>
    <row r="44" spans="1:11" s="1870" customFormat="1" ht="12" hidden="1" customHeight="1" x14ac:dyDescent="0.25">
      <c r="A44" s="2293"/>
      <c r="B44" s="2294"/>
      <c r="C44" s="2294"/>
      <c r="D44" s="2294"/>
      <c r="E44" s="2294"/>
      <c r="F44" s="2295"/>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0" tint="-0.14999847407452621"/>
  </sheetPr>
  <dimension ref="A1:Q40"/>
  <sheetViews>
    <sheetView showGridLines="0" defaultGridColor="0" topLeftCell="A3" colorId="8" zoomScale="110" zoomScaleNormal="110" workbookViewId="0">
      <selection activeCell="F28" sqref="F28:G2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0" t="str">
        <f>COVER!A17</f>
        <v>Evanston Dists 65/202 Jnt Agr</v>
      </c>
      <c r="J6" s="2321"/>
      <c r="Q6" s="1664"/>
    </row>
    <row r="7" spans="1:17" x14ac:dyDescent="0.2">
      <c r="A7" s="2322" t="s">
        <v>869</v>
      </c>
      <c r="B7" s="2323"/>
      <c r="C7" s="2323"/>
      <c r="D7" s="2323"/>
      <c r="E7" s="2324"/>
      <c r="F7" s="1017"/>
      <c r="G7" s="1009"/>
      <c r="H7" s="1016" t="s">
        <v>372</v>
      </c>
      <c r="I7" s="2325">
        <f>COVER!A13</f>
        <v>5016065061</v>
      </c>
      <c r="J7" s="232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6" t="s">
        <v>481</v>
      </c>
      <c r="B11" s="2327"/>
      <c r="C11" s="232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11464</v>
      </c>
      <c r="F12" s="1039"/>
      <c r="G12" s="1811">
        <f t="shared" ref="G12:G18" si="0">SUM(E12:F12)</f>
        <v>11464</v>
      </c>
      <c r="H12" s="1040">
        <v>11713</v>
      </c>
      <c r="I12" s="1039"/>
      <c r="J12" s="1811">
        <f t="shared" ref="J12:J18" si="1">SUM(H12:I12)</f>
        <v>11713</v>
      </c>
    </row>
    <row r="13" spans="1:17" ht="15" customHeight="1" x14ac:dyDescent="0.2">
      <c r="A13" s="1035">
        <v>2</v>
      </c>
      <c r="B13" s="1036" t="s">
        <v>42</v>
      </c>
      <c r="C13" s="1037"/>
      <c r="D13" s="1038">
        <v>2330</v>
      </c>
      <c r="E13" s="1811">
        <f>'Expenditures 15-22'!K51</f>
        <v>46651</v>
      </c>
      <c r="F13" s="1039"/>
      <c r="G13" s="1811">
        <f t="shared" si="0"/>
        <v>46651</v>
      </c>
      <c r="H13" s="1040">
        <v>47581</v>
      </c>
      <c r="I13" s="1039"/>
      <c r="J13" s="1811">
        <f t="shared" si="1"/>
        <v>47581</v>
      </c>
    </row>
    <row r="14" spans="1:17" ht="15" customHeight="1" x14ac:dyDescent="0.2">
      <c r="A14" s="1035">
        <v>3</v>
      </c>
      <c r="B14" s="1036" t="s">
        <v>43</v>
      </c>
      <c r="C14" s="1037"/>
      <c r="D14" s="1041">
        <v>2490</v>
      </c>
      <c r="E14" s="1811">
        <f>'Expenditures 15-22'!K56</f>
        <v>0</v>
      </c>
      <c r="F14" s="1039"/>
      <c r="G14" s="1811">
        <f t="shared" si="0"/>
        <v>0</v>
      </c>
      <c r="H14" s="1040">
        <v>0</v>
      </c>
      <c r="I14" s="1039"/>
      <c r="J14" s="1811">
        <f t="shared" si="1"/>
        <v>0</v>
      </c>
    </row>
    <row r="15" spans="1:17" ht="15" customHeight="1" x14ac:dyDescent="0.2">
      <c r="A15" s="1035">
        <v>4</v>
      </c>
      <c r="B15" s="1036" t="s">
        <v>1068</v>
      </c>
      <c r="C15" s="1037"/>
      <c r="D15" s="1038">
        <v>2510</v>
      </c>
      <c r="E15" s="1811">
        <f>'Expenditures 15-22'!K59</f>
        <v>15698</v>
      </c>
      <c r="F15" s="1811">
        <f>'Expenditures 15-22'!K122</f>
        <v>0</v>
      </c>
      <c r="G15" s="1811">
        <f t="shared" si="0"/>
        <v>15698</v>
      </c>
      <c r="H15" s="1040">
        <v>16725</v>
      </c>
      <c r="I15" s="1040">
        <v>0</v>
      </c>
      <c r="J15" s="1811">
        <f t="shared" si="1"/>
        <v>16725</v>
      </c>
    </row>
    <row r="16" spans="1:17" ht="15" customHeight="1" x14ac:dyDescent="0.2">
      <c r="A16" s="1035">
        <v>5</v>
      </c>
      <c r="B16" s="1036" t="s">
        <v>101</v>
      </c>
      <c r="C16" s="1037"/>
      <c r="D16" s="1038">
        <v>2570</v>
      </c>
      <c r="E16" s="1811">
        <f>'Expenditures 15-22'!K64</f>
        <v>0</v>
      </c>
      <c r="F16" s="1039"/>
      <c r="G16" s="1811">
        <f t="shared" si="0"/>
        <v>0</v>
      </c>
      <c r="H16" s="1040">
        <v>0</v>
      </c>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v>0</v>
      </c>
      <c r="I17" s="1039"/>
      <c r="J17" s="1811">
        <f t="shared" si="1"/>
        <v>0</v>
      </c>
    </row>
    <row r="18" spans="1:10" ht="22.5" customHeight="1" x14ac:dyDescent="0.2">
      <c r="A18" s="1042">
        <v>7</v>
      </c>
      <c r="B18" s="2329" t="s">
        <v>7</v>
      </c>
      <c r="C18" s="2330"/>
      <c r="D18" s="2331"/>
      <c r="E18" s="1043"/>
      <c r="F18" s="1043"/>
      <c r="G18" s="1812">
        <f t="shared" si="0"/>
        <v>0</v>
      </c>
      <c r="H18" s="1040">
        <v>0</v>
      </c>
      <c r="I18" s="1040">
        <v>0</v>
      </c>
      <c r="J18" s="1811">
        <f t="shared" si="1"/>
        <v>0</v>
      </c>
    </row>
    <row r="19" spans="1:10" ht="12.75" customHeight="1" thickBot="1" x14ac:dyDescent="0.25">
      <c r="A19" s="1035">
        <v>8</v>
      </c>
      <c r="B19" s="1044" t="s">
        <v>1161</v>
      </c>
      <c r="D19" s="1045"/>
      <c r="E19" s="1813">
        <f t="shared" ref="E19:J19" si="2">SUM(E12:E17)-E18</f>
        <v>73813</v>
      </c>
      <c r="F19" s="1813">
        <f t="shared" si="2"/>
        <v>0</v>
      </c>
      <c r="G19" s="1813">
        <f t="shared" si="2"/>
        <v>73813</v>
      </c>
      <c r="H19" s="1813">
        <f t="shared" si="2"/>
        <v>76019</v>
      </c>
      <c r="I19" s="1813">
        <f t="shared" si="2"/>
        <v>0</v>
      </c>
      <c r="J19" s="1813">
        <f t="shared" si="2"/>
        <v>76019</v>
      </c>
    </row>
    <row r="20" spans="1:10" ht="13.5" thickTop="1" x14ac:dyDescent="0.2">
      <c r="A20" s="1035">
        <v>9</v>
      </c>
      <c r="B20" s="2332" t="s">
        <v>1979</v>
      </c>
      <c r="C20" s="2332"/>
      <c r="D20" s="2333"/>
      <c r="E20" s="1046"/>
      <c r="F20" s="1046"/>
      <c r="G20" s="1046"/>
      <c r="H20" s="1046"/>
      <c r="I20" s="1046"/>
      <c r="J20" s="1814">
        <f>IF(AND(G19&gt;0,J19&gt;0),(((J19-G19)/G19)),"Enter Budget Data")</f>
        <v>2.9886334385541842E-2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8"/>
      <c r="D26" s="2338"/>
      <c r="E26" s="1050"/>
      <c r="F26" s="2337">
        <v>43812</v>
      </c>
      <c r="G26" s="2337"/>
    </row>
    <row r="27" spans="1:10" x14ac:dyDescent="0.2">
      <c r="B27" s="1047"/>
      <c r="C27" s="1051" t="s">
        <v>1033</v>
      </c>
      <c r="D27" s="1052"/>
      <c r="E27" s="1053"/>
      <c r="F27" s="2334" t="s">
        <v>1509</v>
      </c>
      <c r="G27" s="2334"/>
    </row>
    <row r="28" spans="1:10" ht="28.5" customHeight="1" x14ac:dyDescent="0.2">
      <c r="B28" s="1047"/>
      <c r="C28" s="2336" t="s">
        <v>2097</v>
      </c>
      <c r="D28" s="2336"/>
      <c r="E28" s="1054"/>
      <c r="F28" s="2336" t="s">
        <v>2098</v>
      </c>
      <c r="G28" s="2336"/>
    </row>
    <row r="29" spans="1:10" x14ac:dyDescent="0.2">
      <c r="B29" s="1047"/>
      <c r="C29" s="1055" t="s">
        <v>1561</v>
      </c>
      <c r="E29" s="1056"/>
      <c r="F29" s="2335" t="s">
        <v>1510</v>
      </c>
      <c r="G29" s="233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c r="C36" s="2319" t="s">
        <v>1981</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c r="C39" s="2315" t="s">
        <v>882</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tint="-0.14999847407452621"/>
    <pageSetUpPr fitToPage="1"/>
  </sheetPr>
  <dimension ref="A2:B33"/>
  <sheetViews>
    <sheetView showGridLines="0" zoomScale="110" zoomScaleNormal="110" workbookViewId="0">
      <selection activeCell="H25" sqref="H2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2339" t="s">
        <v>2085</v>
      </c>
    </row>
    <row r="6" spans="1:2" x14ac:dyDescent="0.2">
      <c r="A6" s="1068"/>
      <c r="B6" s="2339"/>
    </row>
    <row r="7" spans="1:2" x14ac:dyDescent="0.2">
      <c r="A7" s="1068">
        <v>2</v>
      </c>
      <c r="B7" s="329" t="s">
        <v>2086</v>
      </c>
    </row>
    <row r="8" spans="1:2" x14ac:dyDescent="0.2">
      <c r="A8" s="1068">
        <v>3</v>
      </c>
      <c r="B8" s="329" t="s">
        <v>2087</v>
      </c>
    </row>
    <row r="9" spans="1:2" x14ac:dyDescent="0.2">
      <c r="A9" s="1068">
        <v>4</v>
      </c>
      <c r="B9" s="329" t="s">
        <v>2088</v>
      </c>
    </row>
    <row r="10" spans="1:2" x14ac:dyDescent="0.2">
      <c r="A10" s="1069">
        <v>5</v>
      </c>
      <c r="B10" s="329" t="s">
        <v>2089</v>
      </c>
    </row>
    <row r="11" spans="1:2" x14ac:dyDescent="0.2">
      <c r="A11" s="1069">
        <v>6</v>
      </c>
      <c r="B11" s="329" t="s">
        <v>2090</v>
      </c>
    </row>
    <row r="12" spans="1:2" x14ac:dyDescent="0.2">
      <c r="A12" s="1069"/>
    </row>
    <row r="13" spans="1:2" x14ac:dyDescent="0.2">
      <c r="A13" s="1069"/>
    </row>
    <row r="14" spans="1:2" x14ac:dyDescent="0.2">
      <c r="A14" s="1069"/>
    </row>
    <row r="15" spans="1:2" x14ac:dyDescent="0.2">
      <c r="A15" s="1069"/>
    </row>
    <row r="16" spans="1:2" x14ac:dyDescent="0.2">
      <c r="A16" s="1069"/>
    </row>
    <row r="17" spans="1:2" x14ac:dyDescent="0.2">
      <c r="A17" s="1069"/>
    </row>
    <row r="18" spans="1:2" x14ac:dyDescent="0.2">
      <c r="A18" s="1069"/>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c r="B32" s="258" t="str">
        <f>COVER!A17</f>
        <v>Evanston Dists 65/202 Jnt Agr</v>
      </c>
    </row>
    <row r="33" spans="2:2" x14ac:dyDescent="0.2">
      <c r="B33" s="1070">
        <f>COVER!A13</f>
        <v>5016065061</v>
      </c>
    </row>
  </sheetData>
  <mergeCells count="1">
    <mergeCell ref="B5:B6"/>
  </mergeCells>
  <phoneticPr fontId="14" type="noConversion"/>
  <pageMargins left="0.2" right="0.2" top="1.17" bottom="0.75" header="0.19" footer="0.16"/>
  <pageSetup scale="96" firstPageNumber="32" fitToHeight="0"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I84"/>
  <sheetViews>
    <sheetView showGridLines="0" topLeftCell="A33" zoomScale="110" zoomScaleNormal="110" workbookViewId="0">
      <selection activeCell="J63" sqref="J6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14999847407452621"/>
  </sheetPr>
  <dimension ref="A1:D19"/>
  <sheetViews>
    <sheetView showGridLines="0" defaultGridColor="0" colorId="8" zoomScale="110" zoomScaleNormal="110" workbookViewId="0">
      <selection activeCell="F27" sqref="F27:G2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0" tint="-0.14999847407452621"/>
  </sheetPr>
  <dimension ref="A1:F32"/>
  <sheetViews>
    <sheetView showGridLines="0" topLeftCell="A133" zoomScale="110" zoomScaleNormal="110" workbookViewId="0">
      <selection activeCell="H8" sqref="H8"/>
    </sheetView>
  </sheetViews>
  <sheetFormatPr defaultColWidth="9.140625" defaultRowHeight="12.75" x14ac:dyDescent="0.2"/>
  <cols>
    <col min="1" max="1" width="1.85546875" style="329" customWidth="1"/>
    <col min="2" max="2" width="59.7109375" style="329" customWidth="1"/>
    <col min="3" max="16384" width="9.140625" style="329"/>
  </cols>
  <sheetData>
    <row r="1" spans="2:2" x14ac:dyDescent="0.2">
      <c r="B1" s="1943" t="s">
        <v>2099</v>
      </c>
    </row>
    <row r="6" spans="2:2" x14ac:dyDescent="0.2">
      <c r="B6" s="1943" t="s">
        <v>2100</v>
      </c>
    </row>
    <row r="12" spans="2:2" x14ac:dyDescent="0.2">
      <c r="B12" s="1943" t="s">
        <v>2101</v>
      </c>
    </row>
    <row r="17" spans="1:6" x14ac:dyDescent="0.2">
      <c r="B17" s="1943" t="s">
        <v>2102</v>
      </c>
    </row>
    <row r="25" spans="1:6" x14ac:dyDescent="0.2">
      <c r="B25" s="1071"/>
      <c r="C25" s="1071"/>
      <c r="D25" s="1071"/>
      <c r="E25" s="1071"/>
      <c r="F25" s="1071"/>
    </row>
    <row r="27" spans="1:6" x14ac:dyDescent="0.2">
      <c r="A27" s="1072" t="s">
        <v>1493</v>
      </c>
    </row>
    <row r="29" spans="1:6" x14ac:dyDescent="0.2">
      <c r="A29" s="389" t="s">
        <v>857</v>
      </c>
    </row>
    <row r="30" spans="1:6" s="1071" customFormat="1" ht="45" customHeight="1" x14ac:dyDescent="0.2">
      <c r="A30" s="1073"/>
      <c r="B30" s="1073" t="s">
        <v>1684</v>
      </c>
    </row>
    <row r="31" spans="1:6" ht="6" customHeight="1" x14ac:dyDescent="0.2"/>
    <row r="32" spans="1:6" ht="24.75" customHeight="1" x14ac:dyDescent="0.2">
      <c r="A32" s="2340" t="s">
        <v>1685</v>
      </c>
      <c r="B32" s="2340"/>
    </row>
  </sheetData>
  <sheetProtection selectLockedCells="1"/>
  <mergeCells count="1">
    <mergeCell ref="A32:B32"/>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0</xdr:colOff>
                <xdr:row>11</xdr:row>
                <xdr:rowOff>0</xdr:rowOff>
              </from>
              <to>
                <xdr:col>1</xdr:col>
                <xdr:colOff>914400</xdr:colOff>
                <xdr:row>15</xdr:row>
                <xdr:rowOff>38100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0</xdr:colOff>
                <xdr:row>16</xdr:row>
                <xdr:rowOff>0</xdr:rowOff>
              </from>
              <to>
                <xdr:col>1</xdr:col>
                <xdr:colOff>914400</xdr:colOff>
                <xdr:row>20</xdr:row>
                <xdr:rowOff>38100</xdr:rowOff>
              </to>
            </anchor>
          </objectPr>
        </oleObject>
      </mc:Choice>
      <mc:Fallback>
        <oleObject progId="Acrobat Document"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0.14999847407452621"/>
    <pageSetUpPr fitToPage="1"/>
  </sheetPr>
  <dimension ref="A1:H48"/>
  <sheetViews>
    <sheetView showGridLines="0" showZeros="0" zoomScale="110" zoomScaleNormal="110" workbookViewId="0">
      <selection activeCell="C11" sqref="C1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1690</v>
      </c>
      <c r="B1" s="2342"/>
      <c r="C1" s="2342"/>
      <c r="D1" s="2342"/>
      <c r="E1" s="2342"/>
      <c r="F1" s="2343"/>
    </row>
    <row r="2" spans="1:8" ht="45" customHeight="1" x14ac:dyDescent="0.2">
      <c r="A2" s="2351" t="s">
        <v>1985</v>
      </c>
      <c r="B2" s="2352"/>
      <c r="C2" s="2352"/>
      <c r="D2" s="2352"/>
      <c r="E2" s="2352"/>
      <c r="F2" s="2353"/>
      <c r="G2" s="1074"/>
      <c r="H2" s="1074"/>
    </row>
    <row r="3" spans="1:8" ht="57" customHeight="1" x14ac:dyDescent="0.2">
      <c r="A3" s="2354" t="s">
        <v>1686</v>
      </c>
      <c r="B3" s="2355"/>
      <c r="C3" s="2355"/>
      <c r="D3" s="2355"/>
      <c r="E3" s="2355"/>
      <c r="F3" s="2356"/>
      <c r="G3" s="1074"/>
      <c r="H3" s="1074"/>
    </row>
    <row r="4" spans="1:8" ht="14.25" customHeight="1" x14ac:dyDescent="0.2">
      <c r="A4" s="2360" t="s">
        <v>1986</v>
      </c>
      <c r="B4" s="2361"/>
      <c r="C4" s="2361"/>
      <c r="D4" s="2361"/>
      <c r="E4" s="2361"/>
      <c r="F4" s="2362"/>
      <c r="G4" s="1074"/>
      <c r="H4" s="1074"/>
    </row>
    <row r="5" spans="1:8" ht="14.25" customHeight="1" x14ac:dyDescent="0.2">
      <c r="A5" s="2363" t="s">
        <v>1982</v>
      </c>
      <c r="B5" s="2364"/>
      <c r="C5" s="2364"/>
      <c r="D5" s="2364"/>
      <c r="E5" s="2364"/>
      <c r="F5" s="2365"/>
      <c r="G5" s="1074"/>
      <c r="H5" s="1074"/>
    </row>
    <row r="6" spans="1:8" s="1075" customFormat="1" ht="41.25" customHeight="1" x14ac:dyDescent="0.2">
      <c r="A6" s="2357" t="s">
        <v>1691</v>
      </c>
      <c r="B6" s="2358"/>
      <c r="C6" s="2358"/>
      <c r="D6" s="2358"/>
      <c r="E6" s="2358"/>
      <c r="F6" s="235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3921274</v>
      </c>
      <c r="C8" s="1815">
        <f>'Acct Summary 7-8'!D8</f>
        <v>183345</v>
      </c>
      <c r="D8" s="1815">
        <f>'Acct Summary 7-8'!F8</f>
        <v>586075</v>
      </c>
      <c r="E8" s="1815">
        <f>'Acct Summary 7-8'!I8</f>
        <v>0</v>
      </c>
      <c r="F8" s="1815">
        <f>SUM(B8:E8)</f>
        <v>4690694</v>
      </c>
    </row>
    <row r="9" spans="1:8" s="1079" customFormat="1" ht="14.25" customHeight="1" thickBot="1" x14ac:dyDescent="0.25">
      <c r="A9" s="1078" t="s">
        <v>1369</v>
      </c>
      <c r="B9" s="1816">
        <f>'Acct Summary 7-8'!C17</f>
        <v>3921274</v>
      </c>
      <c r="C9" s="1816">
        <f>'Acct Summary 7-8'!D17</f>
        <v>183345</v>
      </c>
      <c r="D9" s="1816">
        <f>'Acct Summary 7-8'!F17</f>
        <v>586075</v>
      </c>
      <c r="E9" s="1815"/>
      <c r="F9" s="1815">
        <f>SUM(B9:E9)</f>
        <v>4690694</v>
      </c>
    </row>
    <row r="10" spans="1:8" s="1079" customFormat="1" ht="14.25" thickTop="1" thickBot="1" x14ac:dyDescent="0.25">
      <c r="A10" s="1080" t="s">
        <v>1370</v>
      </c>
      <c r="B10" s="1817">
        <f>(B8-B9)</f>
        <v>0</v>
      </c>
      <c r="C10" s="1817">
        <f>(C8-C9)</f>
        <v>0</v>
      </c>
      <c r="D10" s="1817">
        <f>(D8-D9)</f>
        <v>0</v>
      </c>
      <c r="E10" s="1816">
        <f>(E8-E9)</f>
        <v>0</v>
      </c>
      <c r="F10" s="1818">
        <f>SUM(F8-F9)</f>
        <v>0</v>
      </c>
    </row>
    <row r="11" spans="1:8" s="1079" customFormat="1" ht="14.25" thickTop="1" thickBot="1" x14ac:dyDescent="0.25">
      <c r="A11" s="1081" t="s">
        <v>1983</v>
      </c>
      <c r="B11" s="1819">
        <f>'Acct Summary 7-8'!C81</f>
        <v>0</v>
      </c>
      <c r="C11" s="1819">
        <f>'Acct Summary 7-8'!D81</f>
        <v>0</v>
      </c>
      <c r="D11" s="1819">
        <f>'Acct Summary 7-8'!F81</f>
        <v>0</v>
      </c>
      <c r="E11" s="1819">
        <f>'Acct Summary 7-8'!I81</f>
        <v>0</v>
      </c>
      <c r="F11" s="1820">
        <f>SUM(B11:E11)</f>
        <v>0</v>
      </c>
    </row>
    <row r="12" spans="1:8" ht="16.5" customHeight="1" thickTop="1" x14ac:dyDescent="0.2">
      <c r="A12" s="1082"/>
      <c r="B12" s="1083"/>
      <c r="C12" s="2345" t="str">
        <f>IF(AND(F10&lt;0,F11&gt;=0,ABS(F10*3)&gt;ABS(F11)),A16,IF(AND(F10&lt;0,F11&gt;0,ABS(F10*3)&lt;=ABS(F11)),A17,IF(AND(F10&lt;0,F11&lt;0),A16,IF(F11=0,A19,A18))))</f>
        <v>To determine if the AFR is balanced, complete all pages of the AFR first.</v>
      </c>
      <c r="D12" s="2346"/>
      <c r="E12" s="2346"/>
      <c r="F12" s="2347"/>
    </row>
    <row r="13" spans="1:8" ht="19.5" customHeight="1" x14ac:dyDescent="0.2">
      <c r="A13" s="1084"/>
      <c r="B13" s="1085"/>
      <c r="C13" s="2345"/>
      <c r="D13" s="2346"/>
      <c r="E13" s="2346"/>
      <c r="F13" s="2347"/>
      <c r="H13" s="1074"/>
    </row>
    <row r="14" spans="1:8" ht="19.5" customHeight="1" x14ac:dyDescent="0.2">
      <c r="A14" s="1084"/>
      <c r="B14" s="1085"/>
      <c r="C14" s="2345"/>
      <c r="D14" s="2346"/>
      <c r="E14" s="2346"/>
      <c r="F14" s="2347"/>
      <c r="H14" s="1074"/>
    </row>
    <row r="15" spans="1:8" ht="17.25" customHeight="1" x14ac:dyDescent="0.2">
      <c r="A15" s="1084"/>
      <c r="B15" s="1085"/>
      <c r="C15" s="2348"/>
      <c r="D15" s="2349"/>
      <c r="E15" s="2349"/>
      <c r="F15" s="2350"/>
      <c r="H15" s="1074"/>
    </row>
    <row r="16" spans="1:8" s="310" customFormat="1" ht="51.75" hidden="1" customHeight="1" x14ac:dyDescent="0.2">
      <c r="A16" s="2344" t="s">
        <v>1687</v>
      </c>
      <c r="B16" s="2344"/>
      <c r="C16" s="2344"/>
      <c r="D16" s="2344"/>
      <c r="E16" s="234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8" colorId="8" zoomScale="110" zoomScaleNormal="110" workbookViewId="0">
      <selection activeCell="D29" sqref="D2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6" t="s">
        <v>665</v>
      </c>
      <c r="B3" s="2367"/>
      <c r="C3" s="2367"/>
      <c r="D3" s="2368"/>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7" t="s">
        <v>1504</v>
      </c>
      <c r="D7" s="2378"/>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9" t="s">
        <v>1008</v>
      </c>
      <c r="B15" s="2370"/>
      <c r="C15" s="2370"/>
      <c r="D15" s="2371"/>
    </row>
    <row r="16" spans="1:4" s="668" customFormat="1" ht="24" customHeight="1" x14ac:dyDescent="0.2">
      <c r="A16" s="2372" t="s">
        <v>663</v>
      </c>
      <c r="B16" s="2373"/>
      <c r="C16" s="2373"/>
      <c r="D16" s="237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1" t="s">
        <v>314</v>
      </c>
      <c r="D21" s="2382"/>
    </row>
    <row r="22" spans="1:10" ht="12.75" x14ac:dyDescent="0.2">
      <c r="A22" s="1139"/>
      <c r="B22" s="1140">
        <v>2</v>
      </c>
      <c r="C22" s="2379" t="s">
        <v>1524</v>
      </c>
      <c r="D22" s="238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AFR form Incomplete.</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3" t="s">
        <v>536</v>
      </c>
      <c r="D43" s="238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5" t="s">
        <v>784</v>
      </c>
      <c r="D56" s="237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5" t="s">
        <v>1696</v>
      </c>
      <c r="D70" s="237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ENTRY IS REQUIRED!</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5016065061</v>
      </c>
    </row>
    <row r="3" spans="1:2" x14ac:dyDescent="0.2">
      <c r="A3" t="s">
        <v>956</v>
      </c>
      <c r="B3" s="138" t="str">
        <f>COVER!A15</f>
        <v>Cook County</v>
      </c>
    </row>
    <row r="4" spans="1:2" x14ac:dyDescent="0.2">
      <c r="A4" t="s">
        <v>1007</v>
      </c>
      <c r="B4" s="138" t="str">
        <f>COVER!A17</f>
        <v>Evanston Dists 65/202 Jnt Agr</v>
      </c>
    </row>
    <row r="5" spans="1:2" x14ac:dyDescent="0.2">
      <c r="A5" t="s">
        <v>704</v>
      </c>
      <c r="B5" s="138" t="str">
        <f>COVER!A38</f>
        <v>Phil Ehrhardt</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066-003346</v>
      </c>
    </row>
    <row r="16" spans="1:2" x14ac:dyDescent="0.2">
      <c r="A16" t="s">
        <v>422</v>
      </c>
      <c r="B16" s="138" t="str">
        <f>COVER!T13</f>
        <v>RSM US LLP</v>
      </c>
    </row>
    <row r="17" spans="1:2" x14ac:dyDescent="0.2">
      <c r="A17" t="s">
        <v>884</v>
      </c>
      <c r="B17" s="138" t="str">
        <f>COVER!T15</f>
        <v>John George</v>
      </c>
    </row>
    <row r="18" spans="1:2" x14ac:dyDescent="0.2">
      <c r="A18" t="s">
        <v>1150</v>
      </c>
      <c r="B18" s="138" t="str">
        <f>COVER!T17</f>
        <v>One South Wacker, Suite 800</v>
      </c>
    </row>
    <row r="19" spans="1:2" x14ac:dyDescent="0.2">
      <c r="A19" t="s">
        <v>886</v>
      </c>
      <c r="B19" s="138" t="str">
        <f>COVER!T25</f>
        <v>john.george@rsmus.com</v>
      </c>
    </row>
    <row r="20" spans="1:2" x14ac:dyDescent="0.2">
      <c r="A20" t="s">
        <v>887</v>
      </c>
      <c r="B20" s="138" t="str">
        <f>COVER!T19</f>
        <v>Chicago</v>
      </c>
    </row>
    <row r="21" spans="1:2" x14ac:dyDescent="0.2">
      <c r="A21" t="s">
        <v>479</v>
      </c>
      <c r="B21" s="138" t="str">
        <f>COVER!X19</f>
        <v>IL</v>
      </c>
    </row>
    <row r="22" spans="1:2" x14ac:dyDescent="0.2">
      <c r="A22" t="s">
        <v>888</v>
      </c>
      <c r="B22" s="138">
        <f>COVER!Z19</f>
        <v>60606</v>
      </c>
    </row>
    <row r="23" spans="1:2" x14ac:dyDescent="0.2">
      <c r="A23" t="s">
        <v>1152</v>
      </c>
      <c r="B23" s="138" t="str">
        <f>COVER!T21</f>
        <v>312-634-3400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210295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210295</v>
      </c>
      <c r="C91" s="2" t="s">
        <v>573</v>
      </c>
      <c r="D91" s="2" t="str">
        <f t="shared" si="0"/>
        <v>Error?</v>
      </c>
    </row>
    <row r="92" spans="1:4" x14ac:dyDescent="0.2">
      <c r="A92" s="5">
        <v>31</v>
      </c>
      <c r="B92" s="138">
        <f>'Assets-Liab 5-6'!C39</f>
        <v>0</v>
      </c>
      <c r="D92" s="2" t="str">
        <f t="shared" si="0"/>
        <v>Error?</v>
      </c>
    </row>
    <row r="93" spans="1:4" x14ac:dyDescent="0.2">
      <c r="A93" s="5">
        <v>32</v>
      </c>
      <c r="B93" s="138">
        <f>'Assets-Liab 5-6'!C41</f>
        <v>210295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0</v>
      </c>
      <c r="C279" s="2" t="s">
        <v>573</v>
      </c>
      <c r="D279" s="2" t="str">
        <f t="shared" si="3"/>
        <v>Error?</v>
      </c>
    </row>
    <row r="280" spans="1:4" x14ac:dyDescent="0.2">
      <c r="A280" s="5">
        <v>219</v>
      </c>
      <c r="B280" s="138">
        <f>'Assets-Liab 5-6'!M40</f>
        <v>0</v>
      </c>
      <c r="D280" s="2" t="str">
        <f t="shared" si="3"/>
        <v>Error?</v>
      </c>
    </row>
    <row r="281" spans="1:4" x14ac:dyDescent="0.2">
      <c r="A281" s="5">
        <v>220</v>
      </c>
      <c r="B281" s="138">
        <f>'Assets-Liab 5-6'!M41</f>
        <v>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164065</v>
      </c>
      <c r="D717" s="2" t="str">
        <f t="shared" si="10"/>
        <v>Error?</v>
      </c>
    </row>
    <row r="718" spans="1:4" x14ac:dyDescent="0.2">
      <c r="A718" s="5">
        <v>657</v>
      </c>
      <c r="B718" s="138">
        <f>'Expenditures 15-22'!C14</f>
        <v>0</v>
      </c>
      <c r="D718" s="2" t="str">
        <f t="shared" si="10"/>
        <v>Error?</v>
      </c>
    </row>
    <row r="719" spans="1:4" x14ac:dyDescent="0.2">
      <c r="A719" s="5">
        <v>658</v>
      </c>
      <c r="B719" s="138">
        <f>'Expenditures 15-22'!C15</f>
        <v>158868</v>
      </c>
      <c r="D719" s="2" t="str">
        <f t="shared" si="10"/>
        <v>Error?</v>
      </c>
    </row>
    <row r="720" spans="1:4" x14ac:dyDescent="0.2">
      <c r="A720" s="5">
        <v>659</v>
      </c>
      <c r="B720" s="138">
        <f>'Expenditures 15-22'!C33</f>
        <v>2249161</v>
      </c>
      <c r="C720" s="2" t="s">
        <v>573</v>
      </c>
      <c r="D720" s="2" t="str">
        <f t="shared" si="10"/>
        <v>Error?</v>
      </c>
    </row>
    <row r="721" spans="1:4" x14ac:dyDescent="0.2">
      <c r="A721" s="5">
        <v>660</v>
      </c>
      <c r="B721" s="138">
        <f>'Expenditures 15-22'!C36</f>
        <v>59310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121529</v>
      </c>
      <c r="D723" s="2" t="str">
        <f t="shared" si="10"/>
        <v>Error?</v>
      </c>
    </row>
    <row r="724" spans="1:4" x14ac:dyDescent="0.2">
      <c r="A724" s="5">
        <v>663</v>
      </c>
      <c r="B724" s="138">
        <f>'Expenditures 15-22'!C39</f>
        <v>58443</v>
      </c>
      <c r="D724" s="2" t="str">
        <f t="shared" si="10"/>
        <v>Error?</v>
      </c>
    </row>
    <row r="725" spans="1:4" x14ac:dyDescent="0.2">
      <c r="A725" s="5">
        <v>664</v>
      </c>
      <c r="B725" s="138">
        <f>'Expenditures 15-22'!C40</f>
        <v>163486</v>
      </c>
      <c r="D725" s="2" t="str">
        <f t="shared" si="10"/>
        <v>Error?</v>
      </c>
    </row>
    <row r="726" spans="1:4" x14ac:dyDescent="0.2">
      <c r="A726" s="5">
        <v>665</v>
      </c>
      <c r="B726" s="138">
        <f>'Expenditures 15-22'!C41</f>
        <v>227336</v>
      </c>
      <c r="D726" s="2" t="str">
        <f t="shared" si="10"/>
        <v>Error?</v>
      </c>
    </row>
    <row r="727" spans="1:4" x14ac:dyDescent="0.2">
      <c r="A727" s="5">
        <v>666</v>
      </c>
      <c r="B727" s="138">
        <f>'Expenditures 15-22'!C42</f>
        <v>630104</v>
      </c>
      <c r="C727" s="2" t="s">
        <v>573</v>
      </c>
      <c r="D727" s="2" t="str">
        <f t="shared" si="10"/>
        <v>Error?</v>
      </c>
    </row>
    <row r="728" spans="1:4" x14ac:dyDescent="0.2">
      <c r="A728" s="5">
        <v>667</v>
      </c>
      <c r="B728" s="138">
        <f>'Expenditures 15-22'!C44</f>
        <v>6927</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6927</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10509</v>
      </c>
      <c r="D733" s="2" t="str">
        <f t="shared" si="10"/>
        <v>Error?</v>
      </c>
    </row>
    <row r="734" spans="1:4" x14ac:dyDescent="0.2">
      <c r="A734" s="5">
        <v>673</v>
      </c>
      <c r="B734" s="138">
        <f>'Expenditures 15-22'!C53</f>
        <v>56845</v>
      </c>
      <c r="C734" s="2" t="s">
        <v>573</v>
      </c>
      <c r="D734" s="2" t="str">
        <f t="shared" si="10"/>
        <v>Error?</v>
      </c>
    </row>
    <row r="735" spans="1:4" x14ac:dyDescent="0.2">
      <c r="A735" s="5">
        <v>674</v>
      </c>
      <c r="B735" s="138">
        <f>'Expenditures 15-22'!C55</f>
        <v>190028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190028</v>
      </c>
      <c r="C737" s="2" t="s">
        <v>573</v>
      </c>
      <c r="D737" s="2" t="str">
        <f t="shared" si="10"/>
        <v>Error?</v>
      </c>
    </row>
    <row r="738" spans="1:4" x14ac:dyDescent="0.2">
      <c r="A738" s="5">
        <v>677</v>
      </c>
      <c r="B738" s="138">
        <f>'Expenditures 15-22'!C59</f>
        <v>6903</v>
      </c>
      <c r="D738" s="2" t="str">
        <f t="shared" si="10"/>
        <v>Error?</v>
      </c>
    </row>
    <row r="739" spans="1:4" x14ac:dyDescent="0.2">
      <c r="A739" s="5">
        <v>678</v>
      </c>
      <c r="B739" s="138">
        <f>'Expenditures 15-22'!C60</f>
        <v>15136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11485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33524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5491</v>
      </c>
      <c r="D747" s="2" t="str">
        <f t="shared" si="10"/>
        <v>Error?</v>
      </c>
    </row>
    <row r="748" spans="1:4" x14ac:dyDescent="0.2">
      <c r="A748" s="5">
        <v>687</v>
      </c>
      <c r="B748" s="138">
        <f>'Expenditures 15-22'!C69</f>
        <v>0</v>
      </c>
      <c r="D748" s="2" t="str">
        <f t="shared" si="10"/>
        <v>Error?</v>
      </c>
    </row>
    <row r="749" spans="1:4" x14ac:dyDescent="0.2">
      <c r="A749" s="5">
        <v>688</v>
      </c>
      <c r="B749" s="138">
        <f>'Expenditures 15-22'!C70</f>
        <v>8109</v>
      </c>
      <c r="D749" s="2" t="str">
        <f t="shared" si="10"/>
        <v>Error?</v>
      </c>
    </row>
    <row r="750" spans="1:4" x14ac:dyDescent="0.2">
      <c r="A750" s="10">
        <v>689</v>
      </c>
      <c r="D750" s="2" t="str">
        <f t="shared" si="10"/>
        <v>OK</v>
      </c>
    </row>
    <row r="751" spans="1:4" x14ac:dyDescent="0.2">
      <c r="A751" s="5">
        <v>690</v>
      </c>
      <c r="B751" s="138">
        <f>'Expenditures 15-22'!C71</f>
        <v>5067</v>
      </c>
      <c r="D751" s="2" t="str">
        <f t="shared" si="10"/>
        <v>Error?</v>
      </c>
    </row>
    <row r="752" spans="1:4" x14ac:dyDescent="0.2">
      <c r="A752" s="10">
        <v>691</v>
      </c>
      <c r="D752" s="2" t="str">
        <f t="shared" si="10"/>
        <v>OK</v>
      </c>
    </row>
    <row r="753" spans="1:4" x14ac:dyDescent="0.2">
      <c r="A753" s="5">
        <v>692</v>
      </c>
      <c r="B753" s="138">
        <f>'Expenditures 15-22'!C72</f>
        <v>18667</v>
      </c>
      <c r="C753" s="2" t="s">
        <v>573</v>
      </c>
      <c r="D753" s="2" t="str">
        <f t="shared" si="10"/>
        <v>Error?</v>
      </c>
    </row>
    <row r="754" spans="1:4" x14ac:dyDescent="0.2">
      <c r="A754" s="5">
        <v>693</v>
      </c>
      <c r="B754" s="138">
        <f>'Expenditures 15-22'!C73</f>
        <v>1500</v>
      </c>
      <c r="D754" s="2" t="str">
        <f t="shared" si="10"/>
        <v>Error?</v>
      </c>
    </row>
    <row r="755" spans="1:4" x14ac:dyDescent="0.2">
      <c r="A755" s="5">
        <v>694</v>
      </c>
      <c r="B755" s="138">
        <f>'Expenditures 15-22'!C74</f>
        <v>937595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3186756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16174</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267978</v>
      </c>
      <c r="C778" s="2" t="s">
        <v>573</v>
      </c>
      <c r="D778" s="2" t="str">
        <f t="shared" si="11"/>
        <v>Error?</v>
      </c>
    </row>
    <row r="779" spans="1:4" x14ac:dyDescent="0.2">
      <c r="A779" s="5">
        <v>718</v>
      </c>
      <c r="B779" s="138">
        <f>'Expenditures 15-22'!D36</f>
        <v>6508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26910</v>
      </c>
      <c r="D781" s="2" t="str">
        <f t="shared" si="11"/>
        <v>Error?</v>
      </c>
    </row>
    <row r="782" spans="1:4" x14ac:dyDescent="0.2">
      <c r="A782" s="5">
        <v>721</v>
      </c>
      <c r="B782" s="138">
        <f>'Expenditures 15-22'!D39</f>
        <v>1231</v>
      </c>
      <c r="D782" s="2" t="str">
        <f t="shared" si="11"/>
        <v>Error?</v>
      </c>
    </row>
    <row r="783" spans="1:4" x14ac:dyDescent="0.2">
      <c r="A783" s="5">
        <v>722</v>
      </c>
      <c r="B783" s="138">
        <f>'Expenditures 15-22'!D40</f>
        <v>18014</v>
      </c>
      <c r="D783" s="2" t="str">
        <f t="shared" si="11"/>
        <v>Error?</v>
      </c>
    </row>
    <row r="784" spans="1:4" x14ac:dyDescent="0.2">
      <c r="A784" s="5">
        <v>723</v>
      </c>
      <c r="B784" s="138">
        <f>'Expenditures 15-22'!D41</f>
        <v>17662</v>
      </c>
      <c r="D784" s="2" t="str">
        <f t="shared" si="11"/>
        <v>Error?</v>
      </c>
    </row>
    <row r="785" spans="1:4" x14ac:dyDescent="0.2">
      <c r="A785" s="5">
        <v>724</v>
      </c>
      <c r="B785" s="138">
        <f>'Expenditures 15-22'!D42</f>
        <v>70325</v>
      </c>
      <c r="C785" s="2" t="s">
        <v>573</v>
      </c>
      <c r="D785" s="2" t="str">
        <f t="shared" si="11"/>
        <v>Error?</v>
      </c>
    </row>
    <row r="786" spans="1:4" x14ac:dyDescent="0.2">
      <c r="A786" s="5">
        <v>725</v>
      </c>
      <c r="B786" s="138">
        <f>'Expenditures 15-22'!D44</f>
        <v>955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955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955</v>
      </c>
      <c r="D791" s="2" t="str">
        <f t="shared" si="11"/>
        <v>Error?</v>
      </c>
    </row>
    <row r="792" spans="1:4" x14ac:dyDescent="0.2">
      <c r="A792" s="5">
        <v>731</v>
      </c>
      <c r="B792" s="138">
        <f>'Expenditures 15-22'!D53</f>
        <v>1270</v>
      </c>
      <c r="C792" s="2" t="s">
        <v>573</v>
      </c>
      <c r="D792" s="2" t="str">
        <f t="shared" si="11"/>
        <v>Error?</v>
      </c>
    </row>
    <row r="793" spans="1:4" x14ac:dyDescent="0.2">
      <c r="A793" s="5">
        <v>732</v>
      </c>
      <c r="B793" s="138">
        <f>'Expenditures 15-22'!D55</f>
        <v>38030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38030</v>
      </c>
      <c r="C795" s="2" t="s">
        <v>573</v>
      </c>
      <c r="D795" s="2" t="str">
        <f t="shared" si="11"/>
        <v>Error?</v>
      </c>
    </row>
    <row r="796" spans="1:4" x14ac:dyDescent="0.2">
      <c r="A796" s="5">
        <v>735</v>
      </c>
      <c r="B796" s="138">
        <f>'Expenditures 15-22'!D59</f>
        <v>840</v>
      </c>
      <c r="D796" s="2" t="str">
        <f t="shared" si="11"/>
        <v>Error?</v>
      </c>
    </row>
    <row r="797" spans="1:4" x14ac:dyDescent="0.2">
      <c r="A797" s="5">
        <v>736</v>
      </c>
      <c r="B797" s="138">
        <f>'Expenditures 15-22'!D60</f>
        <v>1312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2152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42</v>
      </c>
      <c r="D805" s="2" t="str">
        <f t="shared" si="11"/>
        <v>Error?</v>
      </c>
    </row>
    <row r="806" spans="1:4" x14ac:dyDescent="0.2">
      <c r="A806" s="5">
        <v>745</v>
      </c>
      <c r="B806" s="138">
        <f>'Expenditures 15-22'!D69</f>
        <v>0</v>
      </c>
      <c r="D806" s="2" t="str">
        <f t="shared" si="11"/>
        <v>Error?</v>
      </c>
    </row>
    <row r="807" spans="1:4" x14ac:dyDescent="0.2">
      <c r="A807" s="5">
        <v>746</v>
      </c>
      <c r="B807" s="138">
        <f>'Expenditures 15-22'!D70</f>
        <v>818</v>
      </c>
      <c r="D807" s="2" t="str">
        <f t="shared" si="11"/>
        <v>Error?</v>
      </c>
    </row>
    <row r="808" spans="1:4" x14ac:dyDescent="0.2">
      <c r="A808" s="10">
        <v>747</v>
      </c>
      <c r="D808" s="2" t="str">
        <f t="shared" si="11"/>
        <v>OK</v>
      </c>
    </row>
    <row r="809" spans="1:4" x14ac:dyDescent="0.2">
      <c r="A809" s="5">
        <v>748</v>
      </c>
      <c r="B809" s="138">
        <f>'Expenditures 15-22'!D71</f>
        <v>818</v>
      </c>
      <c r="D809" s="2" t="str">
        <f t="shared" si="11"/>
        <v>Error?</v>
      </c>
    </row>
    <row r="810" spans="1:4" x14ac:dyDescent="0.2">
      <c r="A810" s="10">
        <v>749</v>
      </c>
      <c r="D810" s="2" t="str">
        <f t="shared" si="11"/>
        <v>OK</v>
      </c>
    </row>
    <row r="811" spans="1:4" x14ac:dyDescent="0.2">
      <c r="A811" s="5">
        <v>750</v>
      </c>
      <c r="B811" s="138">
        <f>'Expenditures 15-22'!D72</f>
        <v>1678</v>
      </c>
      <c r="C811" s="2" t="s">
        <v>573</v>
      </c>
      <c r="D811" s="2" t="str">
        <f t="shared" si="11"/>
        <v>Error?</v>
      </c>
    </row>
    <row r="812" spans="1:4" x14ac:dyDescent="0.2">
      <c r="A812" s="5">
        <v>751</v>
      </c>
      <c r="B812" s="138">
        <f>'Expenditures 15-22'!D73</f>
        <v>30974</v>
      </c>
      <c r="D812" s="2" t="str">
        <f t="shared" si="11"/>
        <v>Error?</v>
      </c>
    </row>
    <row r="813" spans="1:4" x14ac:dyDescent="0.2">
      <c r="A813" s="5">
        <v>752</v>
      </c>
      <c r="B813" s="138">
        <f>'Expenditures 15-22'!D74</f>
        <v>145384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413362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151998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46198</v>
      </c>
      <c r="C850" s="2" t="s">
        <v>573</v>
      </c>
      <c r="D850" s="2" t="str">
        <f t="shared" si="12"/>
        <v>Error?</v>
      </c>
    </row>
    <row r="851" spans="1:4" x14ac:dyDescent="0.2">
      <c r="A851" s="5">
        <v>790</v>
      </c>
      <c r="B851" s="138">
        <f>'Expenditures 15-22'!E55</f>
        <v>1787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1787</v>
      </c>
      <c r="C853" s="2" t="s">
        <v>573</v>
      </c>
      <c r="D853" s="2" t="str">
        <f t="shared" si="12"/>
        <v>Error?</v>
      </c>
    </row>
    <row r="854" spans="1:4" x14ac:dyDescent="0.2">
      <c r="A854" s="5">
        <v>793</v>
      </c>
      <c r="B854" s="138">
        <f>'Expenditures 15-22'!E59</f>
        <v>7955</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7955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28095</v>
      </c>
      <c r="D867" s="2" t="str">
        <f t="shared" si="12"/>
        <v>Error?</v>
      </c>
    </row>
    <row r="868" spans="1:4" x14ac:dyDescent="0.2">
      <c r="A868" s="10">
        <v>807</v>
      </c>
      <c r="D868" s="2" t="str">
        <f t="shared" si="12"/>
        <v>OK</v>
      </c>
    </row>
    <row r="869" spans="1:4" x14ac:dyDescent="0.2">
      <c r="A869" s="5">
        <v>808</v>
      </c>
      <c r="B869" s="138">
        <f>'Expenditures 15-22'!E72</f>
        <v>28095</v>
      </c>
      <c r="C869" s="2" t="s">
        <v>573</v>
      </c>
      <c r="D869" s="2" t="str">
        <f t="shared" si="12"/>
        <v>Error?</v>
      </c>
    </row>
    <row r="870" spans="1:4" x14ac:dyDescent="0.2">
      <c r="A870" s="5">
        <v>809</v>
      </c>
      <c r="B870" s="138">
        <f>'Expenditures 15-22'!E73</f>
        <v>148</v>
      </c>
      <c r="D870" s="2" t="str">
        <f t="shared" si="12"/>
        <v>Error?</v>
      </c>
    </row>
    <row r="871" spans="1:4" x14ac:dyDescent="0.2">
      <c r="A871" s="5">
        <v>810</v>
      </c>
      <c r="B871" s="138">
        <f>'Expenditures 15-22'!E74</f>
        <v>84183</v>
      </c>
      <c r="C871" s="2" t="s">
        <v>573</v>
      </c>
      <c r="D871" s="2" t="str">
        <f t="shared" si="12"/>
        <v>Error?</v>
      </c>
    </row>
    <row r="872" spans="1:4" x14ac:dyDescent="0.2">
      <c r="A872" s="5">
        <v>811</v>
      </c>
      <c r="B872" s="138">
        <f>'Expenditures 15-22'!E75</f>
        <v>29135</v>
      </c>
      <c r="D872" s="2" t="str">
        <f t="shared" si="12"/>
        <v>Error?</v>
      </c>
    </row>
    <row r="873" spans="1:4" x14ac:dyDescent="0.2">
      <c r="A873" s="5">
        <v>812</v>
      </c>
      <c r="B873" s="138">
        <f>'Expenditures 15-22'!E114</f>
        <v>265316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1034</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25520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2535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2535</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17433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17433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19968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45488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6481</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6481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3871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10352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187754</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158868</v>
      </c>
      <c r="C1107" s="2" t="s">
        <v>573</v>
      </c>
      <c r="D1107" s="2" t="str">
        <f t="shared" si="16"/>
        <v>Error?</v>
      </c>
    </row>
    <row r="1108" spans="1:4" x14ac:dyDescent="0.2">
      <c r="A1108" s="5">
        <v>1047</v>
      </c>
      <c r="B1108" s="138">
        <f>'Expenditures 15-22'!K33</f>
        <v>2701138</v>
      </c>
      <c r="C1108" s="2" t="s">
        <v>573</v>
      </c>
      <c r="D1108" s="2" t="str">
        <f t="shared" si="16"/>
        <v>Error?</v>
      </c>
    </row>
    <row r="1109" spans="1:4" x14ac:dyDescent="0.2">
      <c r="A1109" s="5">
        <v>1048</v>
      </c>
      <c r="B1109" s="138">
        <f>'Expenditures 15-22'!K36</f>
        <v>65818</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150974</v>
      </c>
      <c r="C1111" s="2" t="s">
        <v>573</v>
      </c>
      <c r="D1111" s="2" t="str">
        <f t="shared" si="16"/>
        <v>Error?</v>
      </c>
    </row>
    <row r="1112" spans="1:4" x14ac:dyDescent="0.2">
      <c r="A1112" s="5">
        <v>1051</v>
      </c>
      <c r="B1112" s="138">
        <f>'Expenditures 15-22'!K39</f>
        <v>59674</v>
      </c>
      <c r="C1112" s="2" t="s">
        <v>573</v>
      </c>
      <c r="D1112" s="2" t="str">
        <f t="shared" si="16"/>
        <v>Error?</v>
      </c>
    </row>
    <row r="1113" spans="1:4" x14ac:dyDescent="0.2">
      <c r="A1113" s="5">
        <v>1052</v>
      </c>
      <c r="B1113" s="138">
        <f>'Expenditures 15-22'!K40</f>
        <v>181500</v>
      </c>
      <c r="C1113" s="2" t="s">
        <v>573</v>
      </c>
      <c r="D1113" s="2" t="str">
        <f t="shared" si="16"/>
        <v>Error?</v>
      </c>
    </row>
    <row r="1114" spans="1:4" x14ac:dyDescent="0.2">
      <c r="A1114" s="5">
        <v>1053</v>
      </c>
      <c r="B1114" s="138">
        <f>'Expenditures 15-22'!K41</f>
        <v>244998</v>
      </c>
      <c r="C1114" s="2" t="s">
        <v>573</v>
      </c>
      <c r="D1114" s="2" t="str">
        <f t="shared" si="16"/>
        <v>Error?</v>
      </c>
    </row>
    <row r="1115" spans="1:4" x14ac:dyDescent="0.2">
      <c r="A1115" s="5">
        <v>1054</v>
      </c>
      <c r="B1115" s="138">
        <f>'Expenditures 15-22'!K42</f>
        <v>702964</v>
      </c>
      <c r="C1115" s="2" t="s">
        <v>573</v>
      </c>
      <c r="D1115" s="2" t="str">
        <f t="shared" si="16"/>
        <v>Error?</v>
      </c>
    </row>
    <row r="1116" spans="1:4" x14ac:dyDescent="0.2">
      <c r="A1116" s="5">
        <v>1055</v>
      </c>
      <c r="B1116" s="138">
        <f>'Expenditures 15-22'!K44</f>
        <v>7882</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7882</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11464</v>
      </c>
      <c r="C1121" s="2" t="s">
        <v>573</v>
      </c>
      <c r="D1121" s="2" t="str">
        <f t="shared" si="16"/>
        <v>Error?</v>
      </c>
    </row>
    <row r="1122" spans="1:4" x14ac:dyDescent="0.2">
      <c r="A1122" s="5">
        <v>1061</v>
      </c>
      <c r="B1122" s="138">
        <f>'Expenditures 15-22'!K53</f>
        <v>104313</v>
      </c>
      <c r="C1122" s="2" t="s">
        <v>573</v>
      </c>
      <c r="D1122" s="2" t="str">
        <f t="shared" si="16"/>
        <v>Error?</v>
      </c>
    </row>
    <row r="1123" spans="1:4" x14ac:dyDescent="0.2">
      <c r="A1123" s="5">
        <v>1062</v>
      </c>
      <c r="B1123" s="138">
        <f>'Expenditures 15-22'!K55</f>
        <v>229845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229845</v>
      </c>
      <c r="C1125" s="2" t="s">
        <v>573</v>
      </c>
      <c r="D1125" s="2" t="str">
        <f t="shared" si="16"/>
        <v>Error?</v>
      </c>
    </row>
    <row r="1126" spans="1:4" x14ac:dyDescent="0.2">
      <c r="A1126" s="5">
        <v>1065</v>
      </c>
      <c r="B1126" s="138">
        <f>'Expenditures 15-22'!K59</f>
        <v>15698</v>
      </c>
      <c r="C1126" s="2" t="s">
        <v>573</v>
      </c>
      <c r="D1126" s="2" t="str">
        <f t="shared" si="16"/>
        <v>Error?</v>
      </c>
    </row>
    <row r="1127" spans="1:4" x14ac:dyDescent="0.2">
      <c r="A1127" s="5">
        <v>1066</v>
      </c>
      <c r="B1127" s="138">
        <f>'Expenditures 15-22'!K60</f>
        <v>16448</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28918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61064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5533</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8927</v>
      </c>
      <c r="C1137" s="2" t="s">
        <v>573</v>
      </c>
      <c r="D1137" s="2" t="str">
        <f t="shared" si="16"/>
        <v>Error?</v>
      </c>
    </row>
    <row r="1138" spans="1:4" x14ac:dyDescent="0.2">
      <c r="A1138" s="10">
        <v>1077</v>
      </c>
      <c r="D1138" s="2" t="str">
        <f t="shared" si="16"/>
        <v>OK</v>
      </c>
    </row>
    <row r="1139" spans="1:4" x14ac:dyDescent="0.2">
      <c r="A1139" s="5">
        <v>1078</v>
      </c>
      <c r="B1139" s="138">
        <f>'Expenditures 15-22'!K71</f>
        <v>33980</v>
      </c>
      <c r="C1139" s="2" t="s">
        <v>573</v>
      </c>
      <c r="D1139" s="2" t="str">
        <f t="shared" si="16"/>
        <v>Error?</v>
      </c>
    </row>
    <row r="1140" spans="1:4" x14ac:dyDescent="0.2">
      <c r="A1140" s="10">
        <v>1079</v>
      </c>
      <c r="D1140" s="2" t="str">
        <f t="shared" si="16"/>
        <v>OK</v>
      </c>
    </row>
    <row r="1141" spans="1:4" x14ac:dyDescent="0.2">
      <c r="A1141" s="5">
        <v>1080</v>
      </c>
      <c r="B1141" s="138">
        <f>'Expenditures 15-22'!K72</f>
        <v>48440</v>
      </c>
      <c r="C1141" s="2" t="s">
        <v>573</v>
      </c>
      <c r="D1141" s="2" t="str">
        <f t="shared" si="16"/>
        <v>Error?</v>
      </c>
    </row>
    <row r="1142" spans="1:4" x14ac:dyDescent="0.2">
      <c r="A1142" s="5">
        <v>1081</v>
      </c>
      <c r="B1142" s="138">
        <f>'Expenditures 15-22'!K73</f>
        <v>32622</v>
      </c>
      <c r="C1142" s="2" t="s">
        <v>573</v>
      </c>
      <c r="D1142" s="2" t="str">
        <f t="shared" si="16"/>
        <v>Error?</v>
      </c>
    </row>
    <row r="1143" spans="1:4" x14ac:dyDescent="0.2">
      <c r="A1143" s="5">
        <v>1082</v>
      </c>
      <c r="B1143" s="138">
        <f>'Expenditures 15-22'!K74</f>
        <v>1187130</v>
      </c>
      <c r="C1143" s="2" t="s">
        <v>573</v>
      </c>
      <c r="D1143" s="2" t="str">
        <f t="shared" si="16"/>
        <v>Error?</v>
      </c>
    </row>
    <row r="1144" spans="1:4" x14ac:dyDescent="0.2">
      <c r="A1144" s="5">
        <v>1083</v>
      </c>
      <c r="B1144" s="138">
        <f>'Expenditures 15-22'!K75</f>
        <v>29135</v>
      </c>
      <c r="C1144" s="2" t="s">
        <v>573</v>
      </c>
      <c r="D1144" s="2" t="str">
        <f t="shared" si="16"/>
        <v>Error?</v>
      </c>
    </row>
    <row r="1145" spans="1:4" x14ac:dyDescent="0.2">
      <c r="A1145" s="5">
        <v>1084</v>
      </c>
      <c r="B1145" s="138">
        <f>'Expenditures 15-22'!K102</f>
        <v>3871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3921274</v>
      </c>
      <c r="C1152" s="2" t="s">
        <v>573</v>
      </c>
      <c r="D1152" s="2" t="str">
        <f t="shared" si="17"/>
        <v>Error?</v>
      </c>
    </row>
    <row r="1153" spans="1:4" x14ac:dyDescent="0.2">
      <c r="A1153" s="5">
        <v>1092</v>
      </c>
      <c r="B1153" s="138">
        <f>'Expenditures 15-22'!K115</f>
        <v>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78779</v>
      </c>
      <c r="D1221" s="2" t="str">
        <f t="shared" si="18"/>
        <v>Error?</v>
      </c>
    </row>
    <row r="1222" spans="1:4" x14ac:dyDescent="0.2">
      <c r="A1222" s="10">
        <v>1161</v>
      </c>
      <c r="D1222" s="2" t="str">
        <f t="shared" si="18"/>
        <v>OK</v>
      </c>
    </row>
    <row r="1223" spans="1:4" x14ac:dyDescent="0.2">
      <c r="A1223" s="5">
        <v>1162</v>
      </c>
      <c r="B1223" s="138">
        <f>'Expenditures 15-22'!C127</f>
        <v>78779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78779</v>
      </c>
      <c r="C1225" s="2" t="s">
        <v>573</v>
      </c>
      <c r="D1225" s="2" t="str">
        <f t="shared" si="18"/>
        <v>Error?</v>
      </c>
    </row>
    <row r="1226" spans="1:4" x14ac:dyDescent="0.2">
      <c r="A1226" s="5">
        <v>1165</v>
      </c>
      <c r="B1226" s="138">
        <f>'Expenditures 15-22'!C151</f>
        <v>78779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6898</v>
      </c>
      <c r="D1229" s="2" t="str">
        <f t="shared" si="18"/>
        <v>Error?</v>
      </c>
    </row>
    <row r="1230" spans="1:4" x14ac:dyDescent="0.2">
      <c r="A1230" s="10">
        <v>1169</v>
      </c>
      <c r="D1230" s="2" t="str">
        <f t="shared" si="18"/>
        <v>OK</v>
      </c>
    </row>
    <row r="1231" spans="1:4" x14ac:dyDescent="0.2">
      <c r="A1231" s="5">
        <v>1170</v>
      </c>
      <c r="B1231" s="138">
        <f>'Expenditures 15-22'!D127</f>
        <v>6898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6898</v>
      </c>
      <c r="C1233" s="2" t="s">
        <v>573</v>
      </c>
      <c r="D1233" s="2" t="str">
        <f t="shared" si="18"/>
        <v>Error?</v>
      </c>
    </row>
    <row r="1234" spans="1:4" x14ac:dyDescent="0.2">
      <c r="A1234" s="5">
        <v>1173</v>
      </c>
      <c r="B1234" s="138">
        <f>'Expenditures 15-22'!D151</f>
        <v>6898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42549</v>
      </c>
      <c r="D1237" s="2" t="str">
        <f t="shared" si="18"/>
        <v>Error?</v>
      </c>
    </row>
    <row r="1238" spans="1:4" x14ac:dyDescent="0.2">
      <c r="A1238" s="10">
        <v>1177</v>
      </c>
      <c r="D1238" s="2" t="str">
        <f t="shared" si="18"/>
        <v>OK</v>
      </c>
    </row>
    <row r="1239" spans="1:4" x14ac:dyDescent="0.2">
      <c r="A1239" s="5">
        <v>1178</v>
      </c>
      <c r="B1239" s="138">
        <f>'Expenditures 15-22'!E127</f>
        <v>42549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42549</v>
      </c>
      <c r="C1241" s="2" t="s">
        <v>573</v>
      </c>
      <c r="D1241" s="2" t="str">
        <f t="shared" si="18"/>
        <v>Error?</v>
      </c>
    </row>
    <row r="1242" spans="1:4" x14ac:dyDescent="0.2">
      <c r="A1242" s="5">
        <v>1181</v>
      </c>
      <c r="B1242" s="138">
        <f>'Expenditures 15-22'!E151</f>
        <v>42549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39119</v>
      </c>
      <c r="D1245" s="2" t="str">
        <f t="shared" si="18"/>
        <v>Error?</v>
      </c>
    </row>
    <row r="1246" spans="1:4" x14ac:dyDescent="0.2">
      <c r="A1246" s="10">
        <v>1185</v>
      </c>
      <c r="D1246" s="2" t="str">
        <f t="shared" si="18"/>
        <v>OK</v>
      </c>
    </row>
    <row r="1247" spans="1:4" x14ac:dyDescent="0.2">
      <c r="A1247" s="5">
        <v>1186</v>
      </c>
      <c r="B1247" s="138">
        <f>'Expenditures 15-22'!F127</f>
        <v>39119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39119</v>
      </c>
      <c r="C1249" s="2" t="s">
        <v>573</v>
      </c>
      <c r="D1249" s="2" t="str">
        <f t="shared" si="18"/>
        <v>Error?</v>
      </c>
    </row>
    <row r="1250" spans="1:4" x14ac:dyDescent="0.2">
      <c r="A1250" s="5">
        <v>1189</v>
      </c>
      <c r="B1250" s="138">
        <f>'Expenditures 15-22'!F151</f>
        <v>39119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16000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16000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16000</v>
      </c>
      <c r="C1258" s="2" t="s">
        <v>573</v>
      </c>
      <c r="D1258" s="2" t="str">
        <f t="shared" si="18"/>
        <v>Error?</v>
      </c>
    </row>
    <row r="1259" spans="1:4" x14ac:dyDescent="0.2">
      <c r="A1259" s="5">
        <v>1198</v>
      </c>
      <c r="B1259" s="138">
        <f>'Expenditures 15-22'!G151</f>
        <v>16000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183345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183345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183345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183345</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140793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140793</v>
      </c>
      <c r="C1339" s="2" t="s">
        <v>573</v>
      </c>
      <c r="D1339" s="2" t="str">
        <f t="shared" si="19"/>
        <v>Error?</v>
      </c>
    </row>
    <row r="1340" spans="1:4" x14ac:dyDescent="0.2">
      <c r="A1340" s="5">
        <v>1279</v>
      </c>
      <c r="B1340" s="138">
        <f>'Expenditures 15-22'!C210</f>
        <v>140793</v>
      </c>
      <c r="C1340" s="2" t="s">
        <v>573</v>
      </c>
      <c r="D1340" s="2" t="str">
        <f t="shared" si="19"/>
        <v>Error?</v>
      </c>
    </row>
    <row r="1341" spans="1:4" x14ac:dyDescent="0.2">
      <c r="A1341" s="5">
        <v>1280</v>
      </c>
      <c r="B1341" s="138">
        <f>'Expenditures 15-22'!D182</f>
        <v>1050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1050</v>
      </c>
      <c r="C1345" s="2" t="s">
        <v>573</v>
      </c>
      <c r="D1345" s="2" t="str">
        <f t="shared" si="20"/>
        <v>Error?</v>
      </c>
    </row>
    <row r="1346" spans="1:4" x14ac:dyDescent="0.2">
      <c r="A1346" s="5">
        <v>1285</v>
      </c>
      <c r="B1346" s="138">
        <f>'Expenditures 15-22'!D210</f>
        <v>1050</v>
      </c>
      <c r="C1346" s="2" t="s">
        <v>573</v>
      </c>
      <c r="D1346" s="2" t="str">
        <f t="shared" si="20"/>
        <v>Error?</v>
      </c>
    </row>
    <row r="1347" spans="1:4" x14ac:dyDescent="0.2">
      <c r="A1347" s="5">
        <v>1286</v>
      </c>
      <c r="B1347" s="138">
        <f>'Expenditures 15-22'!E182</f>
        <v>444232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444232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444232</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586075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586075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586075</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2288</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14579</v>
      </c>
      <c r="D1409" s="2" t="str">
        <f t="shared" si="21"/>
        <v>Error?</v>
      </c>
    </row>
    <row r="1410" spans="1:4" x14ac:dyDescent="0.2">
      <c r="A1410" s="5">
        <v>1349</v>
      </c>
      <c r="B1410" s="138">
        <f>'Expenditures 15-22'!D229</f>
        <v>152367</v>
      </c>
      <c r="C1410" s="2" t="s">
        <v>573</v>
      </c>
      <c r="D1410" s="2" t="str">
        <f t="shared" si="21"/>
        <v>Error?</v>
      </c>
    </row>
    <row r="1411" spans="1:4" x14ac:dyDescent="0.2">
      <c r="A1411" s="5">
        <v>1350</v>
      </c>
      <c r="B1411" s="138">
        <f>'Expenditures 15-22'!D232</f>
        <v>839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9932</v>
      </c>
      <c r="D1413" s="2" t="str">
        <f t="shared" si="21"/>
        <v>Error?</v>
      </c>
    </row>
    <row r="1414" spans="1:4" x14ac:dyDescent="0.2">
      <c r="A1414" s="5">
        <v>1353</v>
      </c>
      <c r="B1414" s="138">
        <f>'Expenditures 15-22'!D235</f>
        <v>844</v>
      </c>
      <c r="D1414" s="2" t="str">
        <f t="shared" si="21"/>
        <v>Error?</v>
      </c>
    </row>
    <row r="1415" spans="1:4" x14ac:dyDescent="0.2">
      <c r="A1415" s="5">
        <v>1354</v>
      </c>
      <c r="B1415" s="138">
        <f>'Expenditures 15-22'!D236</f>
        <v>2303</v>
      </c>
      <c r="D1415" s="2" t="str">
        <f t="shared" si="21"/>
        <v>Error?</v>
      </c>
    </row>
    <row r="1416" spans="1:4" x14ac:dyDescent="0.2">
      <c r="A1416" s="5">
        <v>1355</v>
      </c>
      <c r="B1416" s="138">
        <f>'Expenditures 15-22'!D237</f>
        <v>35030</v>
      </c>
      <c r="D1416" s="2" t="str">
        <f t="shared" si="21"/>
        <v>Error?</v>
      </c>
    </row>
    <row r="1417" spans="1:4" x14ac:dyDescent="0.2">
      <c r="A1417" s="5">
        <v>1356</v>
      </c>
      <c r="B1417" s="138">
        <f>'Expenditures 15-22'!D238</f>
        <v>48948</v>
      </c>
      <c r="C1417" s="2" t="s">
        <v>573</v>
      </c>
      <c r="D1417" s="2" t="str">
        <f t="shared" si="21"/>
        <v>Error?</v>
      </c>
    </row>
    <row r="1418" spans="1:4" x14ac:dyDescent="0.2">
      <c r="A1418" s="5">
        <v>1357</v>
      </c>
      <c r="B1418" s="138">
        <f>'Expenditures 15-22'!D240</f>
        <v>96</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96</v>
      </c>
      <c r="C1421" s="2" t="s">
        <v>573</v>
      </c>
      <c r="D1421" s="2" t="str">
        <f t="shared" si="21"/>
        <v>Error?</v>
      </c>
    </row>
    <row r="1422" spans="1:4" x14ac:dyDescent="0.2">
      <c r="A1422" s="5">
        <v>1361</v>
      </c>
      <c r="B1422" s="138">
        <f>'Expenditures 15-22'!D245</f>
        <v>672</v>
      </c>
      <c r="D1422" s="2" t="str">
        <f t="shared" si="21"/>
        <v>Error?</v>
      </c>
    </row>
    <row r="1423" spans="1:4" x14ac:dyDescent="0.2">
      <c r="A1423" s="5">
        <v>1362</v>
      </c>
      <c r="B1423" s="138">
        <f>'Expenditures 15-22'!D246</f>
        <v>149</v>
      </c>
      <c r="D1423" s="2" t="str">
        <f t="shared" si="21"/>
        <v>Error?</v>
      </c>
    </row>
    <row r="1424" spans="1:4" x14ac:dyDescent="0.2">
      <c r="A1424" s="5">
        <v>1363</v>
      </c>
      <c r="B1424" s="138">
        <f>'Expenditures 15-22'!D257</f>
        <v>821</v>
      </c>
      <c r="C1424" s="2" t="s">
        <v>573</v>
      </c>
      <c r="D1424" s="2" t="str">
        <f t="shared" si="21"/>
        <v>Error?</v>
      </c>
    </row>
    <row r="1425" spans="1:4" x14ac:dyDescent="0.2">
      <c r="A1425" s="5">
        <v>1364</v>
      </c>
      <c r="B1425" s="138">
        <f>'Expenditures 15-22'!D259</f>
        <v>7516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7516</v>
      </c>
      <c r="C1427" s="2" t="s">
        <v>573</v>
      </c>
      <c r="D1427" s="2" t="str">
        <f t="shared" si="21"/>
        <v>Error?</v>
      </c>
    </row>
    <row r="1428" spans="1:4" x14ac:dyDescent="0.2">
      <c r="A1428" s="5">
        <v>1367</v>
      </c>
      <c r="B1428" s="138">
        <f>'Expenditures 15-22'!D263</f>
        <v>97</v>
      </c>
      <c r="D1428" s="2" t="str">
        <f t="shared" si="21"/>
        <v>Error?</v>
      </c>
    </row>
    <row r="1429" spans="1:4" x14ac:dyDescent="0.2">
      <c r="A1429" s="5">
        <v>1368</v>
      </c>
      <c r="B1429" s="138">
        <f>'Expenditures 15-22'!D264</f>
        <v>1504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12476</v>
      </c>
      <c r="D1431" s="2" t="str">
        <f t="shared" si="21"/>
        <v>Error?</v>
      </c>
    </row>
    <row r="1432" spans="1:4" x14ac:dyDescent="0.2">
      <c r="A1432" s="5">
        <v>1371</v>
      </c>
      <c r="B1432" s="138">
        <f>'Expenditures 15-22'!D267</f>
        <v>22462</v>
      </c>
      <c r="D1432" s="2" t="str">
        <f t="shared" si="21"/>
        <v>Error?</v>
      </c>
    </row>
    <row r="1433" spans="1:4" x14ac:dyDescent="0.2">
      <c r="A1433" s="5">
        <v>1372</v>
      </c>
      <c r="B1433" s="138">
        <f>'Expenditures 15-22'!D268</f>
        <v>1809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38348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852</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117</v>
      </c>
      <c r="D1440" s="2" t="str">
        <f t="shared" si="21"/>
        <v>Error?</v>
      </c>
    </row>
    <row r="1441" spans="1:4" x14ac:dyDescent="0.2">
      <c r="A1441" s="10">
        <v>1380</v>
      </c>
      <c r="D1441" s="2" t="str">
        <f t="shared" si="21"/>
        <v>OK</v>
      </c>
    </row>
    <row r="1442" spans="1:4" x14ac:dyDescent="0.2">
      <c r="A1442" s="5">
        <v>1381</v>
      </c>
      <c r="B1442" s="138">
        <f>'Expenditures 15-22'!D276</f>
        <v>806</v>
      </c>
      <c r="D1442" s="2" t="str">
        <f t="shared" si="21"/>
        <v>Error?</v>
      </c>
    </row>
    <row r="1443" spans="1:4" x14ac:dyDescent="0.2">
      <c r="A1443" s="10">
        <v>1382</v>
      </c>
      <c r="D1443" s="2" t="str">
        <f t="shared" si="21"/>
        <v>OK</v>
      </c>
    </row>
    <row r="1444" spans="1:4" x14ac:dyDescent="0.2">
      <c r="A1444" s="5">
        <v>1383</v>
      </c>
      <c r="B1444" s="138">
        <f>'Expenditures 15-22'!D277</f>
        <v>1775</v>
      </c>
      <c r="C1444" s="2" t="s">
        <v>573</v>
      </c>
      <c r="D1444" s="2" t="str">
        <f t="shared" si="21"/>
        <v>Error?</v>
      </c>
    </row>
    <row r="1445" spans="1:4" x14ac:dyDescent="0.2">
      <c r="A1445" s="5">
        <v>1384</v>
      </c>
      <c r="B1445" s="138">
        <f>'Expenditures 15-22'!D278</f>
        <v>30</v>
      </c>
      <c r="D1445" s="2" t="str">
        <f t="shared" si="21"/>
        <v>Error?</v>
      </c>
    </row>
    <row r="1446" spans="1:4" x14ac:dyDescent="0.2">
      <c r="A1446" s="5">
        <v>1385</v>
      </c>
      <c r="B1446" s="138">
        <f>'Expenditures 15-22'!D279</f>
        <v>97534</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249901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2288</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14579</v>
      </c>
      <c r="C1473" s="2" t="s">
        <v>573</v>
      </c>
      <c r="D1473" s="2" t="str">
        <f t="shared" si="22"/>
        <v>Error?</v>
      </c>
    </row>
    <row r="1474" spans="1:4" x14ac:dyDescent="0.2">
      <c r="A1474" s="5">
        <v>1413</v>
      </c>
      <c r="B1474" s="138">
        <f>'Expenditures 15-22'!K229</f>
        <v>152367</v>
      </c>
      <c r="C1474" s="2" t="s">
        <v>573</v>
      </c>
      <c r="D1474" s="2" t="str">
        <f t="shared" si="22"/>
        <v>Error?</v>
      </c>
    </row>
    <row r="1475" spans="1:4" x14ac:dyDescent="0.2">
      <c r="A1475" s="5">
        <v>1414</v>
      </c>
      <c r="B1475" s="138">
        <f>'Expenditures 15-22'!K232</f>
        <v>839</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9932</v>
      </c>
      <c r="C1477" s="2" t="s">
        <v>573</v>
      </c>
      <c r="D1477" s="2" t="str">
        <f t="shared" si="22"/>
        <v>Error?</v>
      </c>
    </row>
    <row r="1478" spans="1:4" x14ac:dyDescent="0.2">
      <c r="A1478" s="5">
        <v>1417</v>
      </c>
      <c r="B1478" s="138">
        <f>'Expenditures 15-22'!K235</f>
        <v>844</v>
      </c>
      <c r="C1478" s="2" t="s">
        <v>573</v>
      </c>
      <c r="D1478" s="2" t="str">
        <f t="shared" si="22"/>
        <v>Error?</v>
      </c>
    </row>
    <row r="1479" spans="1:4" x14ac:dyDescent="0.2">
      <c r="A1479" s="5">
        <v>1418</v>
      </c>
      <c r="B1479" s="138">
        <f>'Expenditures 15-22'!K236</f>
        <v>2303</v>
      </c>
      <c r="C1479" s="2" t="s">
        <v>573</v>
      </c>
      <c r="D1479" s="2" t="str">
        <f t="shared" si="22"/>
        <v>Error?</v>
      </c>
    </row>
    <row r="1480" spans="1:4" x14ac:dyDescent="0.2">
      <c r="A1480" s="5">
        <v>1419</v>
      </c>
      <c r="B1480" s="138">
        <f>'Expenditures 15-22'!K237</f>
        <v>35030</v>
      </c>
      <c r="C1480" s="2" t="s">
        <v>573</v>
      </c>
      <c r="D1480" s="2" t="str">
        <f t="shared" si="22"/>
        <v>Error?</v>
      </c>
    </row>
    <row r="1481" spans="1:4" x14ac:dyDescent="0.2">
      <c r="A1481" s="5">
        <v>1420</v>
      </c>
      <c r="B1481" s="138">
        <f>'Expenditures 15-22'!K238</f>
        <v>48948</v>
      </c>
      <c r="C1481" s="2" t="s">
        <v>573</v>
      </c>
      <c r="D1481" s="2" t="str">
        <f t="shared" si="22"/>
        <v>Error?</v>
      </c>
    </row>
    <row r="1482" spans="1:4" x14ac:dyDescent="0.2">
      <c r="A1482" s="5">
        <v>1421</v>
      </c>
      <c r="B1482" s="138">
        <f>'Expenditures 15-22'!K240</f>
        <v>96</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96</v>
      </c>
      <c r="C1485" s="2" t="s">
        <v>573</v>
      </c>
      <c r="D1485" s="2" t="str">
        <f t="shared" si="22"/>
        <v>Error?</v>
      </c>
    </row>
    <row r="1486" spans="1:4" x14ac:dyDescent="0.2">
      <c r="A1486" s="5">
        <v>1425</v>
      </c>
      <c r="B1486" s="138">
        <f>'Expenditures 15-22'!K245</f>
        <v>672</v>
      </c>
      <c r="C1486" s="2" t="s">
        <v>573</v>
      </c>
      <c r="D1486" s="2" t="str">
        <f t="shared" si="22"/>
        <v>Error?</v>
      </c>
    </row>
    <row r="1487" spans="1:4" x14ac:dyDescent="0.2">
      <c r="A1487" s="5">
        <v>1426</v>
      </c>
      <c r="B1487" s="138">
        <f>'Expenditures 15-22'!K246</f>
        <v>149</v>
      </c>
      <c r="C1487" s="2" t="s">
        <v>573</v>
      </c>
      <c r="D1487" s="2" t="str">
        <f t="shared" si="22"/>
        <v>Error?</v>
      </c>
    </row>
    <row r="1488" spans="1:4" x14ac:dyDescent="0.2">
      <c r="A1488" s="5">
        <v>1427</v>
      </c>
      <c r="B1488" s="138">
        <f>'Expenditures 15-22'!K257</f>
        <v>821</v>
      </c>
      <c r="C1488" s="2" t="s">
        <v>573</v>
      </c>
      <c r="D1488" s="2" t="str">
        <f t="shared" si="22"/>
        <v>Error?</v>
      </c>
    </row>
    <row r="1489" spans="1:4" x14ac:dyDescent="0.2">
      <c r="A1489" s="5">
        <v>1428</v>
      </c>
      <c r="B1489" s="138">
        <f>'Expenditures 15-22'!K259</f>
        <v>7516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7516</v>
      </c>
      <c r="C1491" s="2" t="s">
        <v>573</v>
      </c>
      <c r="D1491" s="2" t="str">
        <f t="shared" si="22"/>
        <v>Error?</v>
      </c>
    </row>
    <row r="1492" spans="1:4" x14ac:dyDescent="0.2">
      <c r="A1492" s="5">
        <v>1431</v>
      </c>
      <c r="B1492" s="138">
        <f>'Expenditures 15-22'!K263</f>
        <v>97</v>
      </c>
      <c r="C1492" s="2" t="s">
        <v>573</v>
      </c>
      <c r="D1492" s="2" t="str">
        <f t="shared" si="22"/>
        <v>Error?</v>
      </c>
    </row>
    <row r="1493" spans="1:4" x14ac:dyDescent="0.2">
      <c r="A1493" s="5">
        <v>1432</v>
      </c>
      <c r="B1493" s="138">
        <f>'Expenditures 15-22'!K264</f>
        <v>1504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12476</v>
      </c>
      <c r="C1495" s="2" t="s">
        <v>573</v>
      </c>
      <c r="D1495" s="2" t="str">
        <f t="shared" si="22"/>
        <v>Error?</v>
      </c>
    </row>
    <row r="1496" spans="1:4" x14ac:dyDescent="0.2">
      <c r="A1496" s="5">
        <v>1435</v>
      </c>
      <c r="B1496" s="138">
        <f>'Expenditures 15-22'!K267</f>
        <v>22462</v>
      </c>
      <c r="C1496" s="2" t="s">
        <v>573</v>
      </c>
      <c r="D1496" s="2" t="str">
        <f t="shared" si="22"/>
        <v>Error?</v>
      </c>
    </row>
    <row r="1497" spans="1:4" x14ac:dyDescent="0.2">
      <c r="A1497" s="5">
        <v>1436</v>
      </c>
      <c r="B1497" s="138">
        <f>'Expenditures 15-22'!K268</f>
        <v>1809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38348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852</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117</v>
      </c>
      <c r="C1504" s="2" t="s">
        <v>573</v>
      </c>
      <c r="D1504" s="2" t="str">
        <f t="shared" si="22"/>
        <v>Error?</v>
      </c>
    </row>
    <row r="1505" spans="1:4" x14ac:dyDescent="0.2">
      <c r="A1505" s="10">
        <v>1444</v>
      </c>
      <c r="D1505" s="2" t="str">
        <f t="shared" si="22"/>
        <v>OK</v>
      </c>
    </row>
    <row r="1506" spans="1:4" x14ac:dyDescent="0.2">
      <c r="A1506" s="5">
        <v>1445</v>
      </c>
      <c r="B1506" s="138">
        <f>'Expenditures 15-22'!K276</f>
        <v>806</v>
      </c>
      <c r="C1506" s="2" t="s">
        <v>573</v>
      </c>
      <c r="D1506" s="2" t="str">
        <f t="shared" si="22"/>
        <v>Error?</v>
      </c>
    </row>
    <row r="1507" spans="1:4" x14ac:dyDescent="0.2">
      <c r="A1507" s="10">
        <v>1446</v>
      </c>
      <c r="D1507" s="2" t="str">
        <f t="shared" si="22"/>
        <v>OK</v>
      </c>
    </row>
    <row r="1508" spans="1:4" x14ac:dyDescent="0.2">
      <c r="A1508" s="5">
        <v>1447</v>
      </c>
      <c r="B1508" s="138">
        <f>'Expenditures 15-22'!K277</f>
        <v>1775</v>
      </c>
      <c r="C1508" s="2" t="s">
        <v>573</v>
      </c>
      <c r="D1508" s="2" t="str">
        <f t="shared" si="22"/>
        <v>Error?</v>
      </c>
    </row>
    <row r="1509" spans="1:4" x14ac:dyDescent="0.2">
      <c r="A1509" s="5">
        <v>1448</v>
      </c>
      <c r="B1509" s="138">
        <f>'Expenditures 15-22'!K278</f>
        <v>30</v>
      </c>
      <c r="C1509" s="2" t="s">
        <v>573</v>
      </c>
      <c r="D1509" s="2" t="str">
        <f t="shared" si="22"/>
        <v>Error?</v>
      </c>
    </row>
    <row r="1510" spans="1:4" x14ac:dyDescent="0.2">
      <c r="A1510" s="5">
        <v>1449</v>
      </c>
      <c r="B1510" s="138">
        <f>'Expenditures 15-22'!K279</f>
        <v>97534</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249901</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0</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0</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0</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0</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3871</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3512407</v>
      </c>
      <c r="C2551" s="2" t="s">
        <v>573</v>
      </c>
      <c r="D2551" s="2" t="str">
        <f t="shared" si="38"/>
        <v>Error?</v>
      </c>
    </row>
    <row r="2552" spans="1:4" x14ac:dyDescent="0.2">
      <c r="A2552" s="10">
        <v>2491</v>
      </c>
      <c r="D2552" s="2" t="str">
        <f t="shared" si="38"/>
        <v>OK</v>
      </c>
    </row>
    <row r="2553" spans="1:4" x14ac:dyDescent="0.2">
      <c r="A2553" s="5">
        <v>2492</v>
      </c>
      <c r="B2553" s="138">
        <f>'Acct Summary 7-8'!C6</f>
        <v>372247</v>
      </c>
      <c r="C2553" s="2" t="s">
        <v>573</v>
      </c>
      <c r="D2553" s="2" t="str">
        <f t="shared" si="38"/>
        <v>Error?</v>
      </c>
    </row>
    <row r="2554" spans="1:4" x14ac:dyDescent="0.2">
      <c r="A2554" s="5">
        <v>2493</v>
      </c>
      <c r="B2554" s="138">
        <f>'Acct Summary 7-8'!C7</f>
        <v>36620</v>
      </c>
      <c r="C2554" s="2" t="s">
        <v>573</v>
      </c>
      <c r="D2554" s="2" t="str">
        <f t="shared" si="38"/>
        <v>Error?</v>
      </c>
    </row>
    <row r="2555" spans="1:4" x14ac:dyDescent="0.2">
      <c r="A2555" s="5">
        <v>2494</v>
      </c>
      <c r="B2555" s="138">
        <f>'Acct Summary 7-8'!C8</f>
        <v>3921274</v>
      </c>
      <c r="C2555" s="2" t="s">
        <v>573</v>
      </c>
      <c r="D2555" s="2" t="str">
        <f t="shared" si="38"/>
        <v>Error?</v>
      </c>
    </row>
    <row r="2556" spans="1:4" x14ac:dyDescent="0.2">
      <c r="A2556" s="5">
        <v>2495</v>
      </c>
      <c r="B2556" s="138">
        <f>'Acct Summary 7-8'!C12</f>
        <v>2701138</v>
      </c>
      <c r="C2556" s="2" t="s">
        <v>573</v>
      </c>
      <c r="D2556" s="2" t="str">
        <f t="shared" si="38"/>
        <v>Error?</v>
      </c>
    </row>
    <row r="2557" spans="1:4" x14ac:dyDescent="0.2">
      <c r="A2557" s="5">
        <v>2496</v>
      </c>
      <c r="B2557" s="138">
        <f>'Acct Summary 7-8'!C13</f>
        <v>1187130</v>
      </c>
      <c r="C2557" s="2" t="s">
        <v>573</v>
      </c>
      <c r="D2557" s="2" t="str">
        <f t="shared" si="38"/>
        <v>Error?</v>
      </c>
    </row>
    <row r="2558" spans="1:4" x14ac:dyDescent="0.2">
      <c r="A2558" s="5">
        <v>2497</v>
      </c>
      <c r="B2558" s="138">
        <f>'Acct Summary 7-8'!C14</f>
        <v>29135</v>
      </c>
      <c r="C2558" s="2" t="s">
        <v>573</v>
      </c>
      <c r="D2558" s="2" t="str">
        <f t="shared" si="38"/>
        <v>Error?</v>
      </c>
    </row>
    <row r="2559" spans="1:4" x14ac:dyDescent="0.2">
      <c r="A2559" s="5">
        <v>2498</v>
      </c>
      <c r="B2559" s="138">
        <f>'Acct Summary 7-8'!C15</f>
        <v>3871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3921274</v>
      </c>
      <c r="C2561" s="2" t="s">
        <v>573</v>
      </c>
      <c r="D2561" s="2" t="str">
        <f t="shared" si="39"/>
        <v>Error?</v>
      </c>
    </row>
    <row r="2562" spans="1:4" x14ac:dyDescent="0.2">
      <c r="A2562" s="5">
        <v>2501</v>
      </c>
      <c r="B2562" s="138">
        <f>'Acct Summary 7-8'!C20</f>
        <v>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178320</v>
      </c>
      <c r="C2564" s="2" t="s">
        <v>573</v>
      </c>
      <c r="D2564" s="2" t="str">
        <f t="shared" si="39"/>
        <v>Error?</v>
      </c>
    </row>
    <row r="2565" spans="1:4" x14ac:dyDescent="0.2">
      <c r="A2565" s="10">
        <v>2504</v>
      </c>
      <c r="D2565" s="2" t="str">
        <f t="shared" si="39"/>
        <v>OK</v>
      </c>
    </row>
    <row r="2566" spans="1:4" x14ac:dyDescent="0.2">
      <c r="A2566" s="5">
        <v>2505</v>
      </c>
      <c r="B2566" s="138">
        <f>'Acct Summary 7-8'!D6</f>
        <v>5025</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183345</v>
      </c>
      <c r="C2568" s="2" t="s">
        <v>573</v>
      </c>
      <c r="D2568" s="2" t="str">
        <f t="shared" si="39"/>
        <v>Error?</v>
      </c>
    </row>
    <row r="2569" spans="1:4" x14ac:dyDescent="0.2">
      <c r="A2569" s="5">
        <v>2508</v>
      </c>
      <c r="B2569" s="138">
        <f>'Acct Summary 7-8'!D13</f>
        <v>183345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183345</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211593</v>
      </c>
      <c r="C2591" s="2" t="s">
        <v>573</v>
      </c>
      <c r="D2591" s="2" t="str">
        <f t="shared" si="39"/>
        <v>Error?</v>
      </c>
    </row>
    <row r="2592" spans="1:4" x14ac:dyDescent="0.2">
      <c r="A2592" s="10">
        <v>2531</v>
      </c>
      <c r="D2592" s="2" t="str">
        <f t="shared" si="39"/>
        <v>OK</v>
      </c>
    </row>
    <row r="2593" spans="1:4" x14ac:dyDescent="0.2">
      <c r="A2593" s="5">
        <v>2532</v>
      </c>
      <c r="B2593" s="138">
        <f>'Acct Summary 7-8'!F6</f>
        <v>374482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586075</v>
      </c>
      <c r="C2595" s="2" t="s">
        <v>573</v>
      </c>
      <c r="D2595" s="2" t="str">
        <f t="shared" si="39"/>
        <v>Error?</v>
      </c>
    </row>
    <row r="2596" spans="1:4" x14ac:dyDescent="0.2">
      <c r="A2596" s="5">
        <v>2535</v>
      </c>
      <c r="B2596" s="138">
        <f>'Acct Summary 7-8'!F13</f>
        <v>586075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586075</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249901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249901</v>
      </c>
      <c r="C2606" s="2" t="s">
        <v>573</v>
      </c>
      <c r="D2606" s="2" t="str">
        <f t="shared" si="39"/>
        <v>Error?</v>
      </c>
    </row>
    <row r="2607" spans="1:4" x14ac:dyDescent="0.2">
      <c r="A2607" s="5">
        <v>2546</v>
      </c>
      <c r="B2607" s="138">
        <f>'Acct Summary 7-8'!G12</f>
        <v>152367</v>
      </c>
      <c r="C2607" s="2" t="s">
        <v>573</v>
      </c>
      <c r="D2607" s="2" t="str">
        <f t="shared" si="39"/>
        <v>Error?</v>
      </c>
    </row>
    <row r="2608" spans="1:4" x14ac:dyDescent="0.2">
      <c r="A2608" s="5">
        <v>2547</v>
      </c>
      <c r="B2608" s="138">
        <f>'Acct Summary 7-8'!G13</f>
        <v>97534</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249901</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46336</v>
      </c>
      <c r="D2718" s="2" t="str">
        <f t="shared" si="41"/>
        <v>Error?</v>
      </c>
    </row>
    <row r="2719" spans="1:4" x14ac:dyDescent="0.2">
      <c r="A2719" s="5">
        <v>2658</v>
      </c>
      <c r="B2719" s="138">
        <f>'Expenditures 15-22'!D51</f>
        <v>315</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46651</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1926228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251804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151998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24486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2354516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135500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135500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3921274</v>
      </c>
      <c r="C4122" s="2" t="s">
        <v>573</v>
      </c>
      <c r="D4122" s="2" t="str">
        <f t="shared" si="63"/>
        <v>Error?</v>
      </c>
    </row>
    <row r="4123" spans="1:4" x14ac:dyDescent="0.2">
      <c r="A4123" s="5">
        <v>4062</v>
      </c>
      <c r="B4123" s="138">
        <f>'Acct Summary 7-8'!D10</f>
        <v>183345</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586075</v>
      </c>
      <c r="C4125" s="2" t="s">
        <v>573</v>
      </c>
      <c r="D4125" s="2" t="str">
        <f t="shared" si="63"/>
        <v>Error?</v>
      </c>
    </row>
    <row r="4126" spans="1:4" x14ac:dyDescent="0.2">
      <c r="A4126" s="5">
        <v>4065</v>
      </c>
      <c r="B4126" s="138">
        <f>'Acct Summary 7-8'!G10</f>
        <v>249901</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3921274</v>
      </c>
      <c r="C4136" s="2" t="s">
        <v>573</v>
      </c>
      <c r="D4136" s="2" t="str">
        <f t="shared" si="63"/>
        <v>Error?</v>
      </c>
    </row>
    <row r="4137" spans="1:4" x14ac:dyDescent="0.2">
      <c r="A4137" s="5">
        <v>4076</v>
      </c>
      <c r="B4137" s="138">
        <f>'Acct Summary 7-8'!D19</f>
        <v>183345</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586075</v>
      </c>
      <c r="C4139" s="2" t="s">
        <v>573</v>
      </c>
      <c r="D4139" s="2" t="str">
        <f t="shared" si="63"/>
        <v>Error?</v>
      </c>
    </row>
    <row r="4140" spans="1:4" x14ac:dyDescent="0.2">
      <c r="A4140" s="5">
        <v>4079</v>
      </c>
      <c r="B4140" s="138">
        <f>'Acct Summary 7-8'!G19</f>
        <v>249901</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26672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1347657</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9948</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170514</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1266312</v>
      </c>
      <c r="D5082" s="2" t="str">
        <f t="shared" si="78"/>
        <v>Error?</v>
      </c>
    </row>
    <row r="5083" spans="1:4" x14ac:dyDescent="0.2">
      <c r="A5083" s="5">
        <v>5022</v>
      </c>
      <c r="B5083" s="138">
        <f>'Revenues 9-14'!C34</f>
        <v>898438</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2164750</v>
      </c>
      <c r="C5087" s="2" t="s">
        <v>573</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1347657</v>
      </c>
      <c r="C5120" s="2" t="s">
        <v>573</v>
      </c>
      <c r="D5120" s="2" t="str">
        <f t="shared" si="79"/>
        <v>Error?</v>
      </c>
    </row>
    <row r="5121" spans="1:4" x14ac:dyDescent="0.2">
      <c r="A5121" s="5">
        <v>5060</v>
      </c>
      <c r="B5121" s="138">
        <f>'Revenues 9-14'!C109</f>
        <v>3512407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372247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372247</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372247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36620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36620</v>
      </c>
      <c r="C5326" s="2" t="s">
        <v>573</v>
      </c>
      <c r="D5326" s="2" t="str">
        <f t="shared" si="82"/>
        <v>Error?</v>
      </c>
    </row>
    <row r="5327" spans="1:5" x14ac:dyDescent="0.2">
      <c r="A5327" s="5">
        <v>5266</v>
      </c>
      <c r="B5327" s="138">
        <f>'Revenues 9-14'!C268</f>
        <v>3921274</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178320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178320</v>
      </c>
      <c r="C5355" s="2" t="s">
        <v>573</v>
      </c>
      <c r="D5355" s="2" t="str">
        <f t="shared" si="82"/>
        <v>Error?</v>
      </c>
    </row>
    <row r="5356" spans="1:4" x14ac:dyDescent="0.2">
      <c r="A5356" s="5">
        <v>5295</v>
      </c>
      <c r="B5356" s="138">
        <f>'Revenues 9-14'!D109</f>
        <v>178320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5025</v>
      </c>
      <c r="D5368" s="2" t="str">
        <f t="shared" si="82"/>
        <v>Error?</v>
      </c>
    </row>
    <row r="5369" spans="1:4" x14ac:dyDescent="0.2">
      <c r="A5369" s="5">
        <v>5308</v>
      </c>
      <c r="B5369" s="138">
        <f>'Revenues 9-14'!D132</f>
        <v>5025</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5025</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5025</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183345</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41079</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41079</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170514</v>
      </c>
      <c r="C5587" s="2" t="s">
        <v>573</v>
      </c>
      <c r="D5587" s="2" t="str">
        <f t="shared" si="86"/>
        <v>Error?</v>
      </c>
    </row>
    <row r="5588" spans="1:4" x14ac:dyDescent="0.2">
      <c r="A5588" s="5">
        <v>5527</v>
      </c>
      <c r="B5588" s="138">
        <f>'Revenues 9-14'!F109</f>
        <v>211593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374482</v>
      </c>
      <c r="D5617" s="2" t="str">
        <f t="shared" si="86"/>
        <v>Error?</v>
      </c>
    </row>
    <row r="5618" spans="1:5" x14ac:dyDescent="0.2">
      <c r="A5618" s="5">
        <v>5557</v>
      </c>
      <c r="B5618" s="138">
        <f>'Revenues 9-14'!F155</f>
        <v>374482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374482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374482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586075</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249901</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249901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249901</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210295</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210295</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0</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t="e">
        <f>'Acct Summary 7-8'!C83</f>
        <v>#DIV/0!</v>
      </c>
      <c r="D6276" s="2" t="e">
        <f t="shared" si="97"/>
        <v>#DIV/0!</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249901</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46198</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46198</v>
      </c>
      <c r="D6940" s="2" t="str">
        <f t="shared" si="107"/>
        <v>Error?</v>
      </c>
    </row>
    <row r="6941" spans="1:4" x14ac:dyDescent="0.2">
      <c r="A6941">
        <v>6880</v>
      </c>
      <c r="B6941" s="138">
        <f>'Expenditures 15-22'!L52</f>
        <v>45253</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3871</v>
      </c>
      <c r="D6983" s="2" t="str">
        <f t="shared" si="108"/>
        <v>Error?</v>
      </c>
    </row>
    <row r="6984" spans="1:4" x14ac:dyDescent="0.2">
      <c r="A6984">
        <v>6923</v>
      </c>
      <c r="B6984" s="138">
        <f>'Expenditures 15-22'!K86</f>
        <v>3871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3871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84518</v>
      </c>
      <c r="D7797" s="2" t="str">
        <f t="shared" si="127"/>
        <v>Error?</v>
      </c>
      <c r="E7797" s="4" t="s">
        <v>1903</v>
      </c>
    </row>
    <row r="7798" spans="1:5" x14ac:dyDescent="0.2">
      <c r="A7798">
        <v>7737</v>
      </c>
      <c r="B7798" s="138">
        <f>'Contracts Paid in CY 29'!F142</f>
        <v>25000</v>
      </c>
      <c r="D7798" s="2" t="str">
        <f t="shared" si="127"/>
        <v>Error?</v>
      </c>
      <c r="E7798" s="4" t="s">
        <v>1903</v>
      </c>
    </row>
    <row r="7799" spans="1:5" x14ac:dyDescent="0.2">
      <c r="A7799">
        <v>7738</v>
      </c>
      <c r="B7799" s="138">
        <f>'Contracts Paid in CY 29'!G142</f>
        <v>59518</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AC59"/>
  <sheetViews>
    <sheetView showGridLines="0" showZeros="0" zoomScale="110" zoomScaleNormal="110" workbookViewId="0">
      <selection activeCell="F27" sqref="F27:G27"/>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8" t="s">
        <v>1191</v>
      </c>
      <c r="B2" s="2408"/>
      <c r="C2" s="2408"/>
      <c r="D2" s="2408"/>
      <c r="E2" s="2408"/>
      <c r="F2" s="2408"/>
      <c r="G2" s="2408"/>
      <c r="H2" s="2408"/>
      <c r="I2" s="2408"/>
      <c r="J2" s="2408"/>
      <c r="K2" s="2408"/>
      <c r="L2" s="2408"/>
    </row>
    <row r="3" spans="1:29" ht="13.5" customHeight="1" x14ac:dyDescent="0.2">
      <c r="A3" s="2394" t="s">
        <v>1190</v>
      </c>
      <c r="B3" s="2394"/>
      <c r="C3" s="2394"/>
      <c r="D3" s="2394"/>
      <c r="E3" s="2394"/>
      <c r="F3" s="2394"/>
      <c r="G3" s="2394"/>
      <c r="H3" s="2394"/>
      <c r="I3" s="2394"/>
      <c r="J3" s="2394"/>
      <c r="K3" s="2394"/>
      <c r="L3" s="2394"/>
    </row>
    <row r="4" spans="1:29" ht="13.5" customHeight="1" x14ac:dyDescent="0.2">
      <c r="A4" s="2408" t="s">
        <v>1987</v>
      </c>
      <c r="B4" s="2425"/>
      <c r="C4" s="2425"/>
      <c r="D4" s="2425"/>
      <c r="E4" s="2425"/>
      <c r="F4" s="2425"/>
      <c r="G4" s="2425"/>
      <c r="H4" s="2425"/>
      <c r="I4" s="2425"/>
      <c r="J4" s="2425"/>
      <c r="K4" s="2425"/>
      <c r="L4" s="242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8" t="str">
        <f>COVER!A17</f>
        <v>Evanston Dists 65/202 Jnt Agr</v>
      </c>
      <c r="B7" s="2389"/>
      <c r="C7" s="2389"/>
      <c r="D7" s="2426"/>
      <c r="E7" s="2427">
        <f>COVER!A13</f>
        <v>5016065061</v>
      </c>
      <c r="F7" s="2428"/>
      <c r="G7" s="2395" t="str">
        <f>COVER!T23</f>
        <v>066-003346</v>
      </c>
      <c r="H7" s="2396"/>
      <c r="I7" s="2396"/>
      <c r="J7" s="2396"/>
      <c r="K7" s="2396"/>
      <c r="L7" s="2397"/>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8"/>
      <c r="B9" s="2399"/>
      <c r="C9" s="2399"/>
      <c r="D9" s="2399"/>
      <c r="E9" s="2399"/>
      <c r="F9" s="2400"/>
      <c r="G9" s="2401" t="str">
        <f>COVER!T13</f>
        <v>RSM US LLP</v>
      </c>
      <c r="H9" s="2402"/>
      <c r="I9" s="2402"/>
      <c r="J9" s="2402"/>
      <c r="K9" s="2402"/>
      <c r="L9" s="2403"/>
    </row>
    <row r="10" spans="1:29" ht="13.5" customHeight="1" x14ac:dyDescent="0.2">
      <c r="A10" s="2385" t="str">
        <f>COVER!A38</f>
        <v>Phil Ehrhardt</v>
      </c>
      <c r="B10" s="2386"/>
      <c r="C10" s="2386"/>
      <c r="D10" s="2386"/>
      <c r="E10" s="2386"/>
      <c r="F10" s="2387"/>
      <c r="G10" s="2401" t="str">
        <f>COVER!T17</f>
        <v>One South Wacker, Suite 800</v>
      </c>
      <c r="H10" s="2414"/>
      <c r="I10" s="2414"/>
      <c r="J10" s="2414"/>
      <c r="K10" s="2414"/>
      <c r="L10" s="2415"/>
    </row>
    <row r="11" spans="1:29" ht="13.5" customHeight="1" x14ac:dyDescent="0.2">
      <c r="A11" s="1184" t="s">
        <v>1519</v>
      </c>
      <c r="B11" s="1185"/>
      <c r="C11" s="1186"/>
      <c r="D11" s="1191"/>
      <c r="E11" s="1186"/>
      <c r="F11" s="1190"/>
      <c r="G11" s="2401" t="str">
        <f>COVER!T19</f>
        <v>Chicago</v>
      </c>
      <c r="H11" s="2414"/>
      <c r="I11" s="2414"/>
      <c r="J11" s="2414"/>
      <c r="K11" s="2414"/>
      <c r="L11" s="2415"/>
    </row>
    <row r="12" spans="1:29" ht="13.5" customHeight="1" x14ac:dyDescent="0.2">
      <c r="A12" s="2419" t="s">
        <v>1518</v>
      </c>
      <c r="B12" s="2420"/>
      <c r="C12" s="2420"/>
      <c r="D12" s="2420"/>
      <c r="E12" s="2420"/>
      <c r="F12" s="2421"/>
      <c r="G12" s="2416"/>
      <c r="H12" s="2417"/>
      <c r="I12" s="2417"/>
      <c r="J12" s="2417"/>
      <c r="K12" s="2417"/>
      <c r="L12" s="2418"/>
    </row>
    <row r="13" spans="1:29" ht="13.5" customHeight="1" x14ac:dyDescent="0.2">
      <c r="A13" s="2401"/>
      <c r="B13" s="2414"/>
      <c r="C13" s="2414"/>
      <c r="D13" s="2414"/>
      <c r="E13" s="2414"/>
      <c r="F13" s="2415"/>
      <c r="G13" s="2409" t="s">
        <v>1520</v>
      </c>
      <c r="H13" s="2410"/>
      <c r="I13" s="2422" t="str">
        <f>COVER!T25</f>
        <v>john.george@rsmus.com</v>
      </c>
      <c r="J13" s="2423"/>
      <c r="K13" s="2423"/>
      <c r="L13" s="2424"/>
    </row>
    <row r="14" spans="1:29" ht="13.5" customHeight="1" x14ac:dyDescent="0.2">
      <c r="A14" s="2401" t="str">
        <f>COVER!A19</f>
        <v>1500 McDaniel Avenue</v>
      </c>
      <c r="B14" s="2414"/>
      <c r="C14" s="2414"/>
      <c r="D14" s="2414"/>
      <c r="E14" s="2414"/>
      <c r="F14" s="2415"/>
      <c r="G14" s="1195" t="s">
        <v>1185</v>
      </c>
      <c r="H14" s="1193"/>
      <c r="I14" s="1193"/>
      <c r="J14" s="1193"/>
      <c r="K14" s="1193"/>
      <c r="L14" s="1194"/>
    </row>
    <row r="15" spans="1:29" ht="13.5" customHeight="1" x14ac:dyDescent="0.2">
      <c r="A15" s="2401" t="str">
        <f>COVER!A21</f>
        <v>Evanston</v>
      </c>
      <c r="B15" s="2414"/>
      <c r="C15" s="2414"/>
      <c r="D15" s="2414"/>
      <c r="E15" s="2414"/>
      <c r="F15" s="2415"/>
      <c r="G15" s="2411" t="str">
        <f>COVER!T15</f>
        <v>John George</v>
      </c>
      <c r="H15" s="2412"/>
      <c r="I15" s="2412"/>
      <c r="J15" s="2412"/>
      <c r="K15" s="2412"/>
      <c r="L15" s="2413"/>
    </row>
    <row r="16" spans="1:29" ht="12.2" customHeight="1" x14ac:dyDescent="0.2">
      <c r="A16" s="2391">
        <f>COVER!A25</f>
        <v>60201</v>
      </c>
      <c r="B16" s="2392"/>
      <c r="C16" s="2392"/>
      <c r="D16" s="2392"/>
      <c r="E16" s="2392"/>
      <c r="F16" s="2393"/>
      <c r="G16" s="2404"/>
      <c r="H16" s="2405"/>
      <c r="I16" s="2405"/>
      <c r="J16" s="2405"/>
      <c r="K16" s="2405"/>
      <c r="L16" s="2406"/>
    </row>
    <row r="17" spans="1:13" ht="12.2" customHeight="1" x14ac:dyDescent="0.2">
      <c r="A17" s="2407"/>
      <c r="B17" s="2392"/>
      <c r="C17" s="2392"/>
      <c r="D17" s="2392"/>
      <c r="E17" s="2392"/>
      <c r="F17" s="2393"/>
      <c r="G17" s="1195" t="s">
        <v>1184</v>
      </c>
      <c r="H17" s="1193"/>
      <c r="I17" s="1193"/>
      <c r="J17" s="1193"/>
      <c r="K17" s="1197" t="s">
        <v>1183</v>
      </c>
      <c r="L17" s="1190"/>
      <c r="M17" s="1183"/>
    </row>
    <row r="18" spans="1:13" ht="12.2" customHeight="1" x14ac:dyDescent="0.2">
      <c r="A18" s="2385"/>
      <c r="B18" s="2386"/>
      <c r="C18" s="2386"/>
      <c r="D18" s="2386"/>
      <c r="E18" s="2386"/>
      <c r="F18" s="2387"/>
      <c r="G18" s="2388" t="str">
        <f>COVER!T21</f>
        <v>312-634-3400</v>
      </c>
      <c r="H18" s="2389"/>
      <c r="I18" s="2389"/>
      <c r="J18" s="2389"/>
      <c r="K18" s="2388" t="str">
        <f>COVER!X21</f>
        <v>312-634-5518</v>
      </c>
      <c r="L18" s="239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K127"/>
  <sheetViews>
    <sheetView showGridLines="0" zoomScale="125" zoomScaleNormal="125" workbookViewId="0">
      <selection activeCell="F27" sqref="F27:G27"/>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9" t="str">
        <f>'Single Audit Cover'!A7</f>
        <v>Evanston Dists 65/202 Jnt Agr</v>
      </c>
      <c r="B1" s="2425"/>
      <c r="C1" s="2425"/>
      <c r="D1" s="2425"/>
    </row>
    <row r="2" spans="1:11" s="1212" customFormat="1" ht="12.75" x14ac:dyDescent="0.2">
      <c r="A2" s="2430">
        <f>'Single Audit Cover'!E7</f>
        <v>5016065061</v>
      </c>
      <c r="B2" s="2431"/>
      <c r="C2" s="2431"/>
      <c r="D2" s="2431"/>
    </row>
    <row r="3" spans="1:11" s="1212" customFormat="1" ht="12.75" x14ac:dyDescent="0.2">
      <c r="A3" s="2429" t="s">
        <v>1513</v>
      </c>
      <c r="B3" s="2425"/>
      <c r="C3" s="2425"/>
      <c r="D3" s="242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E49"/>
  <sheetViews>
    <sheetView showGridLines="0" zoomScale="110" zoomScaleNormal="110" zoomScaleSheetLayoutView="100" workbookViewId="0">
      <selection activeCell="F27" sqref="F27:G2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3" t="str">
        <f>'Single Audit Cover'!A7</f>
        <v>Evanston Dists 65/202 Jnt Agr</v>
      </c>
      <c r="B1" s="2433"/>
      <c r="C1" s="2433"/>
      <c r="D1" s="2433"/>
      <c r="E1" s="2433"/>
    </row>
    <row r="2" spans="1:5" x14ac:dyDescent="0.2">
      <c r="A2" s="2434">
        <f>'Single Audit Cover'!E7</f>
        <v>5016065061</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7" t="s">
        <v>1243</v>
      </c>
    </row>
    <row r="10" spans="1:5" x14ac:dyDescent="0.2">
      <c r="A10" s="1258" t="s">
        <v>1242</v>
      </c>
      <c r="B10" s="1259" t="s">
        <v>1241</v>
      </c>
      <c r="C10" s="1259"/>
      <c r="D10" s="1260">
        <f>SUM('Acct Summary 7-8'!C7:K7)</f>
        <v>36620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-26672</v>
      </c>
    </row>
    <row r="19" spans="1:4" ht="13.5" thickBot="1" x14ac:dyDescent="0.25">
      <c r="A19" s="1262" t="s">
        <v>1235</v>
      </c>
      <c r="D19" s="1263">
        <f>SUM(D10:D17)</f>
        <v>9948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5"/>
      <c r="B24" s="2435"/>
      <c r="D24" s="1265"/>
    </row>
    <row r="25" spans="1:4" x14ac:dyDescent="0.2">
      <c r="A25" s="2432" t="s">
        <v>2081</v>
      </c>
      <c r="B25" s="2432"/>
      <c r="D25" s="1265"/>
    </row>
    <row r="26" spans="1:4" x14ac:dyDescent="0.2">
      <c r="A26" s="2432"/>
      <c r="B26" s="2432"/>
      <c r="D26" s="1265"/>
    </row>
    <row r="27" spans="1:4" x14ac:dyDescent="0.2">
      <c r="A27" s="2432"/>
      <c r="B27" s="2432"/>
      <c r="D27" s="1265"/>
    </row>
    <row r="28" spans="1:4" x14ac:dyDescent="0.2">
      <c r="A28" s="2432"/>
      <c r="B28" s="2432"/>
      <c r="D28" s="1265"/>
    </row>
    <row r="29" spans="1:4" x14ac:dyDescent="0.2">
      <c r="A29" s="2432"/>
      <c r="B29" s="2432"/>
      <c r="D29" s="1265"/>
    </row>
    <row r="30" spans="1:4" x14ac:dyDescent="0.2">
      <c r="A30" s="2432"/>
      <c r="B30" s="2432"/>
      <c r="D30" s="1265"/>
    </row>
    <row r="32" spans="1:4" x14ac:dyDescent="0.2">
      <c r="A32" s="1257" t="s">
        <v>1233</v>
      </c>
      <c r="D32" s="1260">
        <f>SUM(D19:D30)</f>
        <v>9948</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2"/>
      <c r="B40" s="2432"/>
      <c r="D40" s="1265"/>
    </row>
    <row r="41" spans="1:4" x14ac:dyDescent="0.2">
      <c r="A41" s="2432"/>
      <c r="B41" s="2432"/>
      <c r="D41" s="1268"/>
    </row>
    <row r="42" spans="1:4" x14ac:dyDescent="0.2">
      <c r="A42" s="2432"/>
      <c r="B42" s="2432"/>
      <c r="D42" s="1268"/>
    </row>
    <row r="43" spans="1:4" x14ac:dyDescent="0.2">
      <c r="A43" s="2432"/>
      <c r="B43" s="2432"/>
      <c r="D43" s="1268"/>
    </row>
    <row r="44" spans="1:4" x14ac:dyDescent="0.2">
      <c r="A44" s="2432"/>
      <c r="B44" s="2432"/>
      <c r="D44" s="1268"/>
    </row>
    <row r="45" spans="1:4" x14ac:dyDescent="0.2">
      <c r="A45" s="2432"/>
      <c r="B45" s="2432"/>
      <c r="D45" s="1268"/>
    </row>
    <row r="47" spans="1:4" x14ac:dyDescent="0.2">
      <c r="B47" s="1269" t="s">
        <v>1227</v>
      </c>
      <c r="C47" s="1269"/>
      <c r="D47" s="1270">
        <f>SUM(D35:D45)</f>
        <v>0</v>
      </c>
    </row>
    <row r="49" spans="2:4" x14ac:dyDescent="0.2">
      <c r="B49" s="1269" t="s">
        <v>1226</v>
      </c>
      <c r="C49" s="1269"/>
      <c r="D49" s="1270">
        <f>D32-D47</f>
        <v>9948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N152"/>
  <sheetViews>
    <sheetView showGridLines="0" zoomScaleNormal="100" workbookViewId="0">
      <selection activeCell="O29" sqref="O2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4" t="str">
        <f>'Single Audit Cover'!A7</f>
        <v>Evanston Dists 65/202 Jnt Agr</v>
      </c>
      <c r="C1" s="2437"/>
      <c r="D1" s="2437"/>
      <c r="E1" s="2437"/>
      <c r="F1" s="2437"/>
      <c r="G1" s="2437"/>
      <c r="H1" s="2437"/>
      <c r="I1" s="2437"/>
      <c r="J1" s="2437"/>
      <c r="K1" s="2437"/>
      <c r="L1" s="2437"/>
      <c r="M1" s="2437"/>
    </row>
    <row r="2" spans="2:14" ht="15" x14ac:dyDescent="0.2">
      <c r="B2" s="2438">
        <f>'Single Audit Cover'!E7</f>
        <v>5016065061</v>
      </c>
      <c r="C2" s="2438"/>
      <c r="D2" s="2438"/>
      <c r="E2" s="2438"/>
      <c r="F2" s="2438"/>
      <c r="G2" s="2438"/>
      <c r="H2" s="2438"/>
      <c r="I2" s="2438"/>
      <c r="J2" s="2438"/>
      <c r="K2" s="2438"/>
      <c r="L2" s="2438"/>
      <c r="M2" s="2438"/>
      <c r="N2" s="1299"/>
    </row>
    <row r="3" spans="2:14" ht="15" x14ac:dyDescent="0.2">
      <c r="B3" s="2439" t="s">
        <v>1219</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t="s">
        <v>2081</v>
      </c>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G52"/>
  <sheetViews>
    <sheetView showGridLines="0" topLeftCell="A10" zoomScale="120" zoomScaleNormal="120" workbookViewId="0">
      <selection activeCell="O14" sqref="O1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Evanston Dists 65/202 Jnt Agr</v>
      </c>
      <c r="B1" s="2442"/>
      <c r="C1" s="2442"/>
      <c r="D1" s="2442"/>
      <c r="E1" s="2442"/>
      <c r="F1" s="2442"/>
    </row>
    <row r="2" spans="1:7" ht="13.5" customHeight="1" x14ac:dyDescent="0.2">
      <c r="A2" s="2438">
        <f>'Single Audit Cover'!E7</f>
        <v>5016065061</v>
      </c>
      <c r="B2" s="2438"/>
      <c r="C2" s="2438"/>
      <c r="D2" s="2438"/>
      <c r="E2" s="2438"/>
      <c r="F2" s="2438"/>
      <c r="G2" s="1272"/>
    </row>
    <row r="3" spans="1:7" ht="15.75" customHeight="1" x14ac:dyDescent="0.2">
      <c r="A3" s="2443" t="s">
        <v>1271</v>
      </c>
      <c r="B3" s="2443"/>
      <c r="C3" s="2443"/>
      <c r="D3" s="2443"/>
      <c r="E3" s="2443"/>
      <c r="F3" s="2443"/>
    </row>
    <row r="4" spans="1:7" ht="13.5" customHeight="1" x14ac:dyDescent="0.2">
      <c r="A4" s="2444" t="str">
        <f>'Single Audit Cover'!A4</f>
        <v>Year Ending June 30, 2019</v>
      </c>
      <c r="B4" s="2444"/>
      <c r="C4" s="2444"/>
      <c r="D4" s="2444"/>
      <c r="E4" s="2444"/>
      <c r="F4" s="2444"/>
    </row>
    <row r="5" spans="1:7" ht="8.25" customHeight="1" x14ac:dyDescent="0.2">
      <c r="C5" s="317"/>
      <c r="D5" s="317"/>
    </row>
    <row r="6" spans="1:7" ht="13.5" customHeight="1" x14ac:dyDescent="0.2">
      <c r="A6" s="1273" t="s">
        <v>1728</v>
      </c>
      <c r="C6" s="317"/>
      <c r="D6" s="317"/>
    </row>
    <row r="7" spans="1:7" ht="60.95" customHeight="1" x14ac:dyDescent="0.2">
      <c r="A7" s="2441" t="s">
        <v>1729</v>
      </c>
      <c r="B7" s="2441"/>
      <c r="C7" s="2441"/>
      <c r="D7" s="2441"/>
      <c r="E7" s="2441"/>
      <c r="F7" s="2441"/>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t="s">
        <v>2081</v>
      </c>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1" t="s">
        <v>1731</v>
      </c>
      <c r="B13" s="2441"/>
      <c r="C13" s="2441"/>
      <c r="D13" s="2441"/>
      <c r="E13" s="2441"/>
      <c r="F13" s="2441"/>
    </row>
    <row r="14" spans="1:7" ht="9.75" customHeight="1" x14ac:dyDescent="0.2">
      <c r="C14" s="1257"/>
      <c r="D14" s="1257"/>
    </row>
    <row r="15" spans="1:7" ht="13.5" customHeight="1" x14ac:dyDescent="0.2">
      <c r="C15" s="1846" t="s">
        <v>1270</v>
      </c>
      <c r="D15" s="2446" t="s">
        <v>1269</v>
      </c>
      <c r="E15" s="2446"/>
      <c r="F15" s="2446"/>
    </row>
    <row r="16" spans="1:7" ht="13.5" customHeight="1" x14ac:dyDescent="0.2">
      <c r="A16" s="1279"/>
      <c r="B16" s="1273" t="s">
        <v>1268</v>
      </c>
      <c r="C16" s="1846" t="s">
        <v>1267</v>
      </c>
      <c r="D16" s="2447" t="s">
        <v>1588</v>
      </c>
      <c r="E16" s="2447"/>
      <c r="F16" s="2447"/>
    </row>
    <row r="17" spans="1:6" ht="20.45" customHeight="1" x14ac:dyDescent="0.2">
      <c r="A17" s="1280"/>
      <c r="B17" s="1281"/>
      <c r="C17" s="1282"/>
      <c r="D17" s="2445"/>
      <c r="E17" s="2445"/>
      <c r="F17" s="2445"/>
    </row>
    <row r="18" spans="1:6" ht="20.65" customHeight="1" x14ac:dyDescent="0.2">
      <c r="A18" s="1280"/>
      <c r="B18" s="1281"/>
      <c r="C18" s="1282"/>
      <c r="D18" s="2445"/>
      <c r="E18" s="2445"/>
      <c r="F18" s="2445"/>
    </row>
    <row r="19" spans="1:6" ht="20.65" customHeight="1" x14ac:dyDescent="0.2">
      <c r="A19" s="1280"/>
      <c r="B19" s="1281"/>
      <c r="C19" s="1282"/>
      <c r="D19" s="2445"/>
      <c r="E19" s="2445"/>
      <c r="F19" s="2445"/>
    </row>
    <row r="20" spans="1:6" ht="20.65" customHeight="1" x14ac:dyDescent="0.2">
      <c r="A20" s="1280"/>
      <c r="B20" s="1281"/>
      <c r="C20" s="1282"/>
      <c r="D20" s="2445"/>
      <c r="E20" s="2445"/>
      <c r="F20" s="2445"/>
    </row>
    <row r="21" spans="1:6" ht="20.65" customHeight="1" x14ac:dyDescent="0.2">
      <c r="A21" s="1280"/>
      <c r="B21" s="1281"/>
      <c r="C21" s="1282"/>
      <c r="D21" s="2445"/>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9" t="s">
        <v>1732</v>
      </c>
      <c r="B32" s="2449"/>
      <c r="C32" s="2449"/>
      <c r="D32" s="2449"/>
      <c r="E32" s="2449"/>
      <c r="F32" s="2449"/>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0">
        <f>+C33+C34</f>
        <v>0</v>
      </c>
      <c r="F34" s="245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2" t="s">
        <v>1590</v>
      </c>
      <c r="C49" s="2452"/>
      <c r="D49" s="2452"/>
      <c r="E49" s="1396"/>
    </row>
    <row r="50" spans="1:5" s="1297" customFormat="1" ht="3.75" customHeight="1" x14ac:dyDescent="0.2">
      <c r="A50" s="1296"/>
      <c r="B50" s="1845"/>
      <c r="C50" s="1845"/>
      <c r="D50" s="1845"/>
      <c r="E50" s="1396"/>
    </row>
    <row r="51" spans="1:5" s="1297" customFormat="1" ht="20.25" customHeight="1" x14ac:dyDescent="0.2">
      <c r="A51" s="1298">
        <v>6</v>
      </c>
      <c r="B51" s="2448" t="s">
        <v>1551</v>
      </c>
      <c r="C51" s="2448"/>
      <c r="D51" s="2448"/>
    </row>
    <row r="52" spans="1:5" ht="14.25" customHeight="1" x14ac:dyDescent="0.2">
      <c r="A52" s="1298"/>
      <c r="B52" s="2448"/>
      <c r="C52" s="2448"/>
      <c r="D52" s="244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14999847407452621"/>
  </sheetPr>
  <dimension ref="A1:K143"/>
  <sheetViews>
    <sheetView showGridLines="0" defaultGridColor="0" topLeftCell="A26" colorId="8" zoomScale="110" zoomScaleNormal="110" workbookViewId="0">
      <selection activeCell="D76" sqref="D7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1168</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1" t="s">
        <v>1633</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313</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1323</v>
      </c>
      <c r="B70" s="2074"/>
      <c r="C70" s="2074"/>
      <c r="D70" s="2074"/>
      <c r="E70" s="2075"/>
      <c r="F70" s="2075"/>
      <c r="G70" s="2075"/>
      <c r="H70" s="2075"/>
      <c r="I70" s="207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1320</v>
      </c>
      <c r="B83" s="2076"/>
      <c r="C83" s="2076"/>
      <c r="D83" s="207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2070</v>
      </c>
      <c r="D114" s="206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1330</v>
      </c>
      <c r="D117" s="2069"/>
      <c r="E117" s="2070"/>
      <c r="F117" s="2070"/>
      <c r="G117" s="2070"/>
      <c r="H117" s="2070"/>
      <c r="I117" s="304"/>
    </row>
    <row r="118" spans="1:9" s="181" customFormat="1" ht="24" customHeight="1" x14ac:dyDescent="0.2">
      <c r="A118" s="316"/>
      <c r="B118" s="316"/>
      <c r="C118" s="316"/>
      <c r="D118" s="323" t="s">
        <v>2079</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J63"/>
  <sheetViews>
    <sheetView showGridLines="0" zoomScale="110" zoomScaleNormal="110" workbookViewId="0">
      <selection activeCell="O14" sqref="O14"/>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Evanston Dists 65/202 Jnt Agr</v>
      </c>
      <c r="C1" s="2458"/>
      <c r="D1" s="2458"/>
      <c r="E1" s="2458"/>
      <c r="F1" s="2458"/>
      <c r="G1" s="2458"/>
      <c r="H1" s="2458"/>
      <c r="I1" s="2458"/>
      <c r="J1" s="1406"/>
    </row>
    <row r="2" spans="2:10" s="317" customFormat="1" ht="12.75" customHeight="1" x14ac:dyDescent="0.2">
      <c r="B2" s="2459">
        <f>'Single Audit Cover'!E7</f>
        <v>5016065061</v>
      </c>
      <c r="C2" s="2460"/>
      <c r="D2" s="2460"/>
      <c r="E2" s="2460"/>
      <c r="F2" s="2460"/>
      <c r="G2" s="2460"/>
      <c r="H2" s="2460"/>
      <c r="I2" s="2460"/>
      <c r="J2" s="1406"/>
    </row>
    <row r="3" spans="2:10" s="317" customFormat="1" ht="12.75" customHeight="1" x14ac:dyDescent="0.2">
      <c r="B3" s="2461" t="s">
        <v>1285</v>
      </c>
      <c r="C3" s="2462"/>
      <c r="D3" s="2462"/>
      <c r="E3" s="2462"/>
      <c r="F3" s="2462"/>
      <c r="G3" s="2462"/>
      <c r="H3" s="2462"/>
      <c r="I3" s="2462"/>
      <c r="J3" s="1407"/>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1" t="s">
        <v>1284</v>
      </c>
      <c r="C7" s="2462"/>
      <c r="D7" s="2462"/>
      <c r="E7" s="2462"/>
      <c r="F7" s="2462"/>
      <c r="G7" s="2462"/>
      <c r="H7" s="2462"/>
      <c r="I7" s="246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3" t="s">
        <v>2081</v>
      </c>
      <c r="D11" s="246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4"/>
      <c r="E29" s="2464"/>
      <c r="F29" s="2464"/>
      <c r="G29" s="2464"/>
      <c r="H29" s="2464"/>
      <c r="I29" s="2464"/>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5" t="s">
        <v>1751</v>
      </c>
      <c r="D37" s="2466"/>
      <c r="E37" s="2466"/>
      <c r="F37" s="2467"/>
      <c r="G37" s="2465" t="s">
        <v>1592</v>
      </c>
      <c r="H37" s="2466"/>
      <c r="I37" s="2467"/>
    </row>
    <row r="38" spans="2:9" ht="16.5" customHeight="1" x14ac:dyDescent="0.2">
      <c r="B38" s="1428"/>
      <c r="C38" s="2453"/>
      <c r="D38" s="2454"/>
      <c r="E38" s="2454"/>
      <c r="F38" s="2455"/>
      <c r="G38" s="2468"/>
      <c r="H38" s="2469"/>
      <c r="I38" s="2470"/>
    </row>
    <row r="39" spans="2:9" ht="16.5" customHeight="1" x14ac:dyDescent="0.2">
      <c r="B39" s="1428"/>
      <c r="C39" s="2453"/>
      <c r="D39" s="2454"/>
      <c r="E39" s="2454"/>
      <c r="F39" s="2455"/>
      <c r="G39" s="2456"/>
      <c r="H39" s="2456"/>
      <c r="I39" s="2456"/>
    </row>
    <row r="40" spans="2:9" ht="16.5" customHeight="1" x14ac:dyDescent="0.2">
      <c r="B40" s="1428"/>
      <c r="C40" s="2453"/>
      <c r="D40" s="2454"/>
      <c r="E40" s="2454"/>
      <c r="F40" s="2455"/>
      <c r="G40" s="2456"/>
      <c r="H40" s="2456"/>
      <c r="I40" s="2456"/>
    </row>
    <row r="41" spans="2:9" ht="16.5" customHeight="1" x14ac:dyDescent="0.2">
      <c r="B41" s="1428"/>
      <c r="C41" s="2453"/>
      <c r="D41" s="2454"/>
      <c r="E41" s="2454"/>
      <c r="F41" s="2455"/>
      <c r="G41" s="2456"/>
      <c r="H41" s="2456"/>
      <c r="I41" s="2456"/>
    </row>
    <row r="42" spans="2:9" ht="16.5" customHeight="1" x14ac:dyDescent="0.2">
      <c r="B42" s="1428"/>
      <c r="C42" s="2453"/>
      <c r="D42" s="2454"/>
      <c r="E42" s="2454"/>
      <c r="F42" s="2455"/>
      <c r="G42" s="2456"/>
      <c r="H42" s="2456"/>
      <c r="I42" s="2456"/>
    </row>
    <row r="43" spans="2:9" ht="16.5" customHeight="1" x14ac:dyDescent="0.2">
      <c r="B43" s="1428"/>
      <c r="C43" s="2471" t="s">
        <v>1593</v>
      </c>
      <c r="D43" s="2472"/>
      <c r="E43" s="2472"/>
      <c r="F43" s="2473"/>
      <c r="G43" s="2474">
        <f>SUM(G38:I42)</f>
        <v>0</v>
      </c>
      <c r="H43" s="2474"/>
      <c r="I43" s="2474"/>
    </row>
    <row r="44" spans="2:9" ht="12.75" customHeight="1" x14ac:dyDescent="0.2"/>
    <row r="45" spans="2:9" ht="12.75" customHeight="1" x14ac:dyDescent="0.2">
      <c r="B45" s="1419" t="s">
        <v>2062</v>
      </c>
      <c r="D45" s="2475">
        <v>0</v>
      </c>
      <c r="E45" s="2476"/>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7"/>
      <c r="F49" s="2477"/>
      <c r="G49" s="2477"/>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41"/>
  <sheetViews>
    <sheetView showGridLines="0" zoomScale="110" zoomScaleNormal="110" workbookViewId="0">
      <selection activeCell="O14" sqref="O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Evanston Dists 65/202 Jnt Agr</v>
      </c>
      <c r="C1" s="2457"/>
      <c r="D1" s="2457"/>
      <c r="E1" s="2457"/>
      <c r="F1" s="2457"/>
      <c r="G1" s="2457"/>
      <c r="H1" s="2457"/>
      <c r="I1" s="2457"/>
      <c r="J1" s="2457"/>
      <c r="K1" s="2457"/>
      <c r="L1" s="1371"/>
      <c r="M1" s="1371"/>
    </row>
    <row r="2" spans="1:13" ht="12" customHeight="1" x14ac:dyDescent="0.2">
      <c r="B2" s="2459">
        <f>'Single Audit Cover'!E7</f>
        <v>5016065061</v>
      </c>
      <c r="C2" s="2459"/>
      <c r="D2" s="2459"/>
      <c r="E2" s="2459"/>
      <c r="F2" s="2459"/>
      <c r="G2" s="2459"/>
      <c r="H2" s="2459"/>
      <c r="I2" s="2459"/>
      <c r="J2" s="2459"/>
      <c r="K2" s="2459"/>
      <c r="L2" s="1372"/>
      <c r="M2" s="1373"/>
    </row>
    <row r="3" spans="1:13" ht="10.35" customHeight="1" x14ac:dyDescent="0.2">
      <c r="B3" s="2480" t="s">
        <v>1285</v>
      </c>
      <c r="C3" s="2480"/>
      <c r="D3" s="2480"/>
      <c r="E3" s="2480"/>
      <c r="F3" s="2480"/>
      <c r="G3" s="2480"/>
      <c r="H3" s="2480"/>
      <c r="I3" s="2480"/>
      <c r="J3" s="2480"/>
      <c r="K3" s="2480"/>
      <c r="L3" s="1374"/>
      <c r="M3" s="1374"/>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1" t="s">
        <v>1296</v>
      </c>
      <c r="C7" s="2481"/>
      <c r="D7" s="2482"/>
      <c r="E7" s="2482"/>
      <c r="F7" s="2482"/>
      <c r="G7" s="2482"/>
      <c r="H7" s="2482"/>
      <c r="I7" s="2482"/>
      <c r="J7" s="2482"/>
      <c r="K7" s="248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9" t="s">
        <v>2082</v>
      </c>
      <c r="C14" s="2479"/>
      <c r="D14" s="2479"/>
      <c r="E14" s="2479"/>
      <c r="F14" s="2479"/>
      <c r="G14" s="2479"/>
      <c r="H14" s="2479"/>
      <c r="I14" s="2479"/>
      <c r="J14" s="2479"/>
      <c r="K14" s="247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9"/>
      <c r="C17" s="2479"/>
      <c r="D17" s="2479"/>
      <c r="E17" s="2479"/>
      <c r="F17" s="2479"/>
      <c r="G17" s="2479"/>
      <c r="H17" s="2479"/>
      <c r="I17" s="2479"/>
      <c r="J17" s="2479"/>
      <c r="K17" s="2479"/>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3"/>
      <c r="C20" s="2483"/>
      <c r="D20" s="2479"/>
      <c r="E20" s="2479"/>
      <c r="F20" s="2479"/>
      <c r="G20" s="2479"/>
      <c r="H20" s="2479"/>
      <c r="I20" s="2479"/>
      <c r="J20" s="2479"/>
      <c r="K20" s="2479"/>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9"/>
      <c r="C23" s="2479"/>
      <c r="D23" s="2479"/>
      <c r="E23" s="2479"/>
      <c r="F23" s="2479"/>
      <c r="G23" s="2479"/>
      <c r="H23" s="2479"/>
      <c r="I23" s="2479"/>
      <c r="J23" s="2479"/>
      <c r="K23" s="2479"/>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9"/>
      <c r="C26" s="2479"/>
      <c r="D26" s="2479"/>
      <c r="E26" s="2479"/>
      <c r="F26" s="2479"/>
      <c r="G26" s="2479"/>
      <c r="H26" s="2479"/>
      <c r="I26" s="2479"/>
      <c r="J26" s="2479"/>
      <c r="K26" s="2479"/>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8"/>
      <c r="C29" s="2478"/>
      <c r="D29" s="2479"/>
      <c r="E29" s="2479"/>
      <c r="F29" s="2479"/>
      <c r="G29" s="2479"/>
      <c r="H29" s="2479"/>
      <c r="I29" s="2479"/>
      <c r="J29" s="2479"/>
      <c r="K29" s="247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8"/>
      <c r="C32" s="2478"/>
      <c r="D32" s="2479"/>
      <c r="E32" s="2479"/>
      <c r="F32" s="2479"/>
      <c r="G32" s="2479"/>
      <c r="H32" s="2479"/>
      <c r="I32" s="2479"/>
      <c r="J32" s="2479"/>
      <c r="K32" s="247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L48"/>
  <sheetViews>
    <sheetView showGridLines="0" zoomScale="110" zoomScaleNormal="110" workbookViewId="0">
      <selection activeCell="O14" sqref="O1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Evanston Dists 65/202 Jnt Agr</v>
      </c>
      <c r="C1" s="2484"/>
      <c r="D1" s="2484"/>
      <c r="E1" s="2484"/>
      <c r="F1" s="2484"/>
      <c r="G1" s="2484"/>
      <c r="H1" s="2484"/>
      <c r="I1" s="2484"/>
      <c r="J1" s="2484"/>
      <c r="K1" s="2484"/>
      <c r="L1" s="1449"/>
    </row>
    <row r="2" spans="1:12" ht="12.75" customHeight="1" x14ac:dyDescent="0.2">
      <c r="B2" s="2485">
        <f>'Single Audit Cover'!E7</f>
        <v>5016065061</v>
      </c>
      <c r="C2" s="2485"/>
      <c r="D2" s="2485"/>
      <c r="E2" s="2485"/>
      <c r="F2" s="2485"/>
      <c r="G2" s="2485"/>
      <c r="H2" s="2485"/>
      <c r="I2" s="2485"/>
      <c r="J2" s="2485"/>
      <c r="K2" s="2485"/>
      <c r="L2" s="1450"/>
    </row>
    <row r="3" spans="1:12" ht="12.75" customHeight="1" x14ac:dyDescent="0.2">
      <c r="B3" s="2480" t="s">
        <v>1285</v>
      </c>
      <c r="C3" s="2480"/>
      <c r="D3" s="2480"/>
      <c r="E3" s="2480"/>
      <c r="F3" s="2480"/>
      <c r="G3" s="2480"/>
      <c r="H3" s="2480"/>
      <c r="I3" s="2480"/>
      <c r="J3" s="2480"/>
      <c r="K3" s="2480"/>
      <c r="L3" s="1374"/>
    </row>
    <row r="4" spans="1:12" ht="12.75" customHeight="1" x14ac:dyDescent="0.2">
      <c r="B4" s="2480" t="str">
        <f>'Single Audit Cover'!A4</f>
        <v>Year Ending June 30, 2019</v>
      </c>
      <c r="C4" s="2480"/>
      <c r="D4" s="2480"/>
      <c r="E4" s="2480"/>
      <c r="F4" s="2480"/>
      <c r="G4" s="2480"/>
      <c r="H4" s="2480"/>
      <c r="I4" s="2480"/>
      <c r="J4" s="2480"/>
      <c r="K4" s="2480"/>
      <c r="L4" s="1374"/>
    </row>
    <row r="5" spans="1:12" ht="5.25" customHeight="1" x14ac:dyDescent="0.2">
      <c r="B5" s="1257" t="s">
        <v>1169</v>
      </c>
      <c r="C5" s="1257"/>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4"/>
      <c r="G12" s="2464"/>
      <c r="H12" s="2464"/>
      <c r="I12" s="2464"/>
      <c r="J12" s="2464"/>
      <c r="K12" s="246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7"/>
      <c r="E14" s="2487"/>
      <c r="F14" s="2487"/>
      <c r="H14" s="1459" t="s">
        <v>1303</v>
      </c>
      <c r="I14" s="2488"/>
      <c r="J14" s="2488"/>
      <c r="K14" s="248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8"/>
      <c r="E16" s="2488"/>
      <c r="F16" s="2488"/>
      <c r="G16" s="2488"/>
      <c r="H16" s="2488"/>
      <c r="I16" s="2488"/>
      <c r="J16" s="2488"/>
      <c r="K16" s="2488"/>
      <c r="L16" s="322"/>
    </row>
    <row r="17" spans="2:12" ht="13.5" customHeight="1" x14ac:dyDescent="0.2">
      <c r="B17" s="1384" t="s">
        <v>1301</v>
      </c>
      <c r="C17" s="1384"/>
      <c r="D17" s="2489"/>
      <c r="E17" s="2489"/>
      <c r="F17" s="2489"/>
      <c r="G17" s="2489"/>
      <c r="H17" s="2489"/>
      <c r="I17" s="2489"/>
      <c r="J17" s="2489"/>
      <c r="K17" s="248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9" t="s">
        <v>2081</v>
      </c>
      <c r="C20" s="2479"/>
      <c r="D20" s="2479"/>
      <c r="E20" s="2479"/>
      <c r="F20" s="2479"/>
      <c r="G20" s="2479"/>
      <c r="H20" s="2479"/>
      <c r="I20" s="2479"/>
      <c r="J20" s="2479"/>
      <c r="K20" s="2479"/>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E73"/>
  <sheetViews>
    <sheetView showGridLines="0" zoomScale="110" zoomScaleNormal="110" workbookViewId="0">
      <selection activeCell="O14" sqref="O1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7" t="str">
        <f>'Single Audit Cover'!A7</f>
        <v>Evanston Dists 65/202 Jnt Agr</v>
      </c>
      <c r="C1" s="2457"/>
      <c r="D1" s="2457"/>
      <c r="E1" s="1469"/>
    </row>
    <row r="2" spans="2:5" s="1279" customFormat="1" ht="12.75" customHeight="1" x14ac:dyDescent="0.2">
      <c r="B2" s="2459">
        <f>'Single Audit Cover'!E7</f>
        <v>5016065061</v>
      </c>
      <c r="C2" s="2459"/>
      <c r="D2" s="2459"/>
      <c r="E2" s="1470"/>
    </row>
    <row r="3" spans="2:5" ht="12.75" customHeight="1" x14ac:dyDescent="0.2">
      <c r="B3" s="2480" t="s">
        <v>1766</v>
      </c>
      <c r="C3" s="2480"/>
      <c r="D3" s="2480"/>
      <c r="E3" s="1271"/>
    </row>
    <row r="4" spans="2:5" s="1279" customFormat="1" ht="12.75" customHeight="1" x14ac:dyDescent="0.2">
      <c r="B4" s="2490" t="str">
        <f>'Single Audit Cover'!A4</f>
        <v>Year Ending June 30, 2019</v>
      </c>
      <c r="C4" s="2490"/>
      <c r="D4" s="2490"/>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t="s">
        <v>2080</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14999847407452621"/>
  </sheetPr>
  <dimension ref="A1:N72"/>
  <sheetViews>
    <sheetView showGridLines="0" defaultGridColor="0"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386</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4690694</v>
      </c>
      <c r="E16" s="356"/>
      <c r="F16" s="1733">
        <f>SUM('Acct Summary 7-8'!C17,'Acct Summary 7-8'!D17,'Acct Summary 7-8'!F17)</f>
        <v>4690694</v>
      </c>
      <c r="G16" s="356"/>
      <c r="H16" s="1733">
        <f>SUM(D16-F16)</f>
        <v>0</v>
      </c>
      <c r="I16" s="222"/>
      <c r="J16" s="1733">
        <f>SUM('Acct Summary 7-8'!C81,'Acct Summary 7-8'!D81,'Acct Summary 7-8'!F81,'Acct Summary 7-8'!I81)</f>
        <v>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tint="-0.14999847407452621"/>
  </sheetPr>
  <dimension ref="A1:R44"/>
  <sheetViews>
    <sheetView showGridLines="0" zoomScale="110" zoomScaleNormal="110" workbookViewId="0">
      <selection activeCell="A9" sqref="A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Evanston Dists 65/202 Jnt Agr</v>
      </c>
      <c r="E7" s="391"/>
      <c r="G7" s="252"/>
      <c r="H7" s="387"/>
      <c r="I7" s="387"/>
      <c r="J7" s="387"/>
      <c r="K7" s="387"/>
      <c r="L7" s="329"/>
      <c r="M7" s="329"/>
      <c r="N7" s="329"/>
      <c r="O7" s="329"/>
      <c r="P7" s="329"/>
    </row>
    <row r="8" spans="1:18" ht="12.75" x14ac:dyDescent="0.2">
      <c r="A8" s="329"/>
      <c r="B8" s="329"/>
      <c r="C8" s="389" t="s">
        <v>1125</v>
      </c>
      <c r="D8" s="392">
        <f>COVER!A13</f>
        <v>5016065061</v>
      </c>
      <c r="E8" s="393"/>
      <c r="G8" s="329"/>
      <c r="H8" s="329"/>
      <c r="I8" s="329"/>
      <c r="J8" s="329"/>
      <c r="K8" s="329"/>
      <c r="L8" s="329"/>
      <c r="M8" s="329"/>
      <c r="N8" s="329"/>
      <c r="O8" s="329"/>
      <c r="P8" s="329"/>
    </row>
    <row r="9" spans="1:18" ht="12.75" x14ac:dyDescent="0.2">
      <c r="A9" s="329"/>
      <c r="B9" s="329"/>
      <c r="C9" s="389" t="s">
        <v>713</v>
      </c>
      <c r="D9" s="394" t="str">
        <f>COVER!A15</f>
        <v>Cook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2</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0</v>
      </c>
      <c r="I12" s="404"/>
      <c r="J12" s="404"/>
      <c r="K12" s="405">
        <f>TRUNC((H12/H13*100000),5)/100000</f>
        <v>0</v>
      </c>
      <c r="L12" s="406"/>
      <c r="M12" s="360" t="s">
        <v>1144</v>
      </c>
      <c r="N12" s="360"/>
      <c r="O12" s="407">
        <v>0.35</v>
      </c>
      <c r="P12" s="218"/>
      <c r="Q12" s="218"/>
    </row>
    <row r="13" spans="1:18" s="408" customFormat="1" ht="12.75" x14ac:dyDescent="0.2">
      <c r="A13" s="218"/>
      <c r="B13" s="401"/>
      <c r="C13" s="2104" t="s">
        <v>1324</v>
      </c>
      <c r="D13" s="2105"/>
      <c r="E13" s="218"/>
      <c r="F13" s="409" t="s">
        <v>793</v>
      </c>
      <c r="G13" s="402"/>
      <c r="H13" s="403">
        <f>SUM('Acct Summary 7-8'!C8+'Acct Summary 7-8'!D8+'Acct Summary 7-8'!F8+'Acct Summary 7-8'!I8)+H14</f>
        <v>4690694</v>
      </c>
      <c r="I13" s="404"/>
      <c r="J13" s="404"/>
      <c r="K13" s="410"/>
      <c r="L13" s="218"/>
      <c r="M13" s="360" t="s">
        <v>1145</v>
      </c>
      <c r="N13" s="360"/>
      <c r="O13" s="411">
        <f>(O11*O12)</f>
        <v>0.7</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4690694</v>
      </c>
      <c r="I17" s="404"/>
      <c r="J17" s="416"/>
      <c r="K17" s="405">
        <f>TRUNC((H17/H18*100000),5)/100000</f>
        <v>1</v>
      </c>
      <c r="L17" s="406"/>
      <c r="M17" s="417" t="s">
        <v>1171</v>
      </c>
      <c r="O17" s="418" t="str">
        <f>IF(AND(O16="2", J20 &gt; 2),"1",IF(AND(O16 = "1", J20 &gt; 2),"2",IF(AND(O16="1", J20 &gt;1),"1","0")))</f>
        <v>0</v>
      </c>
      <c r="P17" s="218"/>
    </row>
    <row r="18" spans="1:18" s="408" customFormat="1" ht="11.25" x14ac:dyDescent="0.2">
      <c r="A18" s="218"/>
      <c r="B18" s="401"/>
      <c r="C18" s="2104" t="s">
        <v>1317</v>
      </c>
      <c r="D18" s="2105"/>
      <c r="E18" s="218"/>
      <c r="F18" s="419" t="s">
        <v>794</v>
      </c>
      <c r="G18" s="402"/>
      <c r="H18" s="403">
        <f>SUM('Acct Summary 7-8'!C8+'Acct Summary 7-8'!D8+'Acct Summary 7-8'!F8+'Acct Summary 7-8'!I8)+H19</f>
        <v>4690694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f>IF(K24&gt;=180,"4",IF(K24&gt;=90,"3",IF(K24&gt;=30,"2",1)))</f>
        <v>1</v>
      </c>
      <c r="P23" s="216"/>
      <c r="R23" s="384"/>
    </row>
    <row r="24" spans="1:18" s="408" customFormat="1" ht="11.25" x14ac:dyDescent="0.2">
      <c r="A24" s="218"/>
      <c r="B24" s="401"/>
      <c r="C24" s="2101" t="s">
        <v>1412</v>
      </c>
      <c r="D24" s="2101"/>
      <c r="E24" s="218"/>
      <c r="F24" s="218" t="s">
        <v>445</v>
      </c>
      <c r="G24" s="402"/>
      <c r="H24" s="403">
        <f>SUM('Assets-Liab 5-6'!C4+'Assets-Liab 5-6'!D4+'Assets-Liab 5-6'!F4+'Assets-Liab 5-6'!I4+'Assets-Liab 5-6'!C5+'Assets-Liab 5-6'!D5+'Assets-Liab 5-6'!F5+'Assets-Liab 5-6'!I5)</f>
        <v>0</v>
      </c>
      <c r="I24" s="422"/>
      <c r="J24" s="422"/>
      <c r="K24" s="423">
        <f>TRUNC(((H24/H25*100000)/100000),2)</f>
        <v>0</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13029.70556</v>
      </c>
      <c r="I25" s="425"/>
      <c r="J25" s="425"/>
      <c r="K25" s="410"/>
      <c r="L25" s="218"/>
      <c r="M25" s="360" t="s">
        <v>1145</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0" tint="-0.14999847407452621"/>
  </sheetPr>
  <dimension ref="A1:N44"/>
  <sheetViews>
    <sheetView showGridLines="0" defaultGridColor="0" colorId="8" zoomScale="110" zoomScaleNormal="110" workbookViewId="0">
      <pane ySplit="2" topLeftCell="A10" activePane="bottomLeft" state="frozen"/>
      <selection activeCell="A9" sqref="A9"/>
      <selection pane="bottomLeft" activeCell="A9" sqref="A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1" t="s">
        <v>973</v>
      </c>
      <c r="B3" s="2112"/>
      <c r="C3" s="1559"/>
      <c r="D3" s="1560"/>
      <c r="E3" s="1560"/>
      <c r="F3" s="1560"/>
      <c r="G3" s="1560"/>
      <c r="H3" s="1560"/>
      <c r="I3" s="1560"/>
      <c r="J3" s="1560"/>
      <c r="K3" s="1560"/>
      <c r="L3" s="1560"/>
      <c r="M3" s="1561"/>
      <c r="N3" s="1562"/>
    </row>
    <row r="4" spans="1:14" ht="13.5" customHeight="1" x14ac:dyDescent="0.2">
      <c r="A4" s="463" t="s">
        <v>1651</v>
      </c>
      <c r="B4" s="464"/>
      <c r="C4" s="465"/>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210295</v>
      </c>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210295</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13" t="s">
        <v>147</v>
      </c>
      <c r="B14" s="211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0</v>
      </c>
      <c r="N23" s="1688">
        <f>SUM(N21:N22)</f>
        <v>0</v>
      </c>
    </row>
    <row r="24" spans="1:14" ht="18" customHeight="1" thickTop="1" x14ac:dyDescent="0.2">
      <c r="A24" s="2115" t="s">
        <v>598</v>
      </c>
      <c r="B24" s="2116"/>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v>210295</v>
      </c>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210295</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7" t="s">
        <v>529</v>
      </c>
      <c r="B35" s="211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v>0</v>
      </c>
      <c r="D38" s="466">
        <v>0</v>
      </c>
      <c r="E38" s="466"/>
      <c r="F38" s="466">
        <v>0</v>
      </c>
      <c r="G38" s="466">
        <v>0</v>
      </c>
      <c r="H38" s="466"/>
      <c r="I38" s="466"/>
      <c r="J38" s="467"/>
      <c r="K38" s="466"/>
      <c r="L38" s="481"/>
      <c r="M38" s="497"/>
      <c r="N38" s="497"/>
    </row>
    <row r="39" spans="1:14" s="329" customFormat="1" ht="13.5" customHeight="1" x14ac:dyDescent="0.2">
      <c r="A39" s="496" t="s">
        <v>342</v>
      </c>
      <c r="B39" s="483">
        <v>730</v>
      </c>
      <c r="C39" s="466">
        <v>0</v>
      </c>
      <c r="D39" s="466">
        <v>0</v>
      </c>
      <c r="E39" s="466"/>
      <c r="F39" s="466">
        <v>0</v>
      </c>
      <c r="G39" s="466">
        <v>0</v>
      </c>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c r="N40" s="497"/>
    </row>
    <row r="41" spans="1:14" ht="13.5" customHeight="1" thickBot="1" x14ac:dyDescent="0.25">
      <c r="A41" s="1736" t="s">
        <v>655</v>
      </c>
      <c r="B41" s="1706"/>
      <c r="C41" s="1688">
        <f>(SUM(C34,C37,C38,C39))</f>
        <v>210295</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0</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tint="-0.14999847407452621"/>
  </sheetPr>
  <dimension ref="A1:M87"/>
  <sheetViews>
    <sheetView showGridLines="0" defaultGridColor="0" colorId="8" zoomScale="110" zoomScaleNormal="110" zoomScaleSheetLayoutView="100" workbookViewId="0">
      <pane ySplit="2" topLeftCell="A3" activePane="bottomLeft" state="frozen"/>
      <selection activeCell="A9" sqref="A9"/>
      <selection pane="bottomLeft" activeCell="G80" sqref="G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9" t="s">
        <v>1175</v>
      </c>
      <c r="B3" s="2140"/>
      <c r="C3" s="1573"/>
      <c r="D3" s="1574"/>
      <c r="E3" s="1574"/>
      <c r="F3" s="1574"/>
      <c r="G3" s="1574"/>
      <c r="H3" s="1574"/>
      <c r="I3" s="1574"/>
      <c r="J3" s="1574"/>
      <c r="K3" s="1575"/>
      <c r="L3" s="506"/>
    </row>
    <row r="4" spans="1:13" ht="15.75" customHeight="1" x14ac:dyDescent="0.2">
      <c r="A4" s="1928" t="s">
        <v>1499</v>
      </c>
      <c r="B4" s="1929">
        <v>1000</v>
      </c>
      <c r="C4" s="1742">
        <f>'Revenues 9-14'!C109</f>
        <v>3512407</v>
      </c>
      <c r="D4" s="1742">
        <f>'Revenues 9-14'!D109</f>
        <v>178320</v>
      </c>
      <c r="E4" s="1742">
        <f>'Revenues 9-14'!E109</f>
        <v>0</v>
      </c>
      <c r="F4" s="1742">
        <f>'Revenues 9-14'!F109</f>
        <v>211593</v>
      </c>
      <c r="G4" s="1742">
        <f>'Revenues 9-14'!G109</f>
        <v>249901</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372247</v>
      </c>
      <c r="D6" s="1743">
        <f>'Revenues 9-14'!D170</f>
        <v>5025</v>
      </c>
      <c r="E6" s="1743">
        <f>'Revenues 9-14'!E170</f>
        <v>0</v>
      </c>
      <c r="F6" s="1743">
        <f>'Revenues 9-14'!F170</f>
        <v>374482</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36620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3921274</v>
      </c>
      <c r="D8" s="1688">
        <f t="shared" ref="D8:K8" si="0">SUM(D4:D7)</f>
        <v>183345</v>
      </c>
      <c r="E8" s="1688">
        <f t="shared" si="0"/>
        <v>0</v>
      </c>
      <c r="F8" s="1688">
        <f t="shared" si="0"/>
        <v>586075</v>
      </c>
      <c r="G8" s="1688">
        <f t="shared" si="0"/>
        <v>249901</v>
      </c>
      <c r="H8" s="1688">
        <f t="shared" si="0"/>
        <v>0</v>
      </c>
      <c r="I8" s="1688">
        <f t="shared" si="0"/>
        <v>0</v>
      </c>
      <c r="J8" s="1688">
        <f t="shared" si="0"/>
        <v>0</v>
      </c>
      <c r="K8" s="1688">
        <f t="shared" si="0"/>
        <v>0</v>
      </c>
      <c r="L8" s="347"/>
    </row>
    <row r="9" spans="1:13" ht="15.75" thickTop="1" x14ac:dyDescent="0.2">
      <c r="A9" s="514" t="s">
        <v>1653</v>
      </c>
      <c r="B9" s="515">
        <v>3998</v>
      </c>
      <c r="C9" s="481">
        <v>0</v>
      </c>
      <c r="D9" s="516"/>
      <c r="E9" s="481"/>
      <c r="F9" s="481"/>
      <c r="G9" s="517"/>
      <c r="H9" s="481"/>
      <c r="I9" s="509" t="s">
        <v>1169</v>
      </c>
      <c r="J9" s="478"/>
      <c r="K9" s="481"/>
      <c r="L9" s="347"/>
    </row>
    <row r="10" spans="1:13" s="519" customFormat="1" ht="13.5" thickBot="1" x14ac:dyDescent="0.25">
      <c r="A10" s="1736" t="s">
        <v>1173</v>
      </c>
      <c r="B10" s="1709"/>
      <c r="C10" s="1688">
        <f>SUM(C8:C9)</f>
        <v>3921274</v>
      </c>
      <c r="D10" s="1688">
        <f t="shared" ref="D10:K10" si="1">SUM(D8:D9)</f>
        <v>183345</v>
      </c>
      <c r="E10" s="1688">
        <f t="shared" si="1"/>
        <v>0</v>
      </c>
      <c r="F10" s="1688">
        <f t="shared" si="1"/>
        <v>586075</v>
      </c>
      <c r="G10" s="1688">
        <f t="shared" si="1"/>
        <v>249901</v>
      </c>
      <c r="H10" s="1688">
        <f t="shared" si="1"/>
        <v>0</v>
      </c>
      <c r="I10" s="1688">
        <f t="shared" si="1"/>
        <v>0</v>
      </c>
      <c r="J10" s="1688">
        <f t="shared" si="1"/>
        <v>0</v>
      </c>
      <c r="K10" s="1688">
        <f t="shared" si="1"/>
        <v>0</v>
      </c>
      <c r="L10" s="518"/>
    </row>
    <row r="11" spans="1:13" s="519" customFormat="1" ht="16.7" customHeight="1" thickTop="1" x14ac:dyDescent="0.2">
      <c r="A11" s="2113" t="s">
        <v>1176</v>
      </c>
      <c r="B11" s="2114"/>
      <c r="C11" s="1570"/>
      <c r="D11" s="1571"/>
      <c r="E11" s="1571"/>
      <c r="F11" s="1571"/>
      <c r="G11" s="1571"/>
      <c r="H11" s="1571"/>
      <c r="I11" s="1571"/>
      <c r="J11" s="1571"/>
      <c r="K11" s="1572"/>
      <c r="L11" s="518"/>
    </row>
    <row r="12" spans="1:13" ht="15.75" customHeight="1" x14ac:dyDescent="0.2">
      <c r="A12" s="1576" t="s">
        <v>456</v>
      </c>
      <c r="B12" s="1578">
        <v>1000</v>
      </c>
      <c r="C12" s="1742">
        <f>'Expenditures 15-22'!K33</f>
        <v>2701138</v>
      </c>
      <c r="D12" s="520" t="s">
        <v>1169</v>
      </c>
      <c r="E12" s="468" t="s">
        <v>1169</v>
      </c>
      <c r="F12" s="468" t="s">
        <v>1169</v>
      </c>
      <c r="G12" s="1742">
        <f>'Expenditures 15-22'!K229</f>
        <v>152367</v>
      </c>
      <c r="H12" s="521"/>
      <c r="I12" s="468" t="s">
        <v>1169</v>
      </c>
      <c r="J12" s="468" t="s">
        <v>1169</v>
      </c>
      <c r="K12" s="521" t="s">
        <v>1169</v>
      </c>
      <c r="L12" s="347"/>
    </row>
    <row r="13" spans="1:13" ht="15.75" customHeight="1" x14ac:dyDescent="0.2">
      <c r="A13" s="1576" t="s">
        <v>457</v>
      </c>
      <c r="B13" s="1578">
        <v>2000</v>
      </c>
      <c r="C13" s="1743">
        <f>'Expenditures 15-22'!K74</f>
        <v>1187130</v>
      </c>
      <c r="D13" s="1743">
        <f>'Expenditures 15-22'!K129</f>
        <v>183345</v>
      </c>
      <c r="E13" s="469" t="s">
        <v>1169</v>
      </c>
      <c r="F13" s="1743">
        <f>'Expenditures 15-22'!K184</f>
        <v>586075</v>
      </c>
      <c r="G13" s="1743">
        <f>'Expenditures 15-22'!K279</f>
        <v>97534</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29135</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3871</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3921274</v>
      </c>
      <c r="D17" s="1688">
        <f t="shared" si="2"/>
        <v>183345</v>
      </c>
      <c r="E17" s="1688">
        <f t="shared" si="2"/>
        <v>0</v>
      </c>
      <c r="F17" s="1688">
        <f t="shared" si="2"/>
        <v>586075</v>
      </c>
      <c r="G17" s="1688">
        <f t="shared" si="2"/>
        <v>249901</v>
      </c>
      <c r="H17" s="1688">
        <f t="shared" si="2"/>
        <v>0</v>
      </c>
      <c r="I17" s="468"/>
      <c r="J17" s="1688">
        <f>SUM(J12:J16)</f>
        <v>0</v>
      </c>
      <c r="K17" s="1688">
        <f>SUM(K12:K16)</f>
        <v>0</v>
      </c>
      <c r="L17" s="347"/>
    </row>
    <row r="18" spans="1:12" ht="15" customHeight="1" thickTop="1" x14ac:dyDescent="0.2">
      <c r="A18" s="1744" t="s">
        <v>1654</v>
      </c>
      <c r="B18" s="1745">
        <v>4180</v>
      </c>
      <c r="C18" s="1742">
        <f t="shared" ref="C18:H18" si="3">C9</f>
        <v>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3921274</v>
      </c>
      <c r="D19" s="1688">
        <f t="shared" si="4"/>
        <v>183345</v>
      </c>
      <c r="E19" s="1688">
        <f t="shared" si="4"/>
        <v>0</v>
      </c>
      <c r="F19" s="1688">
        <f t="shared" si="4"/>
        <v>586075</v>
      </c>
      <c r="G19" s="1688">
        <f t="shared" si="4"/>
        <v>249901</v>
      </c>
      <c r="H19" s="1688">
        <f t="shared" si="4"/>
        <v>0</v>
      </c>
      <c r="I19" s="468"/>
      <c r="J19" s="1688">
        <f>SUM(J17:J18)</f>
        <v>0</v>
      </c>
      <c r="K19" s="1688">
        <f>SUM(K17:K18)</f>
        <v>0</v>
      </c>
      <c r="L19" s="347"/>
    </row>
    <row r="20" spans="1:12" ht="16.5" thickTop="1" thickBot="1" x14ac:dyDescent="0.25">
      <c r="A20" s="2129" t="s">
        <v>1655</v>
      </c>
      <c r="B20" s="2130"/>
      <c r="C20" s="1746">
        <f>C8-C17</f>
        <v>0</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41" t="s">
        <v>595</v>
      </c>
      <c r="B21" s="2142"/>
      <c r="C21" s="1570"/>
      <c r="D21" s="1571"/>
      <c r="E21" s="1571"/>
      <c r="F21" s="1571"/>
      <c r="G21" s="1571"/>
      <c r="H21" s="1571"/>
      <c r="I21" s="1571"/>
      <c r="J21" s="1571"/>
      <c r="K21" s="1572"/>
      <c r="L21" s="524"/>
    </row>
    <row r="22" spans="1:12" ht="15.75" customHeight="1" collapsed="1" x14ac:dyDescent="0.2">
      <c r="A22" s="2137" t="s">
        <v>596</v>
      </c>
      <c r="B22" s="2138"/>
      <c r="C22" s="477"/>
      <c r="D22" s="477"/>
      <c r="E22" s="477"/>
      <c r="F22" s="477"/>
      <c r="G22" s="477"/>
      <c r="H22" s="477"/>
      <c r="I22" s="477"/>
      <c r="J22" s="477"/>
      <c r="K22" s="477"/>
      <c r="L22" s="347"/>
    </row>
    <row r="23" spans="1:12" s="485" customFormat="1" ht="15.75" customHeight="1" x14ac:dyDescent="0.2">
      <c r="A23" s="2133" t="s">
        <v>293</v>
      </c>
      <c r="B23" s="2134"/>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5" t="s">
        <v>981</v>
      </c>
      <c r="B32" s="2136"/>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3" t="s">
        <v>374</v>
      </c>
      <c r="B44" s="2144"/>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9" t="s">
        <v>440</v>
      </c>
      <c r="B76" s="2120"/>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1" t="s">
        <v>1177</v>
      </c>
      <c r="B77" s="2122"/>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5" t="s">
        <v>597</v>
      </c>
      <c r="B78" s="2126"/>
      <c r="C78" s="1702">
        <f t="shared" ref="C78:K78" si="9">C20+C77</f>
        <v>0</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1947</v>
      </c>
      <c r="B79" s="534"/>
      <c r="C79" s="478">
        <v>0</v>
      </c>
      <c r="D79" s="535">
        <v>0</v>
      </c>
      <c r="E79" s="535"/>
      <c r="F79" s="535">
        <v>0</v>
      </c>
      <c r="G79" s="535">
        <v>0</v>
      </c>
      <c r="H79" s="535"/>
      <c r="I79" s="535"/>
      <c r="J79" s="535"/>
      <c r="K79" s="535"/>
      <c r="L79" s="347"/>
    </row>
    <row r="80" spans="1:12" x14ac:dyDescent="0.2">
      <c r="A80" s="2131" t="s">
        <v>1795</v>
      </c>
      <c r="B80" s="2132"/>
      <c r="C80" s="467"/>
      <c r="D80" s="467"/>
      <c r="E80" s="467"/>
      <c r="F80" s="467"/>
      <c r="G80" s="467"/>
      <c r="H80" s="467"/>
      <c r="I80" s="467"/>
      <c r="J80" s="467"/>
      <c r="K80" s="467"/>
      <c r="L80" s="347"/>
    </row>
    <row r="81" spans="1:12" ht="13.5" thickBot="1" x14ac:dyDescent="0.25">
      <c r="A81" s="2123" t="s">
        <v>1948</v>
      </c>
      <c r="B81" s="2124"/>
      <c r="C81" s="1688">
        <f>(SUM(C78:C80))</f>
        <v>0</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0</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t="e">
        <f>C82/C81</f>
        <v>#DIV/0!</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0" tint="-0.14999847407452621"/>
  </sheetPr>
  <dimension ref="A1:L279"/>
  <sheetViews>
    <sheetView showGridLines="0" defaultGridColor="0" colorId="8" zoomScale="110" zoomScaleNormal="110" zoomScaleSheetLayoutView="75" workbookViewId="0">
      <pane ySplit="2" topLeftCell="A79" activePane="bottomLeft" state="frozen"/>
      <selection activeCell="A9" sqref="A9"/>
      <selection pane="bottomLeft" activeCell="C104" sqref="C10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7" t="s">
        <v>1802</v>
      </c>
      <c r="B1" s="452"/>
      <c r="C1" s="453" t="s">
        <v>425</v>
      </c>
      <c r="D1" s="453" t="s">
        <v>426</v>
      </c>
      <c r="E1" s="453" t="s">
        <v>427</v>
      </c>
      <c r="F1" s="453" t="s">
        <v>428</v>
      </c>
      <c r="G1" s="453" t="s">
        <v>429</v>
      </c>
      <c r="H1" s="453" t="s">
        <v>430</v>
      </c>
      <c r="I1" s="453" t="s">
        <v>431</v>
      </c>
      <c r="J1" s="453" t="s">
        <v>432</v>
      </c>
      <c r="K1" s="453" t="s">
        <v>756</v>
      </c>
    </row>
    <row r="2" spans="1:12" ht="36" x14ac:dyDescent="0.2">
      <c r="A2" s="212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1266312</v>
      </c>
      <c r="D33" s="468"/>
      <c r="E33" s="468"/>
      <c r="F33" s="468"/>
      <c r="G33" s="468"/>
      <c r="H33" s="468"/>
      <c r="I33" s="468"/>
      <c r="J33" s="468"/>
      <c r="K33" s="468"/>
    </row>
    <row r="34" spans="1:11" ht="12.75" customHeight="1" x14ac:dyDescent="0.2">
      <c r="A34" s="463" t="s">
        <v>495</v>
      </c>
      <c r="B34" s="470">
        <v>1343</v>
      </c>
      <c r="C34" s="551">
        <v>898438</v>
      </c>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2164750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v>41079</v>
      </c>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41079</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0</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1347657</v>
      </c>
      <c r="D104" s="466">
        <v>178320</v>
      </c>
      <c r="E104" s="481"/>
      <c r="F104" s="467">
        <v>170514</v>
      </c>
      <c r="G104" s="467">
        <v>249901</v>
      </c>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1347657</v>
      </c>
      <c r="D108" s="1707">
        <f t="shared" ref="D108:K108" si="3">SUM(D95:D107)</f>
        <v>178320</v>
      </c>
      <c r="E108" s="1707">
        <f t="shared" si="3"/>
        <v>0</v>
      </c>
      <c r="F108" s="1707">
        <f t="shared" si="3"/>
        <v>170514</v>
      </c>
      <c r="G108" s="1707">
        <f t="shared" si="3"/>
        <v>249901</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3512407</v>
      </c>
      <c r="D109" s="1715">
        <f t="shared" si="4"/>
        <v>178320</v>
      </c>
      <c r="E109" s="1715">
        <f t="shared" si="4"/>
        <v>0</v>
      </c>
      <c r="F109" s="1715">
        <f t="shared" si="4"/>
        <v>211593</v>
      </c>
      <c r="G109" s="1715">
        <f t="shared" si="4"/>
        <v>249901</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372247</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372247</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v>5025</v>
      </c>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5025</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v>374482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374482</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7" t="s">
        <v>398</v>
      </c>
      <c r="B169" s="2148"/>
      <c r="C169" s="1722">
        <f t="shared" ref="C169:K169" si="6">SUM(C132,C141,C145,C146:C150,C155,C156:C167,C168)</f>
        <v>0</v>
      </c>
      <c r="D169" s="1722">
        <f t="shared" si="6"/>
        <v>5025</v>
      </c>
      <c r="E169" s="1722">
        <f t="shared" si="6"/>
        <v>0</v>
      </c>
      <c r="F169" s="1722">
        <f t="shared" si="6"/>
        <v>374482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372247</v>
      </c>
      <c r="D170" s="1715">
        <f t="shared" si="7"/>
        <v>5025</v>
      </c>
      <c r="E170" s="1715">
        <f t="shared" si="7"/>
        <v>0</v>
      </c>
      <c r="F170" s="1715">
        <f t="shared" si="7"/>
        <v>374482</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9" t="s">
        <v>1492</v>
      </c>
      <c r="B172" s="215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3" t="s">
        <v>1665</v>
      </c>
      <c r="B175" s="215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7" t="s">
        <v>1664</v>
      </c>
      <c r="B176" s="215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5" t="s">
        <v>785</v>
      </c>
      <c r="B181" s="215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1" t="s">
        <v>1803</v>
      </c>
      <c r="B182" s="215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26672</v>
      </c>
      <c r="D264" s="576"/>
      <c r="E264" s="468"/>
      <c r="F264" s="576"/>
      <c r="G264" s="576"/>
      <c r="H264" s="468"/>
      <c r="I264" s="468"/>
      <c r="J264" s="468"/>
      <c r="K264" s="468"/>
    </row>
    <row r="265" spans="1:11" s="593" customFormat="1" ht="12.75" customHeight="1" thickTop="1" thickBot="1" x14ac:dyDescent="0.25">
      <c r="A265" s="563" t="s">
        <v>75</v>
      </c>
      <c r="B265" s="557">
        <v>4999</v>
      </c>
      <c r="C265" s="575">
        <v>9948</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36620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36620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3921274</v>
      </c>
      <c r="D268" s="1715">
        <f t="shared" si="12"/>
        <v>183345</v>
      </c>
      <c r="E268" s="1715">
        <f t="shared" si="12"/>
        <v>0</v>
      </c>
      <c r="F268" s="1715">
        <f t="shared" si="12"/>
        <v>586075</v>
      </c>
      <c r="G268" s="1715">
        <f t="shared" si="12"/>
        <v>249901</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0" tint="-0.14999847407452621"/>
  </sheetPr>
  <dimension ref="A1:N368"/>
  <sheetViews>
    <sheetView showGridLines="0" defaultGridColor="0" colorId="8" zoomScale="110" zoomScaleNormal="110" workbookViewId="0">
      <pane ySplit="2" topLeftCell="A124" activePane="bottomLeft" state="frozen"/>
      <selection activeCell="L292" sqref="L292"/>
      <selection pane="bottomLeft" activeCell="Q138" sqref="Q13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7"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7" t="s">
        <v>297</v>
      </c>
      <c r="B3" s="2168"/>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1926228</v>
      </c>
      <c r="D8" s="466">
        <v>251804</v>
      </c>
      <c r="E8" s="466">
        <v>151998</v>
      </c>
      <c r="F8" s="466">
        <v>24486</v>
      </c>
      <c r="G8" s="466"/>
      <c r="H8" s="466"/>
      <c r="I8" s="467"/>
      <c r="J8" s="467"/>
      <c r="K8" s="1671">
        <f t="shared" si="0"/>
        <v>2354516</v>
      </c>
      <c r="L8" s="466">
        <v>2287086</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164065</v>
      </c>
      <c r="D13" s="466">
        <v>16174</v>
      </c>
      <c r="E13" s="466"/>
      <c r="F13" s="466">
        <v>1034</v>
      </c>
      <c r="G13" s="466"/>
      <c r="H13" s="466">
        <v>6481</v>
      </c>
      <c r="I13" s="467"/>
      <c r="J13" s="467"/>
      <c r="K13" s="1671">
        <f t="shared" si="0"/>
        <v>187754</v>
      </c>
      <c r="L13" s="466">
        <v>194138</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v>158868</v>
      </c>
      <c r="D15" s="466"/>
      <c r="E15" s="466"/>
      <c r="F15" s="466"/>
      <c r="G15" s="466"/>
      <c r="H15" s="466"/>
      <c r="I15" s="467"/>
      <c r="J15" s="467"/>
      <c r="K15" s="1671">
        <f t="shared" si="0"/>
        <v>158868</v>
      </c>
      <c r="L15" s="466">
        <v>134200</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2249161</v>
      </c>
      <c r="D33" s="1670">
        <f t="shared" ref="D33:L33" si="1">SUM(D5:D32)</f>
        <v>267978</v>
      </c>
      <c r="E33" s="1670">
        <f t="shared" si="1"/>
        <v>151998</v>
      </c>
      <c r="F33" s="1670">
        <f t="shared" si="1"/>
        <v>25520</v>
      </c>
      <c r="G33" s="1670">
        <f t="shared" si="1"/>
        <v>0</v>
      </c>
      <c r="H33" s="1670">
        <f t="shared" si="1"/>
        <v>6481</v>
      </c>
      <c r="I33" s="1670">
        <f t="shared" si="1"/>
        <v>0</v>
      </c>
      <c r="J33" s="1670">
        <f t="shared" si="1"/>
        <v>0</v>
      </c>
      <c r="K33" s="1670">
        <f t="shared" si="1"/>
        <v>2701138</v>
      </c>
      <c r="L33" s="1670">
        <f t="shared" si="1"/>
        <v>2615424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59310</v>
      </c>
      <c r="D36" s="481">
        <v>6508</v>
      </c>
      <c r="E36" s="481"/>
      <c r="F36" s="481"/>
      <c r="G36" s="481"/>
      <c r="H36" s="481"/>
      <c r="I36" s="467"/>
      <c r="J36" s="467"/>
      <c r="K36" s="1671">
        <f t="shared" ref="K36:K41" si="2">SUM(C36:J36)</f>
        <v>65818</v>
      </c>
      <c r="L36" s="466">
        <v>50649</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121529</v>
      </c>
      <c r="D38" s="466">
        <v>26910</v>
      </c>
      <c r="E38" s="466"/>
      <c r="F38" s="466">
        <v>2535</v>
      </c>
      <c r="G38" s="466"/>
      <c r="H38" s="466"/>
      <c r="I38" s="467"/>
      <c r="J38" s="467"/>
      <c r="K38" s="1671">
        <f t="shared" si="2"/>
        <v>150974</v>
      </c>
      <c r="L38" s="466">
        <v>167698</v>
      </c>
    </row>
    <row r="39" spans="1:14" x14ac:dyDescent="0.2">
      <c r="A39" s="1504" t="s">
        <v>199</v>
      </c>
      <c r="B39" s="614">
        <v>2140</v>
      </c>
      <c r="C39" s="466">
        <v>58443</v>
      </c>
      <c r="D39" s="466">
        <v>1231</v>
      </c>
      <c r="E39" s="466"/>
      <c r="F39" s="466"/>
      <c r="G39" s="466"/>
      <c r="H39" s="466"/>
      <c r="I39" s="467"/>
      <c r="J39" s="467"/>
      <c r="K39" s="1671">
        <f t="shared" si="2"/>
        <v>59674</v>
      </c>
      <c r="L39" s="466">
        <v>50201</v>
      </c>
    </row>
    <row r="40" spans="1:14" x14ac:dyDescent="0.2">
      <c r="A40" s="1504" t="s">
        <v>200</v>
      </c>
      <c r="B40" s="614">
        <v>2150</v>
      </c>
      <c r="C40" s="466">
        <f>390822-C41</f>
        <v>163486</v>
      </c>
      <c r="D40" s="466">
        <f>35676-D41</f>
        <v>18014</v>
      </c>
      <c r="E40" s="466"/>
      <c r="F40" s="466"/>
      <c r="G40" s="466"/>
      <c r="H40" s="466"/>
      <c r="I40" s="467"/>
      <c r="J40" s="467"/>
      <c r="K40" s="1671">
        <f t="shared" si="2"/>
        <v>181500</v>
      </c>
      <c r="L40" s="466">
        <v>179473</v>
      </c>
    </row>
    <row r="41" spans="1:14" x14ac:dyDescent="0.2">
      <c r="A41" s="1504" t="s">
        <v>1669</v>
      </c>
      <c r="B41" s="614">
        <v>2190</v>
      </c>
      <c r="C41" s="466">
        <v>227336</v>
      </c>
      <c r="D41" s="466">
        <v>17662</v>
      </c>
      <c r="E41" s="466"/>
      <c r="F41" s="466"/>
      <c r="G41" s="466"/>
      <c r="H41" s="466"/>
      <c r="I41" s="467"/>
      <c r="J41" s="467"/>
      <c r="K41" s="1671">
        <f t="shared" si="2"/>
        <v>244998</v>
      </c>
      <c r="L41" s="466">
        <v>259558</v>
      </c>
    </row>
    <row r="42" spans="1:14" ht="12.75" customHeight="1" thickBot="1" x14ac:dyDescent="0.25">
      <c r="A42" s="1668" t="s">
        <v>560</v>
      </c>
      <c r="B42" s="1669" t="s">
        <v>716</v>
      </c>
      <c r="C42" s="1670">
        <f>SUM(C36:C41)</f>
        <v>630104</v>
      </c>
      <c r="D42" s="1670">
        <f t="shared" ref="D42:L42" si="3">SUM(D36:D41)</f>
        <v>70325</v>
      </c>
      <c r="E42" s="1670">
        <f t="shared" si="3"/>
        <v>0</v>
      </c>
      <c r="F42" s="1670">
        <f t="shared" si="3"/>
        <v>2535</v>
      </c>
      <c r="G42" s="1670">
        <f t="shared" si="3"/>
        <v>0</v>
      </c>
      <c r="H42" s="1670">
        <f t="shared" si="3"/>
        <v>0</v>
      </c>
      <c r="I42" s="1670">
        <f t="shared" si="3"/>
        <v>0</v>
      </c>
      <c r="J42" s="1670">
        <f t="shared" si="3"/>
        <v>0</v>
      </c>
      <c r="K42" s="1670">
        <f t="shared" si="3"/>
        <v>702964</v>
      </c>
      <c r="L42" s="1670">
        <f t="shared" si="3"/>
        <v>707579</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6927</v>
      </c>
      <c r="D44" s="481">
        <v>955</v>
      </c>
      <c r="E44" s="481"/>
      <c r="F44" s="481"/>
      <c r="G44" s="481"/>
      <c r="H44" s="481"/>
      <c r="I44" s="467"/>
      <c r="J44" s="467"/>
      <c r="K44" s="1672">
        <f>SUM(C44:J44)</f>
        <v>7882</v>
      </c>
      <c r="L44" s="481">
        <v>8383</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6927</v>
      </c>
      <c r="D47" s="1670">
        <f t="shared" ref="D47:K47" si="4">SUM(D44:D46)</f>
        <v>955</v>
      </c>
      <c r="E47" s="1670">
        <f t="shared" si="4"/>
        <v>0</v>
      </c>
      <c r="F47" s="1670">
        <f t="shared" si="4"/>
        <v>0</v>
      </c>
      <c r="G47" s="1670">
        <f t="shared" si="4"/>
        <v>0</v>
      </c>
      <c r="H47" s="1670">
        <f t="shared" si="4"/>
        <v>0</v>
      </c>
      <c r="I47" s="1670">
        <f t="shared" si="4"/>
        <v>0</v>
      </c>
      <c r="J47" s="1670">
        <f t="shared" si="4"/>
        <v>0</v>
      </c>
      <c r="K47" s="1670">
        <f t="shared" si="4"/>
        <v>7882</v>
      </c>
      <c r="L47" s="1670">
        <f>SUM(L44:L46)</f>
        <v>8383</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f>56845-C51</f>
        <v>10509</v>
      </c>
      <c r="D50" s="466">
        <f>1270-D51</f>
        <v>955</v>
      </c>
      <c r="E50" s="466"/>
      <c r="F50" s="466"/>
      <c r="G50" s="466"/>
      <c r="H50" s="466"/>
      <c r="I50" s="467"/>
      <c r="J50" s="467"/>
      <c r="K50" s="1672">
        <f>SUM(C50:J50)</f>
        <v>11464</v>
      </c>
      <c r="L50" s="466">
        <f>103380-L51-L52</f>
        <v>11476</v>
      </c>
    </row>
    <row r="51" spans="1:14" x14ac:dyDescent="0.2">
      <c r="A51" s="1504" t="s">
        <v>42</v>
      </c>
      <c r="B51" s="614">
        <v>2330</v>
      </c>
      <c r="C51" s="466">
        <v>46336</v>
      </c>
      <c r="D51" s="466">
        <v>315</v>
      </c>
      <c r="E51" s="466"/>
      <c r="F51" s="466"/>
      <c r="G51" s="466"/>
      <c r="H51" s="466"/>
      <c r="I51" s="467"/>
      <c r="J51" s="467"/>
      <c r="K51" s="1672">
        <f>SUM(C51:J51)</f>
        <v>46651</v>
      </c>
      <c r="L51" s="466">
        <v>46651</v>
      </c>
    </row>
    <row r="52" spans="1:14" ht="22.5" x14ac:dyDescent="0.2">
      <c r="A52" s="1505" t="s">
        <v>298</v>
      </c>
      <c r="B52" s="627" t="s">
        <v>366</v>
      </c>
      <c r="C52" s="474"/>
      <c r="D52" s="474"/>
      <c r="E52" s="474">
        <v>46198</v>
      </c>
      <c r="F52" s="474"/>
      <c r="G52" s="474"/>
      <c r="H52" s="474"/>
      <c r="I52" s="474"/>
      <c r="J52" s="474"/>
      <c r="K52" s="1672">
        <f>SUM(C52:J52)</f>
        <v>46198</v>
      </c>
      <c r="L52" s="474">
        <v>45253</v>
      </c>
    </row>
    <row r="53" spans="1:14" ht="12.75" customHeight="1" thickBot="1" x14ac:dyDescent="0.25">
      <c r="A53" s="1668" t="s">
        <v>717</v>
      </c>
      <c r="B53" s="1669" t="s">
        <v>33</v>
      </c>
      <c r="C53" s="1670">
        <f>SUM(C49:C52)</f>
        <v>56845</v>
      </c>
      <c r="D53" s="1670">
        <f t="shared" ref="D53:L53" si="5">SUM(D49:D52)</f>
        <v>1270</v>
      </c>
      <c r="E53" s="1670">
        <f t="shared" si="5"/>
        <v>46198</v>
      </c>
      <c r="F53" s="1670">
        <f t="shared" si="5"/>
        <v>0</v>
      </c>
      <c r="G53" s="1670">
        <f t="shared" si="5"/>
        <v>0</v>
      </c>
      <c r="H53" s="1670">
        <f t="shared" si="5"/>
        <v>0</v>
      </c>
      <c r="I53" s="1670">
        <f t="shared" si="5"/>
        <v>0</v>
      </c>
      <c r="J53" s="1670">
        <f t="shared" si="5"/>
        <v>0</v>
      </c>
      <c r="K53" s="1670">
        <f t="shared" si="5"/>
        <v>104313</v>
      </c>
      <c r="L53" s="1670">
        <f t="shared" si="5"/>
        <v>103380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190028</v>
      </c>
      <c r="D55" s="481">
        <v>38030</v>
      </c>
      <c r="E55" s="481">
        <v>1787</v>
      </c>
      <c r="F55" s="481"/>
      <c r="G55" s="481"/>
      <c r="H55" s="481"/>
      <c r="I55" s="467"/>
      <c r="J55" s="467"/>
      <c r="K55" s="1672">
        <f>SUM(C55:J55)</f>
        <v>229845</v>
      </c>
      <c r="L55" s="481">
        <v>215292</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190028</v>
      </c>
      <c r="D57" s="1674">
        <f t="shared" ref="D57:K57" si="6">SUM(D55:D56)</f>
        <v>38030</v>
      </c>
      <c r="E57" s="1674">
        <f t="shared" si="6"/>
        <v>1787</v>
      </c>
      <c r="F57" s="1674">
        <f t="shared" si="6"/>
        <v>0</v>
      </c>
      <c r="G57" s="1674">
        <f t="shared" si="6"/>
        <v>0</v>
      </c>
      <c r="H57" s="1674">
        <f t="shared" si="6"/>
        <v>0</v>
      </c>
      <c r="I57" s="1674">
        <f t="shared" si="6"/>
        <v>0</v>
      </c>
      <c r="J57" s="1674">
        <f t="shared" si="6"/>
        <v>0</v>
      </c>
      <c r="K57" s="1674">
        <f t="shared" si="6"/>
        <v>229845</v>
      </c>
      <c r="L57" s="1670">
        <f>SUM(L55:L56)</f>
        <v>215292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6903</v>
      </c>
      <c r="D59" s="481">
        <v>840</v>
      </c>
      <c r="E59" s="481">
        <v>7955</v>
      </c>
      <c r="F59" s="481"/>
      <c r="G59" s="481"/>
      <c r="H59" s="481"/>
      <c r="I59" s="467"/>
      <c r="J59" s="467"/>
      <c r="K59" s="1672">
        <f t="shared" ref="K59:K64" si="7">SUM(C59:J59)</f>
        <v>15698</v>
      </c>
      <c r="L59" s="481">
        <v>15807</v>
      </c>
      <c r="M59" s="609"/>
      <c r="N59" s="609"/>
    </row>
    <row r="60" spans="1:14" s="343" customFormat="1" x14ac:dyDescent="0.2">
      <c r="A60" s="1504" t="s">
        <v>463</v>
      </c>
      <c r="B60" s="614">
        <v>2520</v>
      </c>
      <c r="C60" s="466">
        <v>15136</v>
      </c>
      <c r="D60" s="466">
        <v>1312</v>
      </c>
      <c r="E60" s="466"/>
      <c r="F60" s="466"/>
      <c r="G60" s="466"/>
      <c r="H60" s="466"/>
      <c r="I60" s="467"/>
      <c r="J60" s="467"/>
      <c r="K60" s="1672">
        <f t="shared" si="7"/>
        <v>16448</v>
      </c>
      <c r="L60" s="466">
        <v>18193</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11485</v>
      </c>
      <c r="D63" s="466"/>
      <c r="E63" s="466"/>
      <c r="F63" s="466">
        <v>17433</v>
      </c>
      <c r="G63" s="466"/>
      <c r="H63" s="466"/>
      <c r="I63" s="467"/>
      <c r="J63" s="467"/>
      <c r="K63" s="1672">
        <f t="shared" si="7"/>
        <v>28918</v>
      </c>
      <c r="L63" s="466">
        <v>29141</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33524</v>
      </c>
      <c r="D65" s="1670">
        <f t="shared" ref="D65:L65" si="8">SUM(D59:D64)</f>
        <v>2152</v>
      </c>
      <c r="E65" s="1670">
        <f t="shared" si="8"/>
        <v>7955</v>
      </c>
      <c r="F65" s="1670">
        <f t="shared" si="8"/>
        <v>17433</v>
      </c>
      <c r="G65" s="1670">
        <f t="shared" si="8"/>
        <v>0</v>
      </c>
      <c r="H65" s="1670">
        <f t="shared" si="8"/>
        <v>0</v>
      </c>
      <c r="I65" s="1670">
        <f t="shared" si="8"/>
        <v>0</v>
      </c>
      <c r="J65" s="1670">
        <f t="shared" si="8"/>
        <v>0</v>
      </c>
      <c r="K65" s="1670">
        <f t="shared" si="8"/>
        <v>61064</v>
      </c>
      <c r="L65" s="1670">
        <f t="shared" si="8"/>
        <v>63141</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v>5491</v>
      </c>
      <c r="D68" s="466">
        <v>42</v>
      </c>
      <c r="E68" s="466"/>
      <c r="F68" s="466"/>
      <c r="G68" s="466"/>
      <c r="H68" s="466"/>
      <c r="I68" s="467"/>
      <c r="J68" s="467"/>
      <c r="K68" s="1672">
        <f>SUM(C68:J68)</f>
        <v>5533</v>
      </c>
      <c r="L68" s="466">
        <v>6859</v>
      </c>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v>8109</v>
      </c>
      <c r="D70" s="466">
        <v>818</v>
      </c>
      <c r="E70" s="466"/>
      <c r="F70" s="466"/>
      <c r="G70" s="466"/>
      <c r="H70" s="466"/>
      <c r="I70" s="467"/>
      <c r="J70" s="467"/>
      <c r="K70" s="1672">
        <f>SUM(C70:J70)</f>
        <v>8927</v>
      </c>
      <c r="L70" s="466">
        <v>8927</v>
      </c>
      <c r="M70" s="609"/>
      <c r="N70" s="609"/>
    </row>
    <row r="71" spans="1:14" s="343" customFormat="1" x14ac:dyDescent="0.2">
      <c r="A71" s="1504" t="s">
        <v>404</v>
      </c>
      <c r="B71" s="614">
        <v>2660</v>
      </c>
      <c r="C71" s="466">
        <v>5067</v>
      </c>
      <c r="D71" s="466">
        <v>818</v>
      </c>
      <c r="E71" s="466">
        <v>28095</v>
      </c>
      <c r="F71" s="466"/>
      <c r="G71" s="466"/>
      <c r="H71" s="466"/>
      <c r="I71" s="467"/>
      <c r="J71" s="467"/>
      <c r="K71" s="1672">
        <f>SUM(C71:J71)</f>
        <v>33980</v>
      </c>
      <c r="L71" s="466">
        <v>36943</v>
      </c>
      <c r="M71" s="609"/>
      <c r="N71" s="609"/>
    </row>
    <row r="72" spans="1:14" s="343" customFormat="1" ht="12.75" customHeight="1" thickBot="1" x14ac:dyDescent="0.25">
      <c r="A72" s="1668" t="s">
        <v>37</v>
      </c>
      <c r="B72" s="1675" t="s">
        <v>36</v>
      </c>
      <c r="C72" s="1670">
        <f>SUM(C67:C71)</f>
        <v>18667</v>
      </c>
      <c r="D72" s="1670">
        <f t="shared" ref="D72:K72" si="9">SUM(D67:D71)</f>
        <v>1678</v>
      </c>
      <c r="E72" s="1670">
        <f t="shared" si="9"/>
        <v>28095</v>
      </c>
      <c r="F72" s="1670">
        <f t="shared" si="9"/>
        <v>0</v>
      </c>
      <c r="G72" s="1670">
        <f t="shared" si="9"/>
        <v>0</v>
      </c>
      <c r="H72" s="1670">
        <f t="shared" si="9"/>
        <v>0</v>
      </c>
      <c r="I72" s="1670">
        <f t="shared" si="9"/>
        <v>0</v>
      </c>
      <c r="J72" s="1670">
        <f t="shared" si="9"/>
        <v>0</v>
      </c>
      <c r="K72" s="1670">
        <f t="shared" si="9"/>
        <v>48440</v>
      </c>
      <c r="L72" s="1670">
        <f>SUM(L67:L71)</f>
        <v>52729</v>
      </c>
      <c r="M72" s="609"/>
      <c r="N72" s="609"/>
    </row>
    <row r="73" spans="1:14" s="343" customFormat="1" ht="14.25" thickTop="1" thickBot="1" x14ac:dyDescent="0.25">
      <c r="A73" s="1510" t="s">
        <v>980</v>
      </c>
      <c r="B73" s="632" t="s">
        <v>574</v>
      </c>
      <c r="C73" s="573">
        <v>1500</v>
      </c>
      <c r="D73" s="573">
        <v>30974</v>
      </c>
      <c r="E73" s="573">
        <v>148</v>
      </c>
      <c r="F73" s="573"/>
      <c r="G73" s="573"/>
      <c r="H73" s="573"/>
      <c r="I73" s="531"/>
      <c r="J73" s="531"/>
      <c r="K73" s="1670">
        <f>SUM(C73:J73)</f>
        <v>32622</v>
      </c>
      <c r="L73" s="576">
        <v>28863</v>
      </c>
      <c r="M73" s="609"/>
      <c r="N73" s="609"/>
    </row>
    <row r="74" spans="1:14" ht="12.75" customHeight="1" thickTop="1" thickBot="1" x14ac:dyDescent="0.25">
      <c r="A74" s="1668" t="s">
        <v>811</v>
      </c>
      <c r="B74" s="1676">
        <v>2000</v>
      </c>
      <c r="C74" s="1677">
        <f>SUM(C42,C47,C53,C57,C65,C72,C73)</f>
        <v>937595</v>
      </c>
      <c r="D74" s="1677">
        <f t="shared" ref="D74:K74" si="10">SUM(D42,D47,D53,D57,D65,D72,D73)</f>
        <v>145384</v>
      </c>
      <c r="E74" s="1677">
        <f t="shared" si="10"/>
        <v>84183</v>
      </c>
      <c r="F74" s="1677">
        <f t="shared" si="10"/>
        <v>19968</v>
      </c>
      <c r="G74" s="1677">
        <f t="shared" si="10"/>
        <v>0</v>
      </c>
      <c r="H74" s="1677">
        <f t="shared" si="10"/>
        <v>0</v>
      </c>
      <c r="I74" s="1677">
        <f t="shared" si="10"/>
        <v>0</v>
      </c>
      <c r="J74" s="1677">
        <f t="shared" si="10"/>
        <v>0</v>
      </c>
      <c r="K74" s="1677">
        <f t="shared" si="10"/>
        <v>1187130</v>
      </c>
      <c r="L74" s="1677">
        <f>SUM(L42,L47,L53,L57,L65,L72,L73)</f>
        <v>1179367</v>
      </c>
    </row>
    <row r="75" spans="1:14" s="259" customFormat="1" ht="15.75" customHeight="1" thickTop="1" thickBot="1" x14ac:dyDescent="0.25">
      <c r="A75" s="1610" t="s">
        <v>47</v>
      </c>
      <c r="B75" s="1611" t="s">
        <v>575</v>
      </c>
      <c r="C75" s="573"/>
      <c r="D75" s="573"/>
      <c r="E75" s="573">
        <v>29135</v>
      </c>
      <c r="F75" s="573"/>
      <c r="G75" s="573"/>
      <c r="H75" s="573"/>
      <c r="I75" s="531"/>
      <c r="J75" s="531"/>
      <c r="K75" s="1670">
        <f>SUM(C75:J75)</f>
        <v>29135</v>
      </c>
      <c r="L75" s="576">
        <v>38833</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3871</v>
      </c>
      <c r="I86" s="477"/>
      <c r="J86" s="477"/>
      <c r="K86" s="1677">
        <f t="shared" ref="K86:K98" si="12">H86</f>
        <v>3871</v>
      </c>
      <c r="L86" s="530">
        <v>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3871</v>
      </c>
      <c r="I92" s="477"/>
      <c r="J92" s="477"/>
      <c r="K92" s="1677">
        <f t="shared" si="12"/>
        <v>3871</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3871</v>
      </c>
      <c r="I102" s="477"/>
      <c r="J102" s="477"/>
      <c r="K102" s="1677">
        <f>SUM(K84,K92,K100,K101)</f>
        <v>3871</v>
      </c>
      <c r="L102" s="1677">
        <f>SUM(L84,L92,L100,L101)</f>
        <v>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3186756</v>
      </c>
      <c r="D114" s="1670">
        <f t="shared" ref="D114:K114" si="13">SUM(D33,D74,D75,D102,D112,D113)</f>
        <v>413362</v>
      </c>
      <c r="E114" s="1670">
        <f t="shared" si="13"/>
        <v>265316</v>
      </c>
      <c r="F114" s="1670">
        <f t="shared" si="13"/>
        <v>45488</v>
      </c>
      <c r="G114" s="1670">
        <f t="shared" si="13"/>
        <v>0</v>
      </c>
      <c r="H114" s="1670">
        <f>SUM(H33,H74,H75,H102,H112,H113)</f>
        <v>10352</v>
      </c>
      <c r="I114" s="1670">
        <f t="shared" si="13"/>
        <v>0</v>
      </c>
      <c r="J114" s="1670">
        <f t="shared" si="13"/>
        <v>0</v>
      </c>
      <c r="K114" s="1670">
        <f t="shared" si="13"/>
        <v>3921274</v>
      </c>
      <c r="L114" s="1670">
        <f>SUM(L33,L74,L75,L102,L112,L113)</f>
        <v>3833624</v>
      </c>
    </row>
    <row r="115" spans="1:14" ht="13.5" thickTop="1" x14ac:dyDescent="0.2">
      <c r="A115" s="2159" t="s">
        <v>996</v>
      </c>
      <c r="B115" s="2160"/>
      <c r="C115" s="618"/>
      <c r="D115" s="618"/>
      <c r="E115" s="618"/>
      <c r="F115" s="618"/>
      <c r="G115" s="618"/>
      <c r="H115" s="618"/>
      <c r="I115" s="618"/>
      <c r="J115" s="618"/>
      <c r="K115" s="1684">
        <f>'Revenues 9-14'!C268-'Expenditures 15-22'!K114</f>
        <v>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4" t="s">
        <v>296</v>
      </c>
      <c r="B117" s="2165"/>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78779</v>
      </c>
      <c r="D124" s="466">
        <v>6898</v>
      </c>
      <c r="E124" s="466">
        <v>42549</v>
      </c>
      <c r="F124" s="466">
        <v>39119</v>
      </c>
      <c r="G124" s="466">
        <v>16000</v>
      </c>
      <c r="H124" s="466"/>
      <c r="I124" s="467"/>
      <c r="J124" s="467"/>
      <c r="K124" s="1670">
        <f>SUM(C124:J124)</f>
        <v>183345</v>
      </c>
      <c r="L124" s="466">
        <v>173948</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78779</v>
      </c>
      <c r="D127" s="1670">
        <f t="shared" ref="D127:L127" si="14">SUM(D122:D126)</f>
        <v>6898</v>
      </c>
      <c r="E127" s="1670">
        <f t="shared" si="14"/>
        <v>42549</v>
      </c>
      <c r="F127" s="1670">
        <f t="shared" si="14"/>
        <v>39119</v>
      </c>
      <c r="G127" s="1670">
        <f t="shared" si="14"/>
        <v>16000</v>
      </c>
      <c r="H127" s="1670">
        <f t="shared" si="14"/>
        <v>0</v>
      </c>
      <c r="I127" s="1670">
        <f t="shared" si="14"/>
        <v>0</v>
      </c>
      <c r="J127" s="1670">
        <f t="shared" si="14"/>
        <v>0</v>
      </c>
      <c r="K127" s="1670">
        <f t="shared" si="14"/>
        <v>183345</v>
      </c>
      <c r="L127" s="1670">
        <f t="shared" si="14"/>
        <v>173948</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78779</v>
      </c>
      <c r="D129" s="1677">
        <f t="shared" ref="D129:L129" si="15">SUM(D120,D127,D128)</f>
        <v>6898</v>
      </c>
      <c r="E129" s="1677">
        <f t="shared" si="15"/>
        <v>42549</v>
      </c>
      <c r="F129" s="1677">
        <f t="shared" si="15"/>
        <v>39119</v>
      </c>
      <c r="G129" s="1677">
        <f t="shared" si="15"/>
        <v>16000</v>
      </c>
      <c r="H129" s="1677">
        <f t="shared" si="15"/>
        <v>0</v>
      </c>
      <c r="I129" s="1677">
        <f t="shared" si="15"/>
        <v>0</v>
      </c>
      <c r="J129" s="1677">
        <f t="shared" si="15"/>
        <v>0</v>
      </c>
      <c r="K129" s="1677">
        <f t="shared" si="15"/>
        <v>183345</v>
      </c>
      <c r="L129" s="1677">
        <f t="shared" si="15"/>
        <v>173948</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6" t="s">
        <v>620</v>
      </c>
      <c r="B151" s="2156"/>
      <c r="C151" s="1670">
        <f>SUM(C129,C130,C139,C149,C150)</f>
        <v>78779</v>
      </c>
      <c r="D151" s="1670">
        <f t="shared" ref="D151:K151" si="16">SUM(D129,D130,D139,D149,D150)</f>
        <v>6898</v>
      </c>
      <c r="E151" s="1670">
        <f t="shared" si="16"/>
        <v>42549</v>
      </c>
      <c r="F151" s="1670">
        <f t="shared" si="16"/>
        <v>39119</v>
      </c>
      <c r="G151" s="1670">
        <f t="shared" si="16"/>
        <v>16000</v>
      </c>
      <c r="H151" s="1670">
        <f t="shared" si="16"/>
        <v>0</v>
      </c>
      <c r="I151" s="1670">
        <f t="shared" si="16"/>
        <v>0</v>
      </c>
      <c r="J151" s="1670">
        <f t="shared" si="16"/>
        <v>0</v>
      </c>
      <c r="K151" s="1670">
        <f t="shared" si="16"/>
        <v>183345</v>
      </c>
      <c r="L151" s="1670">
        <f>SUM(L129,L130,L139,L149,L150)</f>
        <v>173948</v>
      </c>
    </row>
    <row r="152" spans="1:14" ht="12.75" customHeight="1" thickTop="1" x14ac:dyDescent="0.2">
      <c r="A152" s="2179" t="s">
        <v>1178</v>
      </c>
      <c r="B152" s="2180"/>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4" t="s">
        <v>621</v>
      </c>
      <c r="B154" s="2166"/>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9" t="s">
        <v>996</v>
      </c>
      <c r="B175" s="2160"/>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140793</v>
      </c>
      <c r="D182" s="466">
        <v>1050</v>
      </c>
      <c r="E182" s="466">
        <v>444232</v>
      </c>
      <c r="F182" s="466"/>
      <c r="G182" s="466"/>
      <c r="H182" s="466"/>
      <c r="I182" s="467"/>
      <c r="J182" s="467"/>
      <c r="K182" s="1671">
        <f>SUM(C182:J182)</f>
        <v>586075</v>
      </c>
      <c r="L182" s="466">
        <v>443184</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140793</v>
      </c>
      <c r="D184" s="1677">
        <f t="shared" ref="D184:J184" si="17">SUM(D180,D182,D183)</f>
        <v>1050</v>
      </c>
      <c r="E184" s="1677">
        <f t="shared" si="17"/>
        <v>444232</v>
      </c>
      <c r="F184" s="1677">
        <f t="shared" si="17"/>
        <v>0</v>
      </c>
      <c r="G184" s="1677">
        <f t="shared" si="17"/>
        <v>0</v>
      </c>
      <c r="H184" s="1677">
        <f t="shared" si="17"/>
        <v>0</v>
      </c>
      <c r="I184" s="1677">
        <f t="shared" si="17"/>
        <v>0</v>
      </c>
      <c r="J184" s="1677">
        <f t="shared" si="17"/>
        <v>0</v>
      </c>
      <c r="K184" s="1677">
        <f>SUM(K180,K182,K183)</f>
        <v>586075</v>
      </c>
      <c r="L184" s="1677">
        <f>SUM(L180, L182:L183)</f>
        <v>443184</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140793</v>
      </c>
      <c r="D210" s="1670">
        <f>SUM(D184,D185)</f>
        <v>1050</v>
      </c>
      <c r="E210" s="1670">
        <f>SUM(E184,E185,E196)</f>
        <v>444232</v>
      </c>
      <c r="F210" s="1670">
        <f>SUM(F184,F185)</f>
        <v>0</v>
      </c>
      <c r="G210" s="1670">
        <f>SUM(G184,G185)</f>
        <v>0</v>
      </c>
      <c r="H210" s="1670">
        <f>SUM(H184,H185,H196,H208,H209)</f>
        <v>0</v>
      </c>
      <c r="I210" s="1670">
        <f>SUM(I184,I185)</f>
        <v>0</v>
      </c>
      <c r="J210" s="1670">
        <f>SUM(J184,J185)</f>
        <v>0</v>
      </c>
      <c r="K210" s="1671">
        <f>SUM(K184,K185,K196,K208,K209)</f>
        <v>586075</v>
      </c>
      <c r="L210" s="1670">
        <f>SUM(L184,L185,L196,L208,L209)</f>
        <v>443184</v>
      </c>
    </row>
    <row r="211" spans="1:14" ht="13.5" thickTop="1" x14ac:dyDescent="0.2">
      <c r="A211" s="2159" t="s">
        <v>996</v>
      </c>
      <c r="B211" s="2160"/>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1" t="s">
        <v>965</v>
      </c>
      <c r="B213" s="2182"/>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135500</v>
      </c>
      <c r="E217" s="616"/>
      <c r="F217" s="616"/>
      <c r="G217" s="616"/>
      <c r="H217" s="616"/>
      <c r="I217" s="616"/>
      <c r="J217" s="616"/>
      <c r="K217" s="1671">
        <f t="shared" si="19"/>
        <v>135500</v>
      </c>
      <c r="L217" s="466">
        <v>166247</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2288</v>
      </c>
      <c r="E222" s="616"/>
      <c r="F222" s="616"/>
      <c r="G222" s="616"/>
      <c r="H222" s="616"/>
      <c r="I222" s="616"/>
      <c r="J222" s="616"/>
      <c r="K222" s="1671">
        <f t="shared" si="19"/>
        <v>2288</v>
      </c>
      <c r="L222" s="466">
        <v>2293</v>
      </c>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v>14579</v>
      </c>
      <c r="E224" s="616"/>
      <c r="F224" s="616"/>
      <c r="G224" s="616"/>
      <c r="H224" s="616"/>
      <c r="I224" s="616"/>
      <c r="J224" s="616"/>
      <c r="K224" s="1671">
        <f t="shared" si="19"/>
        <v>14579</v>
      </c>
      <c r="L224" s="466">
        <v>13541</v>
      </c>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152367</v>
      </c>
      <c r="E229" s="616"/>
      <c r="F229" s="616"/>
      <c r="G229" s="616"/>
      <c r="H229" s="616"/>
      <c r="I229" s="616"/>
      <c r="J229" s="616"/>
      <c r="K229" s="1670">
        <f>SUM(K215:K228)</f>
        <v>152367</v>
      </c>
      <c r="L229" s="1670">
        <f>SUM(L215:L228)</f>
        <v>182081</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839</v>
      </c>
      <c r="E232" s="616"/>
      <c r="F232" s="616"/>
      <c r="G232" s="616"/>
      <c r="H232" s="616"/>
      <c r="I232" s="616"/>
      <c r="J232" s="616"/>
      <c r="K232" s="1671">
        <f t="shared" ref="K232:K237" si="20">D232</f>
        <v>839</v>
      </c>
      <c r="L232" s="466">
        <v>550</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9932</v>
      </c>
      <c r="E234" s="616"/>
      <c r="F234" s="616"/>
      <c r="G234" s="616"/>
      <c r="H234" s="616"/>
      <c r="I234" s="616"/>
      <c r="J234" s="616"/>
      <c r="K234" s="1671">
        <f t="shared" si="20"/>
        <v>9932</v>
      </c>
      <c r="L234" s="466">
        <v>6185</v>
      </c>
    </row>
    <row r="235" spans="1:12" x14ac:dyDescent="0.2">
      <c r="A235" s="1504" t="s">
        <v>199</v>
      </c>
      <c r="B235" s="614">
        <v>2140</v>
      </c>
      <c r="C235" s="616"/>
      <c r="D235" s="466">
        <v>844</v>
      </c>
      <c r="E235" s="616"/>
      <c r="F235" s="616"/>
      <c r="G235" s="616"/>
      <c r="H235" s="616"/>
      <c r="I235" s="616"/>
      <c r="J235" s="616"/>
      <c r="K235" s="1671">
        <f t="shared" si="20"/>
        <v>844</v>
      </c>
      <c r="L235" s="466">
        <v>680</v>
      </c>
    </row>
    <row r="236" spans="1:12" x14ac:dyDescent="0.2">
      <c r="A236" s="1504" t="s">
        <v>200</v>
      </c>
      <c r="B236" s="614">
        <v>2150</v>
      </c>
      <c r="C236" s="616"/>
      <c r="D236" s="466">
        <v>2303</v>
      </c>
      <c r="E236" s="616"/>
      <c r="F236" s="616"/>
      <c r="G236" s="616"/>
      <c r="H236" s="616"/>
      <c r="I236" s="616"/>
      <c r="J236" s="616"/>
      <c r="K236" s="1671">
        <f t="shared" si="20"/>
        <v>2303</v>
      </c>
      <c r="L236" s="466">
        <v>2891</v>
      </c>
    </row>
    <row r="237" spans="1:12" x14ac:dyDescent="0.2">
      <c r="A237" s="1504" t="s">
        <v>165</v>
      </c>
      <c r="B237" s="614">
        <v>2190</v>
      </c>
      <c r="C237" s="616"/>
      <c r="D237" s="466">
        <v>35030</v>
      </c>
      <c r="E237" s="616"/>
      <c r="F237" s="616"/>
      <c r="G237" s="616"/>
      <c r="H237" s="616"/>
      <c r="I237" s="616"/>
      <c r="J237" s="616"/>
      <c r="K237" s="1671">
        <f t="shared" si="20"/>
        <v>35030</v>
      </c>
      <c r="L237" s="466">
        <v>34550</v>
      </c>
    </row>
    <row r="238" spans="1:12" ht="12.75" customHeight="1" thickBot="1" x14ac:dyDescent="0.25">
      <c r="A238" s="1668" t="s">
        <v>560</v>
      </c>
      <c r="B238" s="1675" t="s">
        <v>716</v>
      </c>
      <c r="C238" s="616"/>
      <c r="D238" s="1670">
        <f>SUM(D232:D237)</f>
        <v>48948</v>
      </c>
      <c r="E238" s="616"/>
      <c r="F238" s="616"/>
      <c r="G238" s="616"/>
      <c r="H238" s="616"/>
      <c r="I238" s="616"/>
      <c r="J238" s="616"/>
      <c r="K238" s="1670">
        <f>SUM(K232:K237)</f>
        <v>48948</v>
      </c>
      <c r="L238" s="1670">
        <f>SUM(L232:L237)</f>
        <v>44856</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96</v>
      </c>
      <c r="E240" s="616"/>
      <c r="F240" s="616"/>
      <c r="G240" s="616"/>
      <c r="H240" s="616"/>
      <c r="I240" s="616"/>
      <c r="J240" s="616"/>
      <c r="K240" s="1672">
        <f>D240</f>
        <v>96</v>
      </c>
      <c r="L240" s="481">
        <v>771</v>
      </c>
    </row>
    <row r="241" spans="1:12" x14ac:dyDescent="0.2">
      <c r="A241" s="1504" t="s">
        <v>815</v>
      </c>
      <c r="B241" s="614">
        <v>2220</v>
      </c>
      <c r="C241" s="616"/>
      <c r="D241" s="466"/>
      <c r="E241" s="616"/>
      <c r="F241" s="616"/>
      <c r="G241" s="616"/>
      <c r="H241" s="616"/>
      <c r="I241" s="616"/>
      <c r="J241" s="616"/>
      <c r="K241" s="1672">
        <f>D241</f>
        <v>0</v>
      </c>
      <c r="L241" s="466">
        <v>150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96</v>
      </c>
      <c r="E243" s="616"/>
      <c r="F243" s="616"/>
      <c r="G243" s="616"/>
      <c r="H243" s="616"/>
      <c r="I243" s="616"/>
      <c r="J243" s="616"/>
      <c r="K243" s="1670">
        <f>SUM(K240:K242)</f>
        <v>96</v>
      </c>
      <c r="L243" s="1670">
        <f>SUM(L240:L242)</f>
        <v>921</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672</v>
      </c>
      <c r="E245" s="616"/>
      <c r="F245" s="616"/>
      <c r="G245" s="616"/>
      <c r="H245" s="616"/>
      <c r="I245" s="616"/>
      <c r="J245" s="616"/>
      <c r="K245" s="1672">
        <f>D245</f>
        <v>672</v>
      </c>
      <c r="L245" s="481"/>
    </row>
    <row r="246" spans="1:12" x14ac:dyDescent="0.2">
      <c r="A246" s="1504" t="s">
        <v>818</v>
      </c>
      <c r="B246" s="614">
        <v>2320</v>
      </c>
      <c r="C246" s="616"/>
      <c r="D246" s="466">
        <v>149</v>
      </c>
      <c r="E246" s="616"/>
      <c r="F246" s="616"/>
      <c r="G246" s="616"/>
      <c r="H246" s="616"/>
      <c r="I246" s="616"/>
      <c r="J246" s="616"/>
      <c r="K246" s="1672">
        <f t="shared" ref="K246:K256" si="21">D246</f>
        <v>149</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821</v>
      </c>
      <c r="E257" s="616"/>
      <c r="F257" s="616"/>
      <c r="G257" s="616"/>
      <c r="H257" s="616"/>
      <c r="I257" s="616"/>
      <c r="J257" s="616"/>
      <c r="K257" s="1670">
        <f>SUM(K245:K256)</f>
        <v>821</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7516</v>
      </c>
      <c r="E259" s="616"/>
      <c r="F259" s="616"/>
      <c r="G259" s="616"/>
      <c r="H259" s="616"/>
      <c r="I259" s="616"/>
      <c r="J259" s="616"/>
      <c r="K259" s="1672">
        <f>D259</f>
        <v>7516</v>
      </c>
      <c r="L259" s="481">
        <v>8666</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7516</v>
      </c>
      <c r="E261" s="616"/>
      <c r="F261" s="616"/>
      <c r="G261" s="616"/>
      <c r="H261" s="616"/>
      <c r="I261" s="616"/>
      <c r="J261" s="616"/>
      <c r="K261" s="1670">
        <f>SUM(K259:K260)</f>
        <v>7516</v>
      </c>
      <c r="L261" s="1670">
        <f>SUM(L259:L260)</f>
        <v>8666</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97</v>
      </c>
      <c r="E263" s="616"/>
      <c r="F263" s="616"/>
      <c r="G263" s="616"/>
      <c r="H263" s="616"/>
      <c r="I263" s="616"/>
      <c r="J263" s="616"/>
      <c r="K263" s="1672">
        <f>D263</f>
        <v>97</v>
      </c>
      <c r="L263" s="481">
        <v>95</v>
      </c>
    </row>
    <row r="264" spans="1:14" x14ac:dyDescent="0.2">
      <c r="A264" s="1504" t="s">
        <v>463</v>
      </c>
      <c r="B264" s="685">
        <v>2520</v>
      </c>
      <c r="C264" s="616"/>
      <c r="D264" s="466">
        <v>1504</v>
      </c>
      <c r="E264" s="616"/>
      <c r="F264" s="616"/>
      <c r="G264" s="616"/>
      <c r="H264" s="616"/>
      <c r="I264" s="616"/>
      <c r="J264" s="616"/>
      <c r="K264" s="1672">
        <f t="shared" ref="K264:K269" si="22">D264</f>
        <v>1504</v>
      </c>
      <c r="L264" s="466">
        <v>1763</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12476</v>
      </c>
      <c r="E266" s="616"/>
      <c r="F266" s="616"/>
      <c r="G266" s="616"/>
      <c r="H266" s="616"/>
      <c r="I266" s="616"/>
      <c r="J266" s="616"/>
      <c r="K266" s="1672">
        <f t="shared" si="22"/>
        <v>12476</v>
      </c>
      <c r="L266" s="466">
        <v>11805</v>
      </c>
    </row>
    <row r="267" spans="1:14" x14ac:dyDescent="0.2">
      <c r="A267" s="1504" t="s">
        <v>953</v>
      </c>
      <c r="B267" s="614">
        <v>2550</v>
      </c>
      <c r="C267" s="616"/>
      <c r="D267" s="466">
        <v>22462</v>
      </c>
      <c r="E267" s="616"/>
      <c r="F267" s="616"/>
      <c r="G267" s="616"/>
      <c r="H267" s="616"/>
      <c r="I267" s="616"/>
      <c r="J267" s="616"/>
      <c r="K267" s="1672">
        <f t="shared" si="22"/>
        <v>22462</v>
      </c>
      <c r="L267" s="466">
        <v>18483</v>
      </c>
    </row>
    <row r="268" spans="1:14" x14ac:dyDescent="0.2">
      <c r="A268" s="1504" t="s">
        <v>100</v>
      </c>
      <c r="B268" s="614">
        <v>2560</v>
      </c>
      <c r="C268" s="616"/>
      <c r="D268" s="466">
        <v>1809</v>
      </c>
      <c r="E268" s="616"/>
      <c r="F268" s="616"/>
      <c r="G268" s="616"/>
      <c r="H268" s="616"/>
      <c r="I268" s="616"/>
      <c r="J268" s="616"/>
      <c r="K268" s="1672">
        <f t="shared" si="22"/>
        <v>1809</v>
      </c>
      <c r="L268" s="466">
        <v>1984</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38348</v>
      </c>
      <c r="E270" s="616"/>
      <c r="F270" s="616"/>
      <c r="G270" s="616"/>
      <c r="H270" s="616"/>
      <c r="I270" s="616"/>
      <c r="J270" s="616"/>
      <c r="K270" s="1670">
        <f>SUM(K263:K269)</f>
        <v>38348</v>
      </c>
      <c r="L270" s="1670">
        <f>SUM(L263:L269)</f>
        <v>34130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v>852</v>
      </c>
      <c r="E273" s="616"/>
      <c r="F273" s="616"/>
      <c r="G273" s="616"/>
      <c r="H273" s="616"/>
      <c r="I273" s="616"/>
      <c r="J273" s="616"/>
      <c r="K273" s="1672">
        <f>D273</f>
        <v>852</v>
      </c>
      <c r="L273" s="466">
        <v>1060</v>
      </c>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v>117</v>
      </c>
      <c r="E275" s="616"/>
      <c r="F275" s="616"/>
      <c r="G275" s="616"/>
      <c r="H275" s="616"/>
      <c r="I275" s="616"/>
      <c r="J275" s="616"/>
      <c r="K275" s="1672">
        <f>D275</f>
        <v>117</v>
      </c>
      <c r="L275" s="466">
        <v>118</v>
      </c>
    </row>
    <row r="276" spans="1:12" x14ac:dyDescent="0.2">
      <c r="A276" s="1504" t="s">
        <v>404</v>
      </c>
      <c r="B276" s="614">
        <v>2660</v>
      </c>
      <c r="C276" s="616"/>
      <c r="D276" s="466">
        <v>806</v>
      </c>
      <c r="E276" s="616"/>
      <c r="F276" s="616"/>
      <c r="G276" s="616"/>
      <c r="H276" s="616"/>
      <c r="I276" s="616"/>
      <c r="J276" s="616"/>
      <c r="K276" s="1672">
        <f>D276</f>
        <v>806</v>
      </c>
      <c r="L276" s="466">
        <v>872</v>
      </c>
    </row>
    <row r="277" spans="1:12" ht="12.75" customHeight="1" thickBot="1" x14ac:dyDescent="0.25">
      <c r="A277" s="1691" t="s">
        <v>37</v>
      </c>
      <c r="B277" s="1669" t="s">
        <v>36</v>
      </c>
      <c r="C277" s="616"/>
      <c r="D277" s="1670">
        <f>SUM(D272:D276)</f>
        <v>1775</v>
      </c>
      <c r="E277" s="616"/>
      <c r="F277" s="616"/>
      <c r="G277" s="616"/>
      <c r="H277" s="616"/>
      <c r="I277" s="616"/>
      <c r="J277" s="616"/>
      <c r="K277" s="1670">
        <f>SUM(K272:K276)</f>
        <v>1775</v>
      </c>
      <c r="L277" s="1670">
        <f>SUM(L272:L276)</f>
        <v>2050</v>
      </c>
    </row>
    <row r="278" spans="1:12" ht="13.5" customHeight="1" thickTop="1" x14ac:dyDescent="0.2">
      <c r="A278" s="1510" t="s">
        <v>980</v>
      </c>
      <c r="B278" s="655" t="s">
        <v>574</v>
      </c>
      <c r="C278" s="616"/>
      <c r="D278" s="656">
        <v>30</v>
      </c>
      <c r="E278" s="616"/>
      <c r="F278" s="616"/>
      <c r="G278" s="616"/>
      <c r="H278" s="616"/>
      <c r="I278" s="616"/>
      <c r="J278" s="616"/>
      <c r="K278" s="1685">
        <f>D278</f>
        <v>30</v>
      </c>
      <c r="L278" s="656">
        <v>4</v>
      </c>
    </row>
    <row r="279" spans="1:12" ht="12.75" customHeight="1" thickBot="1" x14ac:dyDescent="0.25">
      <c r="A279" s="1698" t="s">
        <v>811</v>
      </c>
      <c r="B279" s="1681">
        <v>2000</v>
      </c>
      <c r="C279" s="616"/>
      <c r="D279" s="1677">
        <f>SUM(D238,D243,D257,D261,D270,D277,D278)</f>
        <v>97534</v>
      </c>
      <c r="E279" s="616"/>
      <c r="F279" s="616"/>
      <c r="G279" s="616"/>
      <c r="H279" s="616"/>
      <c r="I279" s="616"/>
      <c r="J279" s="616"/>
      <c r="K279" s="1677">
        <f>SUM(K238,K243,K257,K261,K270,K277,K278)</f>
        <v>97534</v>
      </c>
      <c r="L279" s="1677">
        <f>SUM(L238,L243,L257,L261,L270,L277,L278)</f>
        <v>90627</v>
      </c>
    </row>
    <row r="280" spans="1:12" ht="15.75" customHeight="1" thickTop="1" thickBot="1" x14ac:dyDescent="0.25">
      <c r="A280" s="1624" t="s">
        <v>875</v>
      </c>
      <c r="B280" s="1613">
        <v>3000</v>
      </c>
      <c r="C280" s="616"/>
      <c r="D280" s="576"/>
      <c r="E280" s="616"/>
      <c r="F280" s="616"/>
      <c r="G280" s="616"/>
      <c r="H280" s="616"/>
      <c r="I280" s="616"/>
      <c r="J280" s="616"/>
      <c r="K280" s="1679">
        <f>D280</f>
        <v>0</v>
      </c>
      <c r="L280" s="576">
        <v>1820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7" t="s">
        <v>505</v>
      </c>
      <c r="B295" s="2178"/>
      <c r="C295" s="616"/>
      <c r="D295" s="1670">
        <f>SUM(D229,D279,D280,D285)</f>
        <v>249901</v>
      </c>
      <c r="E295" s="616"/>
      <c r="F295" s="616"/>
      <c r="G295" s="616"/>
      <c r="H295" s="1670">
        <f>H293</f>
        <v>0</v>
      </c>
      <c r="I295" s="616"/>
      <c r="J295" s="616"/>
      <c r="K295" s="1670">
        <f>SUM(K229,K279,K280,K285,K293,K294)</f>
        <v>249901</v>
      </c>
      <c r="L295" s="1670">
        <f>SUM(L229,L279,L280,L285,L293,L294)</f>
        <v>274528</v>
      </c>
    </row>
    <row r="296" spans="1:14" ht="13.5" thickTop="1" x14ac:dyDescent="0.2">
      <c r="A296" s="2159" t="s">
        <v>996</v>
      </c>
      <c r="B296" s="2160"/>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9" t="s">
        <v>143</v>
      </c>
      <c r="B298" s="2163"/>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4" t="s">
        <v>277</v>
      </c>
      <c r="B312" s="2175"/>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0" t="s">
        <v>996</v>
      </c>
      <c r="B313" s="2171"/>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3" t="s">
        <v>149</v>
      </c>
      <c r="B315" s="2184"/>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5" t="s">
        <v>898</v>
      </c>
      <c r="B317" s="2184"/>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SUM(L330,L334,L340,L341)</f>
        <v>0</v>
      </c>
    </row>
    <row r="343" spans="1:14" ht="12.75" customHeight="1" thickTop="1" x14ac:dyDescent="0.2">
      <c r="A343" s="2172" t="s">
        <v>996</v>
      </c>
      <c r="B343" s="2173"/>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2" t="s">
        <v>966</v>
      </c>
      <c r="B345" s="2163"/>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9" t="s">
        <v>996</v>
      </c>
      <c r="B368" s="2160"/>
      <c r="C368" s="654"/>
      <c r="D368" s="654"/>
      <c r="E368" s="626"/>
      <c r="F368" s="626"/>
      <c r="G368" s="626"/>
      <c r="H368" s="626"/>
      <c r="I368" s="626"/>
      <c r="J368" s="623"/>
      <c r="K368" s="1671">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http://purl.org/dc/dcmitype/"/>
    <ds:schemaRef ds:uri="http://purl.org/dc/elements/1.1/"/>
    <ds:schemaRef ds:uri="4d435f69-8686-490b-bd6d-b153bf22ab50"/>
    <ds:schemaRef ds:uri="http://purl.org/dc/terms/"/>
    <ds:schemaRef ds:uri="http://www.w3.org/XML/1998/namespace"/>
    <ds:schemaRef ds:uri="http://schemas.microsoft.com/office/2006/documentManagement/types"/>
    <ds:schemaRef ds:uri="http://schemas.openxmlformats.org/package/2006/metadata/core-properties"/>
    <ds:schemaRef ds:uri="http://schemas.microsoft.com/office/infopath/2007/PartnerControls"/>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2019-12-14T21:15:57Z</cp:lastPrinted>
  <dcterms:created xsi:type="dcterms:W3CDTF">2003-10-29T19:06:34Z</dcterms:created>
  <dcterms:modified xsi:type="dcterms:W3CDTF">2019-12-31T14:23:26Z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