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289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0" i="127" l="1"/>
  <c r="G15" i="12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B2976" i="106" s="1"/>
  <c r="D2976" i="106" s="1"/>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D27" i="108"/>
  <c r="E27" i="108"/>
  <c r="F27" i="108"/>
  <c r="G27" i="108"/>
  <c r="E28" i="108"/>
  <c r="F28" i="108"/>
  <c r="F31" i="108"/>
  <c r="F36" i="108"/>
  <c r="F37" i="108"/>
  <c r="G28" i="108"/>
  <c r="E29" i="108"/>
  <c r="E30" i="108"/>
  <c r="G30" i="108"/>
  <c r="D31" i="108"/>
  <c r="D36" i="108"/>
  <c r="D37" i="108"/>
  <c r="E31" i="108"/>
  <c r="G31" i="108"/>
  <c r="E33" i="108"/>
  <c r="G33" i="108"/>
  <c r="E34" i="108"/>
  <c r="G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22" i="37"/>
  <c r="J22" i="37"/>
  <c r="L22" i="37"/>
  <c r="L5" i="11"/>
  <c r="B2056" i="106" s="1"/>
  <c r="D2056" i="106" s="1"/>
  <c r="D9" i="7"/>
  <c r="B1767" i="106" s="1"/>
  <c r="D1767" i="106" s="1"/>
  <c r="G38" i="108" l="1"/>
  <c r="E38" i="108"/>
  <c r="H342" i="29"/>
  <c r="K28" i="118"/>
  <c r="O27" i="118" s="1"/>
  <c r="O29" i="118" s="1"/>
  <c r="L342" i="29"/>
  <c r="F46" i="34"/>
  <c r="B4268" i="106"/>
  <c r="D4268" i="106" s="1"/>
  <c r="F77" i="4"/>
  <c r="B3255" i="106" s="1"/>
  <c r="D3255" i="106" s="1"/>
  <c r="F44" i="34"/>
  <c r="J41" i="3"/>
  <c r="D51" i="36" s="1"/>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L16" i="11" l="1"/>
  <c r="B2061" i="106" s="1"/>
  <c r="D2061" i="106" s="1"/>
  <c r="C114" i="29"/>
  <c r="B757" i="106" s="1"/>
  <c r="D757" i="106" s="1"/>
  <c r="G170" i="5"/>
  <c r="D7256" i="106"/>
  <c r="D7251" i="106"/>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5778" i="106" l="1"/>
  <c r="D5778" i="106" s="1"/>
  <c r="G6" i="4"/>
  <c r="B2604" i="106" s="1"/>
  <c r="D2604"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8" i="4"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<sst xmlns="http://schemas.openxmlformats.org/spreadsheetml/2006/main" count="5080" uniqueCount="2100">
  <si>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</si>
  <si>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</si>
  <si>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</si>
  <si>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</si>
  <si>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</si>
  <si>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</si>
  <si>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</si>
  <si>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</si>
  <si>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</si>
  <si>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</si>
  <si>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</si>
  <si>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</si>
  <si>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</si>
  <si>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</si>
  <si>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</si>
  <si>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</si>
  <si>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</si>
  <si>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</si>
  <si>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</si>
  <si>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</si>
  <si>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</si>
  <si>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</si>
  <si>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</si>
  <si>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</si>
  <si>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</si>
  <si>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</si>
  <si>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</si>
  <si>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</si>
  <si>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</si>
  <si>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</si>
  <si>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</si>
  <si>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</si>
  <si>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</si>
  <si>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</si>
  <si>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</si>
  <si>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</si>
  <si>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</si>
  <si>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</si>
  <si>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</si>
  <si>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</si>
  <si>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</si>
  <si>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</si>
  <si>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</si>
  <si>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</si>
  <si>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</si>
  <si>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</si>
  <si>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</si>
  <si>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</si>
  <si>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</si>
  <si>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</si>
  <si>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</si>
  <si>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</si>
  <si>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</si>
  <si>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</si>
  <si>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</si>
  <si>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</si>
  <si>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</si>
  <si>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</si>
  <si>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</si>
  <si>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</si>
  <si>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</si>
  <si>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</si>
  <si>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</si>
  <si>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</si>
  <si>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</si>
  <si>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</si>
  <si>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</si>
  <si>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</si>
  <si>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</si>
  <si>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</si>
  <si>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</si>
  <si>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</si>
  <si>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</si>
  <si>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</si>
  <si>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</si>
  <si>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</si>
  <si>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</si>
  <si>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</si>
  <si>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</si>
  <si>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</si>
  <si>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</si>
  <si>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</si>
  <si>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</si>
  <si>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</si>
  <si>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</si>
  <si>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</si>
  <si>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</si>
  <si>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</si>
  <si>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</si>
  <si>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</si>
  <si>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</si>
  <si>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</si>
  <si>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</si>
  <si>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</si>
  <si>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</si>
  <si>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</si>
  <si>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</si>
  <si>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</si>
  <si>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</si>
  <si>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</si>
  <si>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</si>
  <si>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</si>
  <si>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</si>
  <si>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</si>
  <si>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</si>
  <si>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</si>
  <si>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</si>
  <si>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</si>
  <si>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</si>
  <si>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</si>
  <si>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</si>
  <si>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</si>
  <si>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</si>
  <si>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</si>
  <si>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</si>
  <si>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</si>
  <si>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</si>
  <si>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</si>
  <si>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</si>
  <si>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</si>
  <si>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</si>
  <si>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</si>
  <si>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</si>
  <si>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</si>
  <si>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</si>
  <si>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</si>
  <si>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</si>
  <si>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</si>
  <si>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</si>
  <si>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</si>
  <si>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</si>
  <si>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</si>
  <si>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</si>
  <si>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</si>
  <si>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</si>
  <si>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</si>
  <si>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</si>
  <si>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</si>
  <si>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</si>
  <si>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</si>
  <si>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</si>
  <si>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</si>
  <si>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</si>
  <si>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</si>
  <si>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</si>
  <si>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</si>
  <si>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</si>
  <si>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</si>
  <si>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</si>
  <si>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</si>
  <si>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</si>
  <si>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</si>
  <si>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</si>
  <si>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</si>
  <si>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</si>
  <si>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</si>
  <si>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</si>
  <si>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</si>
  <si>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</si>
  <si>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</si>
  <si>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</si>
  <si>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</si>
  <si>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</si>
  <si>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</si>
  <si>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</si>
  <si>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</si>
  <si>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</si>
  <si>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</si>
  <si>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</si>
  <si>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</si>
  <si>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</si>
  <si>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</si>
  <si>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</si>
  <si>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</si>
  <si>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</si>
  <si>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</si>
  <si>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</si>
  <si>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</si>
  <si>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</si>
  <si>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</si>
  <si>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</si>
  <si>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</si>
  <si>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</si>
  <si>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</si>
  <si>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</si>
  <si>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</si>
  <si>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</si>
  <si>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</si>
  <si>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</si>
  <si>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</si>
  <si>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</si>
  <si>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</si>
  <si>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</si>
  <si>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</si>
  <si>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</si>
  <si>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</si>
  <si>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</si>
  <si>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</si>
  <si>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</si>
  <si>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</si>
  <si>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</si>
  <si>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</si>
  <si>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</si>
  <si>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</si>
  <si>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</si>
  <si>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</si>
  <si>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</si>
  <si>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</si>
  <si>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</si>
  <si>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</si>
  <si>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</si>
  <si>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</si>
  <si>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</si>
  <si>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</si>
  <si>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</si>
  <si>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</si>
  <si>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</si>
  <si>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</si>
  <si>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</si>
  <si>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</si>
  <si>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</si>
  <si>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</si>
  <si>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</si>
  <si>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</si>
  <si>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</si>
  <si>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</si>
  <si>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</si>
  <si>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</si>
  <si>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</si>
  <si>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</si>
  <si>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</si>
  <si>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</si>
  <si>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</si>
  <si>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</si>
  <si>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</si>
  <si>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</si>
  <si>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</si>
  <si>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</si>
  <si>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</si>
  <si>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</si>
  <si>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</si>
  <si>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</si>
  <si>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</si>
  <si>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</si>
  <si>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</si>
  <si>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</si>
  <si>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</si>
  <si>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</si>
  <si>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</si>
  <si>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</si>
  <si>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</si>
  <si>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</si>
  <si>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</si>
  <si>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</si>
  <si>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</si>
  <si>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</si>
  <si>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</si>
  <si>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</si>
  <si>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</si>
  <si>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</si>
  <si>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</si>
  <si>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</si>
  <si>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</si>
  <si>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</si>
  <si>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</si>
  <si>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</si>
  <si>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</si>
  <si>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</si>
  <si>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</si>
  <si>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</si>
  <si>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</si>
  <si>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</si>
  <si>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</si>
  <si>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</si>
  <si>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</si>
  <si>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</si>
  <si>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</si>
  <si>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</si>
  <si>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</si>
  <si>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</si>
  <si>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</si>
  <si>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</si>
  <si>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</si>
  <si>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</si>
  <si>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</si>
  <si>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</si>
  <si>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</si>
  <si>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</si>
  <si>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</si>
  <si>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</si>
  <si>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</si>
  <si>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</si>
  <si>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</si>
  <si>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</si>
  <si>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</si>
  <si>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</si>
  <si>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</si>
  <si>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</si>
  <si>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</si>
  <si>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</si>
  <si>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</si>
  <si>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</si>
  <si>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</si>
  <si>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</si>
  <si>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</si>
  <si>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</si>
  <si>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</si>
  <si>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</si>
  <si>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</si>
  <si>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</si>
  <si>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</si>
  <si>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</si>
  <si>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</si>
  <si>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</si>
  <si>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</si>
  <si>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</si>
  <si>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</si>
  <si>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</si>
  <si>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</si>
  <si>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</si>
  <si>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</si>
  <si>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</si>
  <si>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</si>
  <si>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</si>
  <si>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</si>
  <si>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</si>
  <si>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</si>
  <si>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</si>
  <si>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</si>
  <si>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</si>
  <si>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</si>
  <si>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</si>
  <si>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</si>
  <si>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</si>
  <si>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</si>
  <si>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</si>
  <si>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</si>
  <si>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</si>
  <si>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</si>
  <si>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</si>
  <si>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</si>
  <si>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</si>
  <si>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</si>
  <si>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</si>
  <si>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</si>
  <si>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</si>
  <si>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</si>
  <si>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</si>
  <si>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</si>
  <si>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</si>
  <si>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</si>
  <si>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</si>
  <si>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</si>
  <si>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</si>
  <si>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</si>
  <si>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</si>
  <si>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</si>
  <si>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</si>
  <si>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</si>
  <si>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</si>
  <si>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</si>
  <si>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</si>
  <si>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</si>
  <si>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</si>
  <si>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</si>
  <si>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</si>
  <si>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</si>
  <si>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</si>
  <si>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</si>
  <si>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</si>
  <si>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</si>
  <si>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</si>
  <si>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</si>
  <si>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</si>
  <si>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</si>
  <si>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</si>
  <si>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</si>
  <si>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</si>
  <si>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</si>
  <si>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</si>
  <si>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</si>
  <si>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</si>
  <si>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</si>
  <si>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</si>
  <si>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</si>
  <si>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</si>
  <si>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</si>
  <si>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</si>
  <si>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</si>
  <si>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</si>
  <si>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</si>
  <si>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</si>
  <si>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</si>
  <si>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</si>
  <si>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</si>
  <si>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</si>
  <si>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</si>
  <si>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</si>
  <si>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</si>
  <si>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</si>
  <si>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</si>
  <si>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</si>
  <si>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</si>
  <si>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</si>
  <si>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</si>
  <si>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</si>
  <si>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</si>
  <si>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</si>
  <si>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</si>
  <si>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</si>
  <si>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</si>
  <si>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</si>
  <si>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</si>
  <si>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</si>
  <si>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</si>
  <si>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</si>
  <si>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</si>
  <si>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</si>
  <si>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</si>
  <si>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</si>
  <si>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</si>
  <si>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</si>
  <si>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</si>
  <si>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</si>
  <si>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</si>
  <si>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</si>
  <si>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</si>
  <si>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</si>
  <si>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</si>
  <si>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</si>
  <si>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</si>
  <si>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</si>
  <si>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</si>
  <si>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</si>
  <si>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</si>
  <si>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</si>
  <si>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</si>
  <si>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</si>
  <si>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</si>
  <si>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</si>
  <si>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</si>
  <si>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</si>
  <si>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</si>
  <si>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</si>
  <si>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</si>
  <si>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</si>
  <si>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</si>
  <si>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</si>
  <si>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</si>
  <si>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</si>
  <si>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</si>
  <si>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</si>
  <si>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</si>
  <si>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</si>
  <si>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</si>
  <si>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</si>
  <si>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</si>
  <si>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</si>
  <si>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</si>
  <si>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</si>
  <si>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</si>
  <si>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</si>
  <si>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</si>
  <si>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</si>
  <si>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</si>
  <si>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</si>
  <si>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</si>
  <si>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</si>
  <si>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</si>
  <si>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</si>
  <si>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</si>
  <si>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</si>
  <si>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</si>
  <si>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</si>
  <si>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</si>
  <si>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</si>
  <si>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</si>
  <si>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</si>
  <si>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</si>
  <si>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</si>
  <si>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</si>
  <si>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</si>
  <si>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</si>
  <si>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</si>
  <si>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</si>
  <si>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</si>
  <si>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</si>
  <si>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</si>
  <si>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</si>
  <si>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</si>
  <si>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</si>
  <si>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</si>
  <si>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</si>
  <si>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</si>
  <si>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</si>
  <si>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</si>
  <si>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</si>
  <si>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</si>
  <si>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</si>
  <si>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</si>
  <si>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</si>
  <si>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</si>
  <si>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</si>
  <si>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</si>
  <si>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</si>
  <si>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</si>
  <si>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</si>
  <si>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</si>
  <si>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</si>
  <si>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</si>
  <si>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</si>
  <si>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</si>
  <si>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</si>
  <si>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</si>
  <si>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</si>
  <si>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</si>
  <si>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</si>
  <si>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</si>
  <si>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</si>
  <si>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</si>
  <si>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</si>
  <si>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</si>
  <si>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</si>
  <si>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</si>
  <si>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</si>
  <si>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</si>
  <si>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</si>
  <si>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</si>
  <si>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</si>
  <si>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</si>
  <si>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</si>
  <si>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</si>
  <si>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</si>
  <si>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</si>
  <si>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</si>
  <si>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</si>
  <si>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</si>
  <si>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</si>
  <si>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</si>
  <si>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</si>
  <si>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</si>
  <si>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</si>
  <si>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</si>
  <si>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</si>
  <si>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</si>
  <si>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</si>
  <si>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</si>
  <si>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</si>
  <si>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</si>
  <si>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</si>
  <si>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</si>
  <si>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</si>
  <si>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</si>
  <si>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</si>
  <si>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</si>
  <si>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</si>
  <si>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</si>
  <si>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</si>
  <si>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</si>
  <si>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</si>
  <si>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</si>
  <si>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</si>
  <si>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</si>
  <si>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</si>
  <si>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</si>
  <si>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</si>
  <si>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</si>
  <si>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</si>
  <si>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</si>
  <si>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</si>
  <si>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</si>
  <si>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</si>
  <si>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</si>
  <si>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</si>
  <si>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</si>
  <si>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</si>
  <si>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</si>
  <si>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</si>
  <si>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</si>
  <si>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</si>
  <si>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</si>
  <si>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</si>
  <si>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</si>
  <si>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</si>
  <si>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</si>
  <si>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</si>
  <si>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</si>
  <si>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</si>
  <si>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</si>
  <si>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</si>
  <si>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</si>
  <si>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</si>
  <si>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</si>
  <si>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</si>
  <si>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</si>
  <si>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</si>
  <si>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</si>
  <si>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</si>
  <si>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</si>
  <si>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</si>
  <si>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</si>
  <si>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</si>
  <si>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</si>
  <si>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</si>
  <si>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</si>
  <si>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</si>
  <si>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</si>
  <si>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</si>
  <si>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</si>
  <si>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</si>
  <si>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</si>
  <si>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</si>
  <si>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</si>
  <si>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</si>
  <si>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</si>
  <si>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</si>
  <si>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</si>
  <si>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</si>
  <si>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</si>
  <si>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</si>
  <si>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</si>
  <si>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</si>
  <si>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</si>
  <si>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</si>
  <si>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</si>
  <si>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</si>
  <si>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</si>
  <si>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</si>
  <si>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</si>
  <si>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</si>
  <si>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</si>
  <si>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</si>
  <si>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</si>
  <si>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</si>
  <si>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</si>
  <si>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</si>
  <si>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</si>
  <si>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</si>
  <si>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</si>
  <si>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</si>
  <si>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</si>
  <si>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</si>
  <si>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</si>
  <si>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</si>
  <si>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</si>
  <si>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</si>
  <si>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</si>
  <si>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</si>
  <si>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</si>
  <si>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</si>
  <si>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</si>
  <si>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</si>
  <si>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</si>
  <si>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</si>
  <si>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</si>
  <si>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</si>
  <si>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</si>
  <si>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</si>
  <si>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</si>
  <si>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</si>
  <si>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</si>
  <si>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</si>
  <si>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</si>
  <si>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</si>
  <si>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</si>
  <si>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</si>
  <si>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</si>
  <si>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</si>
  <si>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</si>
  <si>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</si>
  <si>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</si>
  <si>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</si>
  <si>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</si>
  <si>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</si>
  <si>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</si>
  <si>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</si>
  <si>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</si>
  <si>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</si>
  <si>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</si>
  <si>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</si>
  <si>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</si>
  <si>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</si>
  <si>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</si>
  <si>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</si>
  <si>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</si>
  <si>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</si>
  <si>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</si>
  <si>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</si>
  <si>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</si>
  <si>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</si>
  <si>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</si>
  <si>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</si>
  <si>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</si>
  <si>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</si>
  <si>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</si>
  <si>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</si>
  <si>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</si>
  <si>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</si>
  <si>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</si>
  <si>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</si>
  <si>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</si>
  <si>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</si>
  <si>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</si>
  <si>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</si>
  <si>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</si>
  <si>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</si>
  <si>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</si>
  <si>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</si>
  <si>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</si>
  <si>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</si>
  <si>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</si>
  <si>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</si>
  <si>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</si>
  <si>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</si>
  <si>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</si>
  <si>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</si>
  <si>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</si>
  <si>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</si>
  <si>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</si>
  <si>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</si>
  <si>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</si>
  <si>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</si>
  <si>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</si>
  <si>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</si>
  <si>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</si>
  <si>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</si>
  <si>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</si>
  <si>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</si>
  <si>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</si>
  <si>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</si>
  <si>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</si>
  <si>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</si>
  <si>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</si>
  <si>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</si>
  <si>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</si>
  <si>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</si>
  <si>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</si>
  <si>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</si>
  <si>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</si>
  <si>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</si>
  <si>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</si>
  <si>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</si>
  <si>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</si>
  <si>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</si>
  <si>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</si>
  <si>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</si>
  <si>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</si>
  <si>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</si>
  <si>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</si>
  <si>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</si>
  <si>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</si>
  <si>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</si>
  <si>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</si>
  <si>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</si>
  <si>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</si>
  <si>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</si>
  <si>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</si>
  <si>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</si>
  <si>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</si>
  <si>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</si>
  <si>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</si>
  <si>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</si>
  <si>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</si>
  <si>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</si>
  <si>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</si>
  <si>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</si>
  <si>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</si>
  <si>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</si>
  <si>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</si>
  <si>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</si>
  <si>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</si>
  <si>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</si>
  <si>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</si>
  <si>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</si>
  <si>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</si>
  <si>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</si>
  <si>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</si>
  <si>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</si>
  <si>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</si>
  <si>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</si>
  <si>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</si>
  <si>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</si>
  <si>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</si>
  <si>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</si>
  <si>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</si>
  <si>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</si>
  <si>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</si>
  <si>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</si>
  <si>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</si>
  <si>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</si>
  <si>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</si>
  <si>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</si>
  <si>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</si>
  <si>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</si>
  <si>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</si>
  <si>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</si>
  <si>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</si>
  <si>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</si>
  <si>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</si>
  <si>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</si>
  <si>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</si>
  <si>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</si>
  <si>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</si>
  <si>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</si>
  <si>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</si>
  <si>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</si>
  <si>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</si>
  <si>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</si>
  <si>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</si>
  <si>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</si>
  <si>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</si>
  <si>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</si>
  <si>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</si>
  <si>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</si>
  <si>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</si>
  <si>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</si>
  <si>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</si>
  <si>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</si>
  <si>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</si>
  <si>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</si>
  <si>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</si>
  <si>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</si>
  <si>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</si>
  <si>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</si>
  <si>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</si>
  <si>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</si>
  <si>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</si>
  <si>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</si>
  <si>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</si>
  <si>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</si>
  <si>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</si>
  <si>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</si>
  <si>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</si>
  <si>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</si>
  <si>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</si>
  <si>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</si>
  <si>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</si>
  <si>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</si>
  <si>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</si>
  <si>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</si>
  <si>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</si>
  <si>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</si>
  <si>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</si>
  <si>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</si>
  <si>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</si>
  <si>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</si>
  <si>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</si>
  <si>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</si>
  <si>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</si>
  <si>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</si>
  <si>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</si>
  <si>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</si>
  <si>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</si>
  <si>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</si>
  <si>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</si>
  <si>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</si>
  <si>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</si>
  <si>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</si>
  <si>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</si>
  <si>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</si>
  <si>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</si>
  <si>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</si>
  <si>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</si>
  <si>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</si>
  <si>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</si>
  <si>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</si>
  <si>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</si>
  <si>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</si>
  <si>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</si>
  <si>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</si>
  <si>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</si>
  <si>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</si>
  <si>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</si>
  <si>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</si>
  <si>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</si>
  <si>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</si>
  <si>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</si>
  <si>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</si>
  <si>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</si>
  <si>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</si>
  <si>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</si>
  <si>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</si>
  <si>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</si>
  <si>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</si>
  <si>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</si>
  <si>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</si>
  <si>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</si>
  <si>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</si>
  <si>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</si>
  <si>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</si>
  <si>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</si>
  <si>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</si>
  <si>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</si>
  <si>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</si>
  <si>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</si>
  <si>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</si>
  <si>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</si>
  <si>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</si>
  <si>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</si>
  <si>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</si>
  <si>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</si>
  <si>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</si>
  <si>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</si>
  <si>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</si>
  <si>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</si>
  <si>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</si>
  <si>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</si>
  <si>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</si>
  <si>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</si>
  <si>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</si>
  <si>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</si>
  <si>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</si>
  <si>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</si>
  <si>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</si>
  <si>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</si>
  <si>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</si>
  <si>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</si>
  <si>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</si>
  <si>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</si>
  <si>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</si>
  <si>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</si>
  <si>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</si>
  <si>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</si>
  <si>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</si>
  <si>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</si>
  <si>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</si>
  <si>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</si>
  <si>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</si>
  <si>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</si>
  <si>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</si>
  <si>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</si>
  <si>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</si>
  <si>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</si>
  <si>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</si>
  <si>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</si>
  <si>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</si>
  <si>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</si>
  <si>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</si>
  <si>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</si>
  <si>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</si>
  <si>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</si>
  <si>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</si>
  <si>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</si>
  <si>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</si>
  <si>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</si>
  <si>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</si>
  <si>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</si>
  <si>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</si>
  <si>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</si>
  <si>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</si>
  <si>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</si>
  <si>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</si>
  <si>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</si>
  <si>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</si>
  <si>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</si>
  <si>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</si>
  <si>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</si>
  <si>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</si>
  <si>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</si>
  <si>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</si>
  <si>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</si>
  <si>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</si>
  <si>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</si>
  <si>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</si>
  <si>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</si>
  <si>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</si>
  <si>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</si>
  <si>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</si>
  <si>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</si>
  <si>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</si>
  <si>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</si>
  <si>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</si>
  <si>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</si>
  <si>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</si>
  <si>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</si>
  <si>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</si>
  <si>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</si>
  <si>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</si>
  <si>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</si>
  <si>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</si>
  <si>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</si>
  <si>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</si>
  <si>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</si>
  <si>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</si>
  <si>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</si>
  <si>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</si>
  <si>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</si>
  <si>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</si>
  <si>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</si>
  <si>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</si>
  <si>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</si>
  <si>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</si>
  <si>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</si>
  <si>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</si>
  <si>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</si>
  <si>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</si>
  <si>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</si>
  <si>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</si>
  <si>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</si>
  <si>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</si>
  <si>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</si>
  <si>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</si>
  <si>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</si>
  <si>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</si>
  <si>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</si>
  <si>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</si>
  <si>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</si>
  <si>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</si>
  <si>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</si>
  <si>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</si>
  <si>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</si>
  <si>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</si>
  <si>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</si>
  <si>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</si>
  <si>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</si>
  <si>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</si>
  <si>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</si>
  <si>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</si>
  <si>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</si>
  <si>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</si>
  <si>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</si>
  <si>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</si>
  <si>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</si>
  <si>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</si>
  <si>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</si>
  <si>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</si>
  <si>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</si>
  <si>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</si>
  <si>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</si>
  <si>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</si>
  <si>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</si>
  <si>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</si>
  <si>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</si>
  <si>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</si>
  <si>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</si>
  <si>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</si>
  <si>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</si>
  <si>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</si>
  <si>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</si>
  <si>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</si>
  <si>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</si>
  <si>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</si>
  <si>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</si>
  <si>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</si>
  <si>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</si>
  <si>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</si>
  <si>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</si>
  <si>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</si>
  <si>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</si>
  <si>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</si>
  <si>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</si>
  <si>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</si>
  <si>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</si>
  <si>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</si>
  <si>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</si>
  <si>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</si>
  <si>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</si>
  <si>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</si>
  <si>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</si>
  <si>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</si>
  <si>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</si>
  <si>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</si>
  <si>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</si>
  <si>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</si>
  <si>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</si>
  <si>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</si>
  <si>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</si>
  <si>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</si>
  <si>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</si>
  <si>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</si>
  <si>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</si>
  <si>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</si>
  <si>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</si>
  <si>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</si>
  <si>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</si>
  <si>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</si>
  <si>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</si>
  <si>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</si>
  <si>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</si>
  <si>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</si>
  <si>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</si>
  <si>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</si>
  <si>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</si>
  <si>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</si>
  <si>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</si>
  <si>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</si>
  <si>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</si>
  <si>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</si>
  <si>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</si>
  <si>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</si>
  <si>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</si>
  <si>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</si>
  <si>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</si>
  <si>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</si>
  <si>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</si>
  <si>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</si>
  <si>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</si>
  <si>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</si>
  <si>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</si>
  <si>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</si>
  <si>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</si>
  <si>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</si>
  <si>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</si>
  <si>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</si>
  <si>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</si>
  <si>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</si>
  <si>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</si>
  <si>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</si>
  <si>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</si>
  <si>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</si>
  <si>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</si>
  <si>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</si>
  <si>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</si>
  <si>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</si>
  <si>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</si>
  <si>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</si>
  <si>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</si>
  <si>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</si>
  <si>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</si>
  <si>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</si>
  <si>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</si>
  <si>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</si>
  <si>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</si>
  <si>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</si>
  <si>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</si>
  <si>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</si>
  <si>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</si>
  <si>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</si>
  <si>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</si>
  <si>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</si>
  <si>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</si>
  <si>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</si>
  <si>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</si>
  <si>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</si>
  <si>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</si>
  <si>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</si>
  <si>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</si>
  <si>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</si>
  <si>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</si>
  <si>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</si>
  <si>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</si>
  <si>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</si>
  <si>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</si>
  <si>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</si>
  <si>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</si>
  <si>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</si>
  <si>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</si>
  <si>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</si>
  <si>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</si>
  <si>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</si>
  <si>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</si>
  <si>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</si>
  <si>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</si>
  <si>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</si>
  <si>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</si>
  <si>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</si>
  <si>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</si>
  <si>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</si>
  <si>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</si>
  <si>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</si>
  <si>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</si>
  <si>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</si>
  <si>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</si>
  <si>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</si>
  <si>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</si>
  <si>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</si>
  <si>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</si>
  <si>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</si>
  <si>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</si>
  <si>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</si>
  <si>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</si>
  <si>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</si>
  <si>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</si>
  <si>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</si>
  <si>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</si>
  <si>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</si>
  <si>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</si>
  <si>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</si>
  <si>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</si>
  <si>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</si>
  <si>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</si>
  <si>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</si>
  <si>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</si>
  <si>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</si>
  <si>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</si>
  <si>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</si>
  <si>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</si>
  <si>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</si>
  <si>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</si>
  <si>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</si>
  <si>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</si>
  <si>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</si>
  <si>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</si>
  <si>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</si>
  <si>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</si>
  <si>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</si>
  <si>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</si>
  <si>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</si>
  <si>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</si>
  <si>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</si>
  <si>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</si>
  <si>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</si>
  <si>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</si>
  <si>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</si>
  <si>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</si>
  <si>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</si>
  <si>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</si>
  <si>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</si>
  <si>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</si>
  <si>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</si>
  <si>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</si>
  <si>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</si>
  <si>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</si>
  <si>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</si>
  <si>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</si>
  <si>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</si>
  <si>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</si>
  <si>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</si>
  <si>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</si>
  <si>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</si>
  <si>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</si>
  <si>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</si>
  <si>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</si>
  <si>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</si>
  <si>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</si>
  <si>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</si>
  <si>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</si>
  <si>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</si>
  <si>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</si>
  <si>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</si>
  <si>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</si>
  <si>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</si>
  <si>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</si>
  <si>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</si>
  <si>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</si>
  <si>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</si>
  <si>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</si>
  <si>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</si>
  <si>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</si>
  <si>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</si>
  <si>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</si>
  <si>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</si>
  <si>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</si>
  <si>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</si>
  <si>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</si>
  <si>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</si>
  <si>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</si>
  <si>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</si>
  <si>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</si>
  <si>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</si>
  <si>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</si>
  <si>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</si>
  <si>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</si>
  <si>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</si>
  <si>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</si>
  <si>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</si>
  <si>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</si>
  <si>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</si>
  <si>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</si>
  <si>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</si>
  <si>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</si>
  <si>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</si>
  <si>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</si>
  <si>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</si>
  <si>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</si>
  <si>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</si>
  <si>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</si>
  <si>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</si>
  <si>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</si>
  <si>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</si>
  <si>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</si>
  <si>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</si>
  <si>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</si>
  <si>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</si>
  <si>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</si>
  <si>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</si>
  <si>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</si>
  <si>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</si>
  <si>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</si>
  <si>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</si>
  <si>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</si>
  <si>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</si>
  <si>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</si>
  <si>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</si>
  <si>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</si>
  <si>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</si>
  <si>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</si>
  <si>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</si>
  <si>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</si>
  <si>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</si>
  <si>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</si>
  <si>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</si>
  <si>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</si>
  <si>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</si>
  <si>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</si>
  <si>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</si>
  <si>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</si>
  <si>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</si>
  <si>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</si>
  <si>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</si>
  <si>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</si>
  <si>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</si>
  <si>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</si>
  <si>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</si>
  <si>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</si>
  <si>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</si>
  <si>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</si>
  <si>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</si>
  <si>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</si>
  <si>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</si>
  <si>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</si>
  <si>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</si>
  <si>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</si>
  <si>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</si>
  <si>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</si>
  <si>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</si>
  <si>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</si>
  <si>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</si>
  <si>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</si>
  <si>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</si>
  <si>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</si>
  <si>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</si>
  <si>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</si>
  <si>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</si>
  <si>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</si>
  <si>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</si>
  <si>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</si>
  <si>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</si>
  <si>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</si>
  <si>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</si>
  <si>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</si>
  <si>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</si>
  <si>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</si>
  <si>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</si>
  <si>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</si>
  <si>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</si>
  <si>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</si>
  <si>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</si>
  <si>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</si>
  <si>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</si>
  <si>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</si>
  <si>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</si>
  <si>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</si>
  <si>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</si>
  <si>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</si>
  <si>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</si>
  <si>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</si>
  <si>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</si>
  <si>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</si>
  <si>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</si>
  <si>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</si>
  <si>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</si>
  <si>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</si>
  <si>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</si>
  <si>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</si>
  <si>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</si>
  <si>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</si>
  <si>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</si>
  <si>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</si>
  <si>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</si>
  <si>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</si>
  <si>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</si>
  <si>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</si>
  <si>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</si>
  <si>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</si>
  <si>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</si>
  <si>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</si>
  <si>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</si>
  <si>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</si>
  <si>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</si>
  <si>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</si>
  <si>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</si>
  <si>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</si>
  <si>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</si>
  <si>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</si>
  <si>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</si>
  <si>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</si>
  <si>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</si>
  <si>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</si>
  <si>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</si>
  <si>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</si>
  <si>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</si>
  <si>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</si>
  <si>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</si>
  <si>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</si>
  <si>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</si>
  <si>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</si>
  <si>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</si>
  <si>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</si>
  <si>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</si>
  <si>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</si>
  <si>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</si>
  <si>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</si>
  <si>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</si>
  <si>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</si>
  <si>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</si>
  <si>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</si>
  <si>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</si>
  <si>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</si>
  <si>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</si>
  <si>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</si>
  <si>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</si>
  <si>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</si>
  <si>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</si>
  <si>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</si>
  <si>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</si>
  <si>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</si>
  <si>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</si>
  <si>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</si>
  <si>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</si>
  <si>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</si>
  <si>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</si>
  <si>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</si>
  <si>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</si>
  <si>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</si>
  <si>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</si>
  <si>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</si>
  <si>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</si>
  <si>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</si>
  <si>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</si>
  <si>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</si>
  <si>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</si>
  <si>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</si>
  <si>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</si>
  <si>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</si>
  <si>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</si>
  <si>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</si>
  <si>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</si>
  <si>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</si>
  <si>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</si>
  <si>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</si>
  <si>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</si>
  <si>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</si>
  <si>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</si>
  <si>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</si>
  <si>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</si>
  <si>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</si>
  <si>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</si>
  <si>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</si>
  <si>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</si>
  <si>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</si>
  <si>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</si>
  <si>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</si>
  <si>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</si>
  <si>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</si>
  <si>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</si>
  <si>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</si>
  <si>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</si>
  <si>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</si>
  <si>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</si>
  <si>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</si>
  <si>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</si>
  <si>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</si>
  <si>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</si>
  <si>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</si>
  <si>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</si>
  <si>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</si>
  <si>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</si>
  <si>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</si>
  <si>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</si>
  <si>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</si>
  <si>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</si>
  <si>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</si>
  <si>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</si>
  <si>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</si>
  <si>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</si>
  <si>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</si>
  <si>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</si>
  <si>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</si>
  <si>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</si>
  <si>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</si>
  <si>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</si>
  <si>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</si>
  <si>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</si>
  <si>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</si>
  <si>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</si>
  <si>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</si>
  <si>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</si>
  <si>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</si>
  <si>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</si>
  <si>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</si>
  <si>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</si>
  <si>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</si>
  <si>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</si>
  <si>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</si>
  <si>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</si>
  <si>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</si>
  <si>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</si>
  <si>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</si>
  <si>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</si>
  <si>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</si>
  <si>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</si>
  <si>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</si>
  <si>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</si>
  <si>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</si>
  <si>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</si>
  <si>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</si>
  <si>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</si>
  <si>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</si>
  <si>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</si>
  <si>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</si>
  <si>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</si>
  <si>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</si>
  <si>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</si>
  <si>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</si>
  <si>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</si>
  <si>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</si>
  <si>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</si>
  <si>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</si>
  <si>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</si>
  <si>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</si>
  <si>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</si>
  <si>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</si>
  <si>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</si>
  <si>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</si>
  <si>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</si>
  <si>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</si>
  <si>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</si>
  <si>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</si>
  <si>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</si>
  <si>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</si>
  <si>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</si>
  <si>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</si>
  <si>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</si>
  <si>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</si>
  <si>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</si>
  <si>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</si>
  <si>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</si>
  <si>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</si>
  <si>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</si>
  <si>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</si>
  <si>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</si>
  <si>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</si>
  <si>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</si>
  <si>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</si>
  <si>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</si>
  <si>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</si>
  <si>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</si>
  <si>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</si>
  <si>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</si>
  <si>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</si>
  <si>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</si>
  <si>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</si>
  <si>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</si>
  <si>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</si>
  <si>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</si>
  <si>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</si>
  <si>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</si>
  <si>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</si>
  <si>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</si>
  <si>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</si>
  <si>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</si>
  <si>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</si>
  <si>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</si>
  <si>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</si>
  <si>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</si>
  <si>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</si>
  <si>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</si>
  <si>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</si>
  <si>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</si>
  <si>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</si>
  <si>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</si>
  <si>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</si>
  <si>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</si>
  <si>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</si>
  <si>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</si>
  <si>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</si>
  <si>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</si>
  <si>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</si>
  <si>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</si>
  <si>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</si>
  <si>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</si>
  <si>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</si>
  <si>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</si>
  <si>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</si>
  <si>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</si>
  <si>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</si>
  <si>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</si>
  <si>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</si>
  <si>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</si>
  <si>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</si>
  <si>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</si>
  <si>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</si>
  <si>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</si>
  <si>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</si>
  <si>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</si>
  <si>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</si>
  <si>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</si>
  <si>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</si>
  <si>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</si>
  <si>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</si>
  <si>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</si>
  <si>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</si>
  <si>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</si>
  <si>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</si>
  <si>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</si>
  <si>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</si>
  <si>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</si>
  <si>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</si>
  <si>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</si>
  <si>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</si>
  <si>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</si>
  <si>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</si>
  <si>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</si>
  <si>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</si>
  <si>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</si>
  <si>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</si>
  <si>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</si>
  <si>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</si>
  <si>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</si>
  <si>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</si>
  <si>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</si>
  <si>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</si>
  <si>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</si>
  <si>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</si>
  <si>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</si>
  <si>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</si>
  <si>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</si>
  <si>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</si>
  <si>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</si>
  <si>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</si>
  <si>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</si>
  <si>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</si>
  <si>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</si>
  <si>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</si>
  <si>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</si>
  <si>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</si>
  <si>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</si>
  <si>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</si>
  <si>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</si>
  <si>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</si>
  <si>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</si>
  <si>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</si>
  <si>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</si>
  <si>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</si>
  <si>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</si>
  <si>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</si>
  <si>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</si>
  <si>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</si>
  <si>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</si>
  <si>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</si>
  <si>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</si>
  <si>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</si>
  <si>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</si>
  <si>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</si>
  <si>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</si>
  <si>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</si>
  <si>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</si>
  <si>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</si>
  <si>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</si>
  <si>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</si>
  <si>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</si>
  <si>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</si>
  <si>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</si>
  <si>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</si>
  <si>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</si>
  <si>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</si>
  <si>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</si>
  <si>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</si>
  <si>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</si>
  <si>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</si>
  <si>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</si>
  <si>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</si>
  <si>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</si>
  <si>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</si>
  <si>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</si>
  <si>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</si>
  <si>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</si>
  <si>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</si>
  <si>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</si>
  <si>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</si>
  <si>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</si>
  <si>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</si>
  <si>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</si>
  <si>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</si>
  <si>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</si>
  <si>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</si>
  <si>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</si>
  <si>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</si>
  <si>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</si>
  <si>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</si>
  <si>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</si>
  <si>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</si>
  <si>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</si>
  <si>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</si>
  <si>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</si>
  <si>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</si>
  <si>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</si>
  <si>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</si>
  <si>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</si>
  <si>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</si>
  <si>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</si>
  <si>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</si>
  <si>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</si>
  <si>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</si>
  <si>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</si>
  <si>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</si>
  <si>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</si>
  <si>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</si>
  <si>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</si>
  <si>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</si>
  <si>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</si>
  <si>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</si>
  <si>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</si>
  <si>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</si>
  <si>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</si>
  <si>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</si>
  <si>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</si>
  <si>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</si>
  <si>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</si>
  <si>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</si>
  <si>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</si>
  <si>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</si>
  <si>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</si>
  <si>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</si>
  <si>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</si>
  <si>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</si>
  <si>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</si>
  <si>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</si>
  <si>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</si>
  <si>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</si>
  <si>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</si>
  <si>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</si>
  <si>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</si>
  <si>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</si>
  <si>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</si>
  <si>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</si>
  <si>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</si>
  <si>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</si>
  <si>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</si>
  <si>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</si>
  <si>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</si>
  <si>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</si>
  <si>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</si>
  <si>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</si>
  <si>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</si>
  <si>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</si>
  <si>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</si>
  <si>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</si>
  <si>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</si>
  <si>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</si>
  <si>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</si>
  <si>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</si>
  <si>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</si>
  <si>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</si>
  <si>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</si>
  <si>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</si>
  <si>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</si>
  <si>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</si>
  <si>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</si>
  <si>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</si>
  <si>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</si>
  <si>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</si>
  <si>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</si>
  <si>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</si>
  <si>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</si>
  <si>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</si>
  <si>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</si>
  <si>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</si>
  <si>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</si>
  <si>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</si>
  <si>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</si>
  <si>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</si>
  <si>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</si>
  <si>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</si>
  <si>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</si>
  <si>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</si>
  <si>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</si>
  <si>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</si>
  <si>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</si>
  <si>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</si>
  <si>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</si>
  <si>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</si>
  <si>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</si>
  <si>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</si>
  <si>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</si>
  <si>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</si>
  <si>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</si>
  <si>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</si>
  <si>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</si>
  <si>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</si>
  <si>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</si>
  <si>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</si>
  <si>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</si>
  <si>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</si>
  <si>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</si>
  <si>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</si>
  <si>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</si>
  <si>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</si>
  <si>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</si>
  <si>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</si>
  <si>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</si>
  <si>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</si>
  <si>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</si>
  <si>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</si>
  <si>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</si>
  <si>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</si>
  <si>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</si>
  <si>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</si>
  <si>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</si>
  <si>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</si>
  <si>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</si>
  <si>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</si>
  <si>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</si>
  <si>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</si>
  <si>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</si>
  <si>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</si>
  <si>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</si>
  <si>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</si>
  <si>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</si>
  <si>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</si>
  <si>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</si>
  <si>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</si>
  <si>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</si>
  <si>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</si>
  <si>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</si>
  <si>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</si>
  <si>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</si>
  <si>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</si>
  <si>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</si>
  <si>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</si>
  <si>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</si>
  <si>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</si>
  <si>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</si>
  <si>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</si>
  <si>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</si>
  <si>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</si>
  <si>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</si>
  <si>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</si>
  <si>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</si>
  <si>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</si>
  <si>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</si>
  <si>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</si>
  <si>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</si>
  <si>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</si>
  <si>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</si>
  <si>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</si>
  <si>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</si>
  <si>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</si>
  <si>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</si>
  <si>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</si>
  <si>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</si>
  <si>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</si>
  <si>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</si>
  <si>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</si>
  <si>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</si>
  <si>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</si>
  <si>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</si>
  <si>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</si>
  <si>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</si>
  <si>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</si>
  <si>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</si>
  <si>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</si>
  <si>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</si>
  <si>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</si>
  <si>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</si>
  <si>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</si>
  <si>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</si>
  <si>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</si>
  <si>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</si>
  <si>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</si>
  <si>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</si>
  <si>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</si>
  <si>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</si>
  <si>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</si>
  <si>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</si>
  <si>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</si>
  <si>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</si>
  <si>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</si>
  <si>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</si>
  <si>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</si>
  <si>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</si>
  <si>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</si>
  <si>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</si>
  <si>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</si>
  <si>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</si>
  <si>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</si>
  <si>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</si>
  <si>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</si>
  <si>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</si>
  <si>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</si>
  <si>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</si>
  <si>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</si>
  <si>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</si>
  <si>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</si>
  <si>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</si>
  <si>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</si>
  <si>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</si>
  <si>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</si>
  <si>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</si>
  <si>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</si>
  <si>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</si>
  <si>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</si>
  <si>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</si>
  <si>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</si>
  <si>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</si>
  <si>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</si>
  <si>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</si>
  <si>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</si>
  <si>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</si>
  <si>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</si>
  <si>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</si>
  <si>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</si>
  <si>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</si>
  <si>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</si>
  <si>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</si>
  <si>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</si>
  <si>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</si>
  <si>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</si>
  <si>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</si>
  <si>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</si>
  <si>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</si>
  <si>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</si>
  <si>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</si>
  <si>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</si>
  <si>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</si>
  <si>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</si>
  <si>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</si>
  <si>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</si>
  <si>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</si>
  <si>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</si>
  <si>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</si>
  <si>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</si>
  <si>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</si>
  <si>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</si>
  <si>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</si>
  <si>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</si>
  <si>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</si>
  <si>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</si>
  <si>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</si>
  <si>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</si>
  <si>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</si>
  <si>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</si>
  <si>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</si>
  <si>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</si>
  <si>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</si>
  <si>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</si>
  <si>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</si>
  <si>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</si>
  <si>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</si>
  <si>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</si>
  <si>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</si>
  <si>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</si>
  <si>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</si>
  <si>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</si>
  <si>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</si>
  <si>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</si>
  <si>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</si>
  <si>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</si>
  <si>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</si>
  <si>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</si>
  <si>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</si>
  <si>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</si>
  <si>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</si>
  <si>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</si>
  <si>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</si>
  <si>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</si>
  <si>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</si>
  <si>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</si>
  <si>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</si>
  <si>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</si>
  <si>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</si>
  <si>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</si>
  <si>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</si>
  <si>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</si>
  <si>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</si>
  <si>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</si>
  <si>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</si>
  <si>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</si>
  <si>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</si>
  <si>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</si>
  <si>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</si>
  <si>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</si>
  <si>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</si>
  <si>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</si>
  <si>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</si>
  <si>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</si>
  <si>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</si>
  <si>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</si>
  <si>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</si>
  <si>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</si>
  <si>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</si>
  <si>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</si>
  <si>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</si>
  <si>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</si>
  <si>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</si>
  <si>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</si>
  <si>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</si>
  <si>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</si>
  <si>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</si>
  <si>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</si>
  <si>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</si>
  <si>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</si>
  <si>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</si>
  <si>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</si>
  <si>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</si>
  <si>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</si>
  <si>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</si>
  <si>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</si>
  <si>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</si>
  <si>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</si>
  <si>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</si>
  <si>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</si>
  <si>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</si>
  <si>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</si>
  <si>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</si>
  <si>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</si>
  <si>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</si>
  <si>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</si>
  <si>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</si>
  <si>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</si>
  <si>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</si>
  <si>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</si>
  <si>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</si>
  <si>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</si>
  <si>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</si>
  <si>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</si>
  <si>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</si>
  <si>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</si>
  <si>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</si>
  <si>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</si>
  <si>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</si>
  <si>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</si>
  <si>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</si>
  <si>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</si>
  <si>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</si>
  <si>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</si>
  <si>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</si>
  <si>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</si>
  <si>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</si>
  <si>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</si>
  <si>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</si>
  <si>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</si>
  <si>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</si>
  <si>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</si>
  <si>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</si>
  <si>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</si>
  <si>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</si>
  <si>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</si>
  <si>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</si>
  <si>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</si>
  <si>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</si>
  <si>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</si>
  <si>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</si>
  <si>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</si>
  <si>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</si>
  <si>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</si>
  <si>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</si>
  <si>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</si>
  <si>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</si>
  <si>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</si>
  <si>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</si>
  <si>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</si>
  <si>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</si>
  <si>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</si>
  <si>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</si>
  <si>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</si>
  <si>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</si>
  <si>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</si>
  <si>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</si>
  <si>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</si>
  <si>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</si>
  <si>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</si>
  <si>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</si>
  <si>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</si>
  <si>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</si>
  <si>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</si>
  <si>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</si>
  <si>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</si>
  <si>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</si>
  <si>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</si>
  <si>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</si>
  <si>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</si>
  <si>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x</t>
  </si>
  <si>
    <t>Winnebago</t>
  </si>
  <si>
    <t>300 Heart Blvd</t>
  </si>
  <si>
    <t>Loves Park</t>
  </si>
  <si>
    <t>815-636-3060</t>
  </si>
  <si>
    <t>815-636-3069</t>
  </si>
  <si>
    <t>X</t>
  </si>
  <si>
    <t>Regional Office of Education (group health insurance)</t>
  </si>
  <si>
    <t>Regional Office of Education (bookkeeping, payroll, etc)</t>
  </si>
  <si>
    <t>See List Below</t>
  </si>
  <si>
    <t>Regional Office of Education</t>
  </si>
  <si>
    <t>Hononegah, South Beloit, Oregon, Belvidere, Byron, Winnebago, Harlem, Rockford Public Schools, Meridian</t>
  </si>
  <si>
    <t>No contracts over $25,000</t>
  </si>
  <si>
    <t>Account</t>
  </si>
  <si>
    <t>Page</t>
  </si>
  <si>
    <t>Line #</t>
  </si>
  <si>
    <t>Directors Salaries</t>
  </si>
  <si>
    <t>Directors Employee Benefits</t>
  </si>
  <si>
    <t>Directors Purchased Services</t>
  </si>
  <si>
    <t>Interventionist Salaries</t>
  </si>
  <si>
    <t>Interventionist Employee Benefits</t>
  </si>
  <si>
    <t>Interventionist Purchased Services</t>
  </si>
  <si>
    <t>Scott Bloomquist</t>
  </si>
  <si>
    <t>sbloomquist@kidsroe.org</t>
  </si>
  <si>
    <t>Benning Group, LLC</t>
  </si>
  <si>
    <t>Scott Bloomquist - Regional Superintendent</t>
  </si>
  <si>
    <t>Boone-Winnebago Regional Alt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</si>
</sst>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74" fillId="0" borderId="0" xfId="0" applyFont="1" applyAlignment="1">
      <alignment horizontal="center"/>
    </xf>
    <xf numFmtId="0" fontId="56" fillId="0" borderId="0" xfId="0" applyFont="1" applyAlignment="1">
      <alignment horizontal="center"/>
    </xf>
    <xf numFmtId="181" fontId="56" fillId="0" borderId="165" xfId="19" applyNumberFormat="1" applyFont="1" applyBorder="1"/>
    <xf numFmtId="182" fontId="56" fillId="0" borderId="0" xfId="1" applyNumberFormat="1" applyFo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978BC953-3854-40C9-B1BF-9FB69BF1B9D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T17" sqref="T17:AA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4" t="s">
        <v>405</v>
      </c>
      <c r="J1" s="1985"/>
      <c r="K1" s="1985"/>
      <c r="L1" s="1985"/>
      <c r="M1" s="1985"/>
      <c r="N1" s="1985"/>
      <c r="O1" s="1985"/>
      <c r="P1" s="1985"/>
      <c r="Q1" s="1985"/>
      <c r="R1" s="1985"/>
      <c r="S1" s="1985"/>
    </row>
    <row r="2" spans="1:28" ht="12" customHeight="1" x14ac:dyDescent="0.2">
      <c r="A2" s="47" t="s">
        <v>1993</v>
      </c>
      <c r="D2" s="48"/>
      <c r="I2" s="1986" t="s">
        <v>979</v>
      </c>
      <c r="J2" s="1985"/>
      <c r="K2" s="1985"/>
      <c r="L2" s="1985"/>
      <c r="M2" s="1985"/>
      <c r="N2" s="1985"/>
      <c r="O2" s="1985"/>
      <c r="P2" s="1985"/>
      <c r="Q2" s="1985"/>
      <c r="R2" s="1985"/>
      <c r="S2" s="1985"/>
    </row>
    <row r="3" spans="1:28" ht="12" customHeight="1" x14ac:dyDescent="0.2">
      <c r="A3" s="155" t="s">
        <v>1945</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c r="C5" s="26" t="s">
        <v>910</v>
      </c>
      <c r="D5" s="84"/>
      <c r="E5" s="84"/>
      <c r="H5" s="38"/>
      <c r="I5" s="1994" t="s">
        <v>680</v>
      </c>
      <c r="J5" s="1993"/>
      <c r="K5" s="1993"/>
      <c r="L5" s="1993"/>
      <c r="M5" s="1993"/>
      <c r="N5" s="1993"/>
      <c r="O5" s="1993"/>
      <c r="P5" s="1993"/>
      <c r="Q5" s="1993"/>
      <c r="R5" s="1993"/>
      <c r="S5" s="1993"/>
    </row>
    <row r="6" spans="1:28" ht="14.1" customHeight="1" x14ac:dyDescent="0.2">
      <c r="B6" s="104" t="s">
        <v>2073</v>
      </c>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t="s">
        <v>2073</v>
      </c>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9">
        <v>4004000051</v>
      </c>
      <c r="B13" s="2020"/>
      <c r="C13" s="2020"/>
      <c r="D13" s="2020"/>
      <c r="E13" s="2020"/>
      <c r="F13" s="2020"/>
      <c r="G13" s="2020"/>
      <c r="H13" s="2021"/>
      <c r="I13" s="31"/>
      <c r="J13" s="30"/>
      <c r="K13" s="28"/>
      <c r="L13" s="30"/>
      <c r="M13" s="30"/>
      <c r="N13" s="30"/>
      <c r="O13" s="30"/>
      <c r="P13" s="30"/>
      <c r="Q13" s="30"/>
      <c r="R13" s="30"/>
      <c r="S13" s="30"/>
      <c r="T13" s="2024" t="s">
        <v>2064</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2074</v>
      </c>
      <c r="B15" s="2022"/>
      <c r="C15" s="2022"/>
      <c r="D15" s="2022"/>
      <c r="E15" s="2022"/>
      <c r="F15" s="2022"/>
      <c r="G15" s="2022"/>
      <c r="H15" s="2023"/>
      <c r="T15" s="2028" t="s">
        <v>2065</v>
      </c>
      <c r="U15" s="1972"/>
      <c r="V15" s="1972"/>
      <c r="W15" s="1972"/>
      <c r="X15" s="1972"/>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2099</v>
      </c>
      <c r="B17" s="1979"/>
      <c r="C17" s="1979"/>
      <c r="D17" s="1979"/>
      <c r="E17" s="1979"/>
      <c r="F17" s="1979"/>
      <c r="G17" s="1979"/>
      <c r="H17" s="2004"/>
      <c r="T17" s="2035" t="s">
        <v>2066</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8" t="s">
        <v>2075</v>
      </c>
      <c r="B19" s="1964"/>
      <c r="C19" s="1964"/>
      <c r="D19" s="1964"/>
      <c r="E19" s="1964"/>
      <c r="F19" s="1964"/>
      <c r="G19" s="1964"/>
      <c r="H19" s="1944"/>
      <c r="I19" s="30"/>
      <c r="J19" s="99"/>
      <c r="K19" s="40"/>
      <c r="L19" s="38"/>
      <c r="M19" s="112" t="s">
        <v>315</v>
      </c>
      <c r="P19" s="27"/>
      <c r="Q19" s="27"/>
      <c r="R19" s="27"/>
      <c r="S19" s="31"/>
      <c r="T19" s="2018" t="s">
        <v>2067</v>
      </c>
      <c r="U19" s="1943"/>
      <c r="V19" s="1943"/>
      <c r="W19" s="1944"/>
      <c r="X19" s="2033" t="s">
        <v>2068</v>
      </c>
      <c r="Y19" s="2034"/>
      <c r="Z19" s="2031">
        <v>61032</v>
      </c>
      <c r="AA19" s="203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2076</v>
      </c>
      <c r="B21" s="1943"/>
      <c r="C21" s="1943"/>
      <c r="D21" s="1943"/>
      <c r="E21" s="1943"/>
      <c r="F21" s="1943"/>
      <c r="G21" s="1943"/>
      <c r="H21" s="1944"/>
      <c r="I21" s="1998" t="s">
        <v>678</v>
      </c>
      <c r="J21" s="1993"/>
      <c r="K21" s="1993"/>
      <c r="L21" s="1993"/>
      <c r="M21" s="1993"/>
      <c r="N21" s="1993"/>
      <c r="O21" s="1993"/>
      <c r="P21" s="1993"/>
      <c r="Q21" s="1993"/>
      <c r="R21" s="1993"/>
      <c r="S21" s="1999"/>
      <c r="T21" s="2042" t="s">
        <v>2069</v>
      </c>
      <c r="U21" s="2043"/>
      <c r="V21" s="2043"/>
      <c r="W21" s="2043"/>
      <c r="X21" s="2048" t="s">
        <v>2070</v>
      </c>
      <c r="Y21" s="2049"/>
      <c r="Z21" s="2049"/>
      <c r="AA21" s="2050"/>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c r="B23" s="1996"/>
      <c r="C23" s="1996"/>
      <c r="D23" s="1996"/>
      <c r="E23" s="1996"/>
      <c r="F23" s="1996"/>
      <c r="G23" s="1996"/>
      <c r="H23" s="1997"/>
      <c r="T23" s="1978" t="s">
        <v>2071</v>
      </c>
      <c r="U23" s="2041"/>
      <c r="V23" s="2041"/>
      <c r="W23" s="2041"/>
      <c r="X23" s="2045">
        <v>44530</v>
      </c>
      <c r="Y23" s="2046"/>
      <c r="Z23" s="2046"/>
      <c r="AA23" s="2047"/>
    </row>
    <row r="24" spans="1:27" ht="14.1" customHeight="1" x14ac:dyDescent="0.2">
      <c r="A24" s="88" t="s">
        <v>677</v>
      </c>
      <c r="B24" s="49"/>
      <c r="C24" s="49"/>
      <c r="D24" s="49"/>
      <c r="E24" s="49"/>
      <c r="F24" s="49"/>
      <c r="G24" s="49"/>
      <c r="H24" s="61"/>
      <c r="J24" s="1965" t="str">
        <f>IF(B5="x",IF(AUDITCHECK!D29="AFR form Incomplete.","",IF(AUDITCHECK!D29="Deficit reduction plan is required.","School District must complete a deficit reduction plan in the 2019-2020 Budget",)),"")</f>
        <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2">
        <v>61111</v>
      </c>
      <c r="B25" s="1943"/>
      <c r="C25" s="1943"/>
      <c r="D25" s="1943"/>
      <c r="E25" s="1943"/>
      <c r="F25" s="1943"/>
      <c r="G25" s="1943"/>
      <c r="H25" s="1944"/>
      <c r="I25" s="113"/>
      <c r="J25" s="1967"/>
      <c r="K25" s="1967"/>
      <c r="L25" s="1967"/>
      <c r="M25" s="1967"/>
      <c r="N25" s="1967"/>
      <c r="O25" s="1967"/>
      <c r="P25" s="1967"/>
      <c r="Q25" s="1967"/>
      <c r="R25" s="1967"/>
      <c r="S25" s="1968"/>
      <c r="T25" s="2038" t="s">
        <v>2072</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2079</v>
      </c>
      <c r="M29" s="40" t="s">
        <v>99</v>
      </c>
      <c r="N29" s="32" t="s">
        <v>1523</v>
      </c>
      <c r="O29" s="32"/>
      <c r="P29" s="32"/>
      <c r="Q29" s="32"/>
      <c r="R29" s="32"/>
      <c r="S29" s="123"/>
      <c r="T29" s="6"/>
      <c r="U29" s="6"/>
      <c r="V29" s="6"/>
      <c r="W29" s="6"/>
      <c r="X29" s="6"/>
      <c r="Y29" s="6"/>
      <c r="Z29" s="6"/>
      <c r="AA29" s="132"/>
    </row>
    <row r="30" spans="1:27" ht="13.5" customHeight="1" x14ac:dyDescent="0.2">
      <c r="A30" s="153"/>
      <c r="B30" s="136" t="s">
        <v>2079</v>
      </c>
      <c r="C30" s="124" t="s">
        <v>1164</v>
      </c>
      <c r="D30" s="28"/>
      <c r="E30" s="28"/>
      <c r="F30" s="140"/>
      <c r="G30" s="114"/>
      <c r="H30" s="114"/>
      <c r="I30" s="54"/>
      <c r="J30" s="102"/>
      <c r="K30" s="28" t="s">
        <v>576</v>
      </c>
      <c r="L30" s="148" t="s">
        <v>2079</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2079</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t="s">
        <v>2095</v>
      </c>
      <c r="B38" s="1979"/>
      <c r="C38" s="1979"/>
      <c r="D38" s="1979"/>
      <c r="E38" s="1979"/>
      <c r="F38" s="1943"/>
      <c r="G38" s="1943"/>
      <c r="H38" s="1944"/>
      <c r="I38" s="1971"/>
      <c r="J38" s="1972"/>
      <c r="K38" s="1972"/>
      <c r="L38" s="1972"/>
      <c r="M38" s="1972"/>
      <c r="N38" s="1972"/>
      <c r="O38" s="1972"/>
      <c r="P38" s="1973"/>
      <c r="Q38" s="1973"/>
      <c r="R38" s="1973"/>
      <c r="S38" s="1974"/>
      <c r="T38" s="2028" t="s">
        <v>2098</v>
      </c>
      <c r="U38" s="1972"/>
      <c r="V38" s="1972"/>
      <c r="W38" s="1972"/>
      <c r="X38" s="1973"/>
      <c r="Y38" s="1973"/>
      <c r="Z38" s="1973"/>
      <c r="AA38" s="1974"/>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t="s">
        <v>2096</v>
      </c>
      <c r="B40" s="1957"/>
      <c r="C40" s="1958"/>
      <c r="D40" s="1958"/>
      <c r="E40" s="1958"/>
      <c r="F40" s="1959"/>
      <c r="G40" s="1959"/>
      <c r="H40" s="1960"/>
      <c r="I40" s="1981"/>
      <c r="J40" s="1982"/>
      <c r="K40" s="1982"/>
      <c r="L40" s="1982"/>
      <c r="M40" s="1982"/>
      <c r="N40" s="1982"/>
      <c r="O40" s="1982"/>
      <c r="P40" s="1982"/>
      <c r="Q40" s="1982"/>
      <c r="R40" s="1982"/>
      <c r="S40" s="1983"/>
      <c r="T40" s="1981" t="s">
        <v>2096</v>
      </c>
      <c r="U40" s="2044"/>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t="s">
        <v>2077</v>
      </c>
      <c r="B42" s="1962"/>
      <c r="C42" s="1963"/>
      <c r="D42" s="1961" t="s">
        <v>2078</v>
      </c>
      <c r="E42" s="1962"/>
      <c r="F42" s="1962"/>
      <c r="G42" s="1962"/>
      <c r="H42" s="1963"/>
      <c r="I42" s="1945"/>
      <c r="J42" s="1946"/>
      <c r="K42" s="1946"/>
      <c r="L42" s="1946"/>
      <c r="M42" s="1946"/>
      <c r="N42" s="1946"/>
      <c r="O42" s="1947"/>
      <c r="P42" s="1980"/>
      <c r="Q42" s="1946"/>
      <c r="R42" s="1946"/>
      <c r="S42" s="1947"/>
      <c r="T42" s="1945" t="s">
        <v>2077</v>
      </c>
      <c r="U42" s="1946"/>
      <c r="V42" s="1946"/>
      <c r="W42" s="1947"/>
      <c r="X42" s="1980" t="s">
        <v>2078</v>
      </c>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S48" sqref="S48"/>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1802</v>
      </c>
      <c r="B2" s="1528" t="s">
        <v>1951</v>
      </c>
      <c r="C2" s="714" t="s">
        <v>1952</v>
      </c>
      <c r="D2" s="714" t="s">
        <v>1953</v>
      </c>
      <c r="E2" s="714" t="s">
        <v>1954</v>
      </c>
      <c r="F2" s="714" t="s">
        <v>1955</v>
      </c>
    </row>
    <row r="3" spans="1:6" ht="12" customHeight="1" x14ac:dyDescent="0.2">
      <c r="A3" s="2185"/>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S48" sqref="S4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1802</v>
      </c>
      <c r="B2" s="2212"/>
      <c r="C2" s="1884" t="s">
        <v>1956</v>
      </c>
      <c r="D2" s="723" t="s">
        <v>1957</v>
      </c>
      <c r="E2" s="723" t="s">
        <v>1958</v>
      </c>
      <c r="F2" s="1884" t="s">
        <v>1959</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5">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7" t="s">
        <v>631</v>
      </c>
      <c r="B15" s="2198"/>
      <c r="C15" s="1755">
        <f>SUM(C6:C14)</f>
        <v>0</v>
      </c>
      <c r="D15" s="1755">
        <f>SUM(D6:D14)</f>
        <v>0</v>
      </c>
      <c r="E15" s="1755">
        <f>SUM(E6:E14)</f>
        <v>0</v>
      </c>
      <c r="F15" s="1755">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5">
        <f>SUM(C17+D17)-E17</f>
        <v>0</v>
      </c>
    </row>
    <row r="18" spans="1:11" ht="12.75" customHeight="1" thickTop="1" thickBot="1" x14ac:dyDescent="0.25">
      <c r="A18" s="2192" t="s">
        <v>6</v>
      </c>
      <c r="B18" s="2193"/>
      <c r="C18" s="726"/>
      <c r="D18" s="585"/>
      <c r="E18" s="726"/>
      <c r="F18" s="1755">
        <f>SUM(C18+D18)-E18</f>
        <v>0</v>
      </c>
    </row>
    <row r="19" spans="1:11" ht="12.75" customHeight="1" thickTop="1" thickBot="1" x14ac:dyDescent="0.25">
      <c r="A19" s="2192" t="s">
        <v>388</v>
      </c>
      <c r="B19" s="2193"/>
      <c r="C19" s="726"/>
      <c r="D19" s="585"/>
      <c r="E19" s="726"/>
      <c r="F19" s="1755">
        <f>SUM(C19+D19)-E19</f>
        <v>0</v>
      </c>
    </row>
    <row r="20" spans="1:11" ht="12.75" customHeight="1" thickTop="1" thickBot="1" x14ac:dyDescent="0.25">
      <c r="A20" s="2192" t="s">
        <v>448</v>
      </c>
      <c r="B20" s="2193"/>
      <c r="C20" s="726"/>
      <c r="D20" s="585"/>
      <c r="E20" s="726"/>
      <c r="F20" s="1755">
        <f>SUM(C20+D20)-E20</f>
        <v>0</v>
      </c>
    </row>
    <row r="21" spans="1:11" ht="14.25" thickTop="1" thickBot="1" x14ac:dyDescent="0.25">
      <c r="A21" s="2197" t="s">
        <v>632</v>
      </c>
      <c r="B21" s="2198"/>
      <c r="C21" s="1755">
        <f>SUM(C17:C20)</f>
        <v>0</v>
      </c>
      <c r="D21" s="1755">
        <f>SUM(D17:D20)</f>
        <v>0</v>
      </c>
      <c r="E21" s="1755">
        <f>SUM(E17:E20)</f>
        <v>0</v>
      </c>
      <c r="F21" s="1755">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5">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5">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5">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6" t="s">
        <v>584</v>
      </c>
      <c r="C52" s="2187"/>
      <c r="D52" s="2187"/>
      <c r="E52" s="749" t="s">
        <v>845</v>
      </c>
      <c r="F52" s="2188"/>
      <c r="G52" s="2189"/>
      <c r="H52" s="736"/>
      <c r="I52" s="736"/>
      <c r="J52" s="746"/>
    </row>
    <row r="53" spans="1:11" ht="11.25" customHeight="1" x14ac:dyDescent="0.2">
      <c r="A53" s="750" t="s">
        <v>913</v>
      </c>
      <c r="B53" s="751" t="s">
        <v>951</v>
      </c>
      <c r="C53" s="746"/>
      <c r="D53" s="737"/>
      <c r="E53" s="749" t="s">
        <v>497</v>
      </c>
      <c r="F53" s="2190"/>
      <c r="G53" s="2191"/>
      <c r="H53" s="736"/>
      <c r="I53" s="736"/>
      <c r="J53" s="746"/>
    </row>
    <row r="54" spans="1:11" ht="11.25" customHeight="1" x14ac:dyDescent="0.2">
      <c r="A54" s="752" t="s">
        <v>914</v>
      </c>
      <c r="B54" s="747" t="s">
        <v>952</v>
      </c>
      <c r="C54" s="746"/>
      <c r="D54" s="737"/>
      <c r="E54" s="749" t="s">
        <v>498</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S48" sqref="S4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30"/>
      <c r="I1" s="760"/>
      <c r="J1" s="433"/>
    </row>
    <row r="2" spans="1:11" ht="26.25" x14ac:dyDescent="0.2">
      <c r="A2" s="2234" t="s">
        <v>1677</v>
      </c>
      <c r="B2" s="2235"/>
      <c r="C2" s="2235"/>
      <c r="D2" s="2235"/>
      <c r="E2" s="2236"/>
      <c r="F2" s="761" t="s">
        <v>904</v>
      </c>
      <c r="G2" s="762" t="s">
        <v>1674</v>
      </c>
      <c r="H2" s="762" t="s">
        <v>410</v>
      </c>
      <c r="I2" s="762" t="s">
        <v>1158</v>
      </c>
      <c r="J2" s="762" t="s">
        <v>1812</v>
      </c>
      <c r="K2" s="762" t="s">
        <v>138</v>
      </c>
    </row>
    <row r="3" spans="1:11" x14ac:dyDescent="0.2">
      <c r="A3" s="2237" t="s">
        <v>1964</v>
      </c>
      <c r="B3" s="2238"/>
      <c r="C3" s="2238"/>
      <c r="D3" s="2238"/>
      <c r="E3" s="2239"/>
      <c r="F3" s="763"/>
      <c r="G3" s="764"/>
      <c r="H3" s="764"/>
      <c r="I3" s="764"/>
      <c r="J3" s="765"/>
      <c r="K3" s="765"/>
    </row>
    <row r="4" spans="1:11" x14ac:dyDescent="0.2">
      <c r="A4" s="2240" t="s">
        <v>369</v>
      </c>
      <c r="B4" s="2241"/>
      <c r="C4" s="2241"/>
      <c r="D4" s="2241"/>
      <c r="E4" s="2187"/>
      <c r="F4" s="766"/>
      <c r="G4" s="767"/>
      <c r="H4" s="768"/>
      <c r="I4" s="767"/>
      <c r="J4" s="769"/>
      <c r="K4" s="769"/>
    </row>
    <row r="5" spans="1:11" x14ac:dyDescent="0.2">
      <c r="A5" s="2218" t="s">
        <v>1069</v>
      </c>
      <c r="B5" s="2219"/>
      <c r="C5" s="2219"/>
      <c r="D5" s="2219"/>
      <c r="E5" s="2220"/>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8" t="s">
        <v>1813</v>
      </c>
      <c r="B10" s="2219"/>
      <c r="C10" s="2219"/>
      <c r="D10" s="2219"/>
      <c r="E10" s="2221"/>
      <c r="F10" s="783" t="s">
        <v>862</v>
      </c>
      <c r="G10" s="782"/>
      <c r="H10" s="784"/>
      <c r="I10" s="764"/>
      <c r="J10" s="765"/>
      <c r="K10" s="765"/>
    </row>
    <row r="11" spans="1:11" x14ac:dyDescent="0.2">
      <c r="A11" s="2218" t="s">
        <v>160</v>
      </c>
      <c r="B11" s="2219"/>
      <c r="C11" s="2219"/>
      <c r="D11" s="2219"/>
      <c r="E11" s="2220"/>
      <c r="F11" s="770" t="s">
        <v>852</v>
      </c>
      <c r="G11" s="771"/>
      <c r="H11" s="764"/>
      <c r="I11" s="764"/>
      <c r="J11" s="765"/>
      <c r="K11" s="773"/>
    </row>
    <row r="12" spans="1:11" ht="13.5" thickBot="1" x14ac:dyDescent="0.25">
      <c r="A12" s="2245" t="s">
        <v>905</v>
      </c>
      <c r="B12" s="2246"/>
      <c r="C12" s="2246"/>
      <c r="D12" s="2246"/>
      <c r="E12" s="2247"/>
      <c r="F12" s="1757"/>
      <c r="G12" s="1758">
        <f>SUM(G5:G11)</f>
        <v>0</v>
      </c>
      <c r="H12" s="1758">
        <f>SUM(H5:H11)</f>
        <v>0</v>
      </c>
      <c r="I12" s="1758">
        <f>SUM(I5:I11)</f>
        <v>0</v>
      </c>
      <c r="J12" s="1758">
        <f>SUM(J5:J11)</f>
        <v>0</v>
      </c>
      <c r="K12" s="1758">
        <f>SUM(K5:K11)</f>
        <v>0</v>
      </c>
    </row>
    <row r="13" spans="1:11" ht="13.5" thickTop="1" x14ac:dyDescent="0.2">
      <c r="A13" s="2242" t="s">
        <v>370</v>
      </c>
      <c r="B13" s="2243"/>
      <c r="C13" s="2243"/>
      <c r="D13" s="2243"/>
      <c r="E13" s="2244"/>
      <c r="F13" s="785"/>
      <c r="G13" s="786"/>
      <c r="H13" s="787"/>
      <c r="I13" s="788"/>
      <c r="J13" s="788"/>
      <c r="K13" s="788"/>
    </row>
    <row r="14" spans="1:11" x14ac:dyDescent="0.2">
      <c r="A14" s="2225" t="s">
        <v>456</v>
      </c>
      <c r="B14" s="2225"/>
      <c r="C14" s="2225"/>
      <c r="D14" s="2225"/>
      <c r="E14" s="2226"/>
      <c r="F14" s="789" t="s">
        <v>854</v>
      </c>
      <c r="G14" s="782"/>
      <c r="H14" s="764"/>
      <c r="I14" s="771"/>
      <c r="J14" s="773"/>
      <c r="K14" s="765"/>
    </row>
    <row r="15" spans="1:11" x14ac:dyDescent="0.2">
      <c r="A15" s="2219" t="s">
        <v>4</v>
      </c>
      <c r="B15" s="2219"/>
      <c r="C15" s="2219"/>
      <c r="D15" s="2219"/>
      <c r="E15" s="2220"/>
      <c r="F15" s="789" t="s">
        <v>855</v>
      </c>
      <c r="G15" s="771"/>
      <c r="H15" s="764"/>
      <c r="I15" s="764"/>
      <c r="J15" s="765"/>
      <c r="K15" s="765"/>
    </row>
    <row r="16" spans="1:11" x14ac:dyDescent="0.2">
      <c r="A16" s="2219" t="s">
        <v>298</v>
      </c>
      <c r="B16" s="2219"/>
      <c r="C16" s="2219"/>
      <c r="D16" s="2219"/>
      <c r="E16" s="2220"/>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27" t="s">
        <v>1809</v>
      </c>
      <c r="B19" s="2227"/>
      <c r="C19" s="2227"/>
      <c r="D19" s="2227"/>
      <c r="E19" s="2228"/>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48" t="s">
        <v>638</v>
      </c>
      <c r="B21" s="2248"/>
      <c r="C21" s="2248"/>
      <c r="D21" s="2248"/>
      <c r="E21" s="2248"/>
      <c r="F21" s="1759"/>
      <c r="G21" s="792"/>
      <c r="H21" s="796"/>
      <c r="I21" s="796"/>
      <c r="J21" s="1760">
        <f>SUM(J18:J20)</f>
        <v>0</v>
      </c>
      <c r="K21" s="793"/>
    </row>
    <row r="22" spans="1:11" ht="13.5" thickTop="1" x14ac:dyDescent="0.2">
      <c r="A22" s="2219" t="s">
        <v>1815</v>
      </c>
      <c r="B22" s="2219"/>
      <c r="C22" s="2219"/>
      <c r="D22" s="2219"/>
      <c r="E22" s="2220"/>
      <c r="F22" s="789" t="s">
        <v>862</v>
      </c>
      <c r="G22" s="782"/>
      <c r="H22" s="764"/>
      <c r="I22" s="764"/>
      <c r="J22" s="797"/>
      <c r="K22" s="765"/>
    </row>
    <row r="23" spans="1:11" ht="13.5" thickBot="1" x14ac:dyDescent="0.25">
      <c r="A23" s="2249" t="s">
        <v>906</v>
      </c>
      <c r="B23" s="2248"/>
      <c r="C23" s="2248"/>
      <c r="D23" s="2248"/>
      <c r="E23" s="2248"/>
      <c r="F23" s="1761"/>
      <c r="G23" s="1758">
        <f>SUM(G14:G16,G21,G22)</f>
        <v>0</v>
      </c>
      <c r="H23" s="1758">
        <f>SUM(H14:H16,H21,H22)</f>
        <v>0</v>
      </c>
      <c r="I23" s="1758">
        <f>SUM(I14:I16,I21,I22)</f>
        <v>0</v>
      </c>
      <c r="J23" s="1758">
        <f>SUM(J14:J16,J21,J22)</f>
        <v>0</v>
      </c>
      <c r="K23" s="1758">
        <f>SUM(K14:K16,K21,K22)</f>
        <v>0</v>
      </c>
    </row>
    <row r="24" spans="1:11" ht="14.25" thickTop="1" thickBot="1" x14ac:dyDescent="0.25">
      <c r="A24" s="2249" t="s">
        <v>1965</v>
      </c>
      <c r="B24" s="2248"/>
      <c r="C24" s="2248"/>
      <c r="D24" s="2248"/>
      <c r="E24" s="224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S48" sqref="S4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1909</v>
      </c>
      <c r="B1" s="2255"/>
      <c r="C1" s="2256"/>
      <c r="D1" s="826"/>
      <c r="E1" s="827"/>
      <c r="F1" s="827"/>
      <c r="G1" s="828"/>
      <c r="H1" s="829"/>
      <c r="I1" s="830"/>
      <c r="J1" s="2252"/>
      <c r="K1" s="2253"/>
      <c r="L1" s="2253"/>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23863</v>
      </c>
      <c r="D12" s="844">
        <v>3159</v>
      </c>
      <c r="E12" s="844"/>
      <c r="F12" s="1760">
        <f>(C12+D12)-E12</f>
        <v>27022</v>
      </c>
      <c r="G12" s="843">
        <v>10</v>
      </c>
      <c r="H12" s="765">
        <v>8065</v>
      </c>
      <c r="I12" s="765">
        <v>2299</v>
      </c>
      <c r="J12" s="765"/>
      <c r="K12" s="1769">
        <f>(H12+I12)-J12</f>
        <v>10364</v>
      </c>
      <c r="L12" s="1769">
        <f>F12-K12</f>
        <v>16658</v>
      </c>
    </row>
    <row r="13" spans="1:14" ht="14.25" thickTop="1" thickBot="1" x14ac:dyDescent="0.25">
      <c r="A13" s="848" t="s">
        <v>1122</v>
      </c>
      <c r="B13" s="840">
        <v>252</v>
      </c>
      <c r="C13" s="844">
        <v>13844</v>
      </c>
      <c r="D13" s="844"/>
      <c r="E13" s="844"/>
      <c r="F13" s="1760">
        <f>(C13+D13)-E13</f>
        <v>13844</v>
      </c>
      <c r="G13" s="843">
        <v>5</v>
      </c>
      <c r="H13" s="765">
        <v>13284</v>
      </c>
      <c r="I13" s="765">
        <v>375</v>
      </c>
      <c r="J13" s="765"/>
      <c r="K13" s="1769">
        <f>(H13+I13)-J13</f>
        <v>13659</v>
      </c>
      <c r="L13" s="1769">
        <f>F13-K13</f>
        <v>185</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37707</v>
      </c>
      <c r="D16" s="1760">
        <f>SUM(D3,D5:D6,D8:D10,D12:D15)</f>
        <v>3159</v>
      </c>
      <c r="E16" s="1760">
        <f>SUM(E3,E5:E6,E8:E10,E12:E15)</f>
        <v>0</v>
      </c>
      <c r="F16" s="1760">
        <f>SUM(F3,F5:F6,F8:F10,F12:F15)</f>
        <v>40866</v>
      </c>
      <c r="G16" s="843"/>
      <c r="H16" s="1760">
        <f>SUM(H3,H6,H8:H10,H12:H14,)</f>
        <v>21349</v>
      </c>
      <c r="I16" s="1760">
        <f>SUM(I3,I6,I8:I10,I12:I14,)</f>
        <v>2674</v>
      </c>
      <c r="J16" s="1760">
        <f>SUM(J3,J6,J8:J10,J12:J14,)</f>
        <v>0</v>
      </c>
      <c r="K16" s="1760">
        <f>(H16+I16)-J16</f>
        <v>24023</v>
      </c>
      <c r="L16" s="1760">
        <f>F16-K16</f>
        <v>16843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2674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60" activePane="bottomLeft" state="frozen"/>
      <selection activeCell="S48" sqref="S48"/>
      <selection pane="bottomLeft" activeCell="S48" sqref="S4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1975</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971012</v>
      </c>
      <c r="G8" s="865"/>
    </row>
    <row r="9" spans="1:7" x14ac:dyDescent="0.2">
      <c r="A9" s="869" t="s">
        <v>460</v>
      </c>
      <c r="B9" s="870" t="s">
        <v>1877</v>
      </c>
      <c r="C9" s="871"/>
      <c r="D9" s="869" t="s">
        <v>501</v>
      </c>
      <c r="E9" s="868"/>
      <c r="F9" s="1909">
        <f>'Expenditures 15-22'!K151</f>
        <v>0</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0</v>
      </c>
      <c r="G11" s="872"/>
    </row>
    <row r="12" spans="1:7" x14ac:dyDescent="0.2">
      <c r="A12" s="869" t="s">
        <v>462</v>
      </c>
      <c r="B12" s="870" t="s">
        <v>1880</v>
      </c>
      <c r="C12" s="871"/>
      <c r="D12" s="869" t="s">
        <v>501</v>
      </c>
      <c r="E12" s="868"/>
      <c r="F12" s="1909">
        <f>'Expenditures 15-22'!K295</f>
        <v>0</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971012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0</v>
      </c>
      <c r="G53" s="865"/>
    </row>
    <row r="54" spans="1:7" x14ac:dyDescent="0.2">
      <c r="A54" s="869" t="s">
        <v>459</v>
      </c>
      <c r="B54" s="869" t="s">
        <v>1476</v>
      </c>
      <c r="C54" s="889" t="s">
        <v>982</v>
      </c>
      <c r="D54" s="885" t="s">
        <v>1095</v>
      </c>
      <c r="E54" s="868"/>
      <c r="F54" s="1913">
        <f>'Expenditures 15-22'!G114</f>
        <v>4007</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4007</v>
      </c>
      <c r="G76" s="865"/>
    </row>
    <row r="77" spans="1:8" s="893" customFormat="1" ht="12" customHeight="1" thickTop="1" thickBot="1" x14ac:dyDescent="0.25">
      <c r="A77" s="1779"/>
      <c r="B77" s="1776"/>
      <c r="C77" s="1772"/>
      <c r="D77" s="1777" t="s">
        <v>1900</v>
      </c>
      <c r="E77" s="1774"/>
      <c r="F77" s="1780">
        <f>(F14-F76)</f>
        <v>967005</v>
      </c>
      <c r="G77" s="869"/>
    </row>
    <row r="78" spans="1:8" s="893" customFormat="1" ht="12" customHeight="1" thickTop="1" x14ac:dyDescent="0.2">
      <c r="A78" s="1781"/>
      <c r="B78" s="1776"/>
      <c r="C78" s="1772"/>
      <c r="D78" s="1777" t="s">
        <v>2062</v>
      </c>
      <c r="E78" s="1774"/>
      <c r="F78" s="898">
        <v>0</v>
      </c>
      <c r="G78" s="899"/>
      <c r="H78" s="869"/>
    </row>
    <row r="79" spans="1:8" s="893" customFormat="1" ht="12" customHeight="1" thickBot="1" x14ac:dyDescent="0.25">
      <c r="A79" s="1782"/>
      <c r="B79" s="1776"/>
      <c r="C79" s="1772"/>
      <c r="D79" s="1777" t="s">
        <v>1901</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0</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0</v>
      </c>
    </row>
    <row r="175" spans="1:7" ht="12" customHeight="1" x14ac:dyDescent="0.2">
      <c r="A175" s="1770"/>
      <c r="B175" s="1784"/>
      <c r="C175" s="1785"/>
      <c r="D175" s="1786" t="s">
        <v>2057</v>
      </c>
      <c r="E175" s="1787"/>
      <c r="F175" s="1789">
        <f>'PCTC-OEPP 27-28'!F77-F174</f>
        <v>967005</v>
      </c>
    </row>
    <row r="176" spans="1:7" ht="12" customHeight="1" x14ac:dyDescent="0.2">
      <c r="A176" s="1770"/>
      <c r="B176" s="1784"/>
      <c r="C176" s="1785"/>
      <c r="D176" s="1786" t="s">
        <v>1817</v>
      </c>
      <c r="E176" s="1787"/>
      <c r="F176" s="1789">
        <f>'Cap Outlay Deprec 26'!I18</f>
        <v>2674</v>
      </c>
    </row>
    <row r="177" spans="1:7" ht="12" customHeight="1" x14ac:dyDescent="0.2">
      <c r="A177" s="1770"/>
      <c r="B177" s="1784"/>
      <c r="C177" s="1785"/>
      <c r="D177" s="1786" t="s">
        <v>2058</v>
      </c>
      <c r="E177" s="1787"/>
      <c r="F177" s="1789">
        <f>F175+F176</f>
        <v>969679</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2059</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S48" sqref="S4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534" t="s">
        <v>1819</v>
      </c>
      <c r="B6" s="1535"/>
      <c r="C6" s="1535"/>
      <c r="D6" s="1535"/>
      <c r="E6" s="1535"/>
      <c r="F6" s="1535"/>
      <c r="G6" s="1536"/>
    </row>
    <row r="7" spans="1:7" ht="30.75" customHeight="1" x14ac:dyDescent="0.25">
      <c r="A7" s="2277" t="s">
        <v>1932</v>
      </c>
      <c r="B7" s="2278"/>
      <c r="C7" s="2278"/>
      <c r="D7" s="2278"/>
      <c r="E7" s="2278"/>
      <c r="F7" s="2278"/>
      <c r="G7" s="2279"/>
    </row>
    <row r="8" spans="1:7" ht="15.75" customHeight="1" x14ac:dyDescent="0.25">
      <c r="A8" s="2280" t="s">
        <v>1907</v>
      </c>
      <c r="B8" s="2281"/>
      <c r="C8" s="2281"/>
      <c r="D8" s="2281"/>
      <c r="E8" s="2281"/>
      <c r="F8" s="2281"/>
      <c r="G8" s="2282"/>
    </row>
    <row r="9" spans="1:7" ht="35.25" customHeight="1" x14ac:dyDescent="0.25">
      <c r="A9" s="2277" t="s">
        <v>1935</v>
      </c>
      <c r="B9" s="2278"/>
      <c r="C9" s="2278"/>
      <c r="D9" s="2278"/>
      <c r="E9" s="2278"/>
      <c r="F9" s="2278"/>
      <c r="G9" s="2279"/>
    </row>
    <row r="10" spans="1:7" ht="15" customHeight="1" x14ac:dyDescent="0.25">
      <c r="A10" s="1537" t="s">
        <v>1820</v>
      </c>
      <c r="B10" s="1538"/>
      <c r="C10" s="1538"/>
      <c r="D10" s="1538"/>
      <c r="E10" s="1538"/>
      <c r="F10" s="1538"/>
      <c r="G10" s="1539"/>
    </row>
    <row r="11" spans="1:7" ht="17.25" customHeight="1" x14ac:dyDescent="0.25">
      <c r="A11" s="2277" t="s">
        <v>1934</v>
      </c>
      <c r="B11" s="2278"/>
      <c r="C11" s="2278"/>
      <c r="D11" s="2278"/>
      <c r="E11" s="2278"/>
      <c r="F11" s="2278"/>
      <c r="G11" s="2279"/>
    </row>
    <row r="12" spans="1:7" ht="15" customHeight="1" x14ac:dyDescent="0.25">
      <c r="A12" s="1537" t="s">
        <v>1825</v>
      </c>
      <c r="B12" s="1538"/>
      <c r="C12" s="1538"/>
      <c r="D12" s="1538"/>
      <c r="E12" s="1538"/>
      <c r="F12" s="1538"/>
      <c r="G12" s="1539"/>
    </row>
    <row r="13" spans="1:7" ht="32.25" customHeight="1" x14ac:dyDescent="0.25">
      <c r="A13" s="2268" t="s">
        <v>1976</v>
      </c>
      <c r="B13" s="2269"/>
      <c r="C13" s="2269"/>
      <c r="D13" s="2269"/>
      <c r="E13" s="2269"/>
      <c r="F13" s="2269"/>
      <c r="G13" s="2270"/>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2085</v>
      </c>
      <c r="B17" s="1934"/>
      <c r="C17" s="1656"/>
      <c r="D17" s="1844">
        <v>1E-4</v>
      </c>
      <c r="E17" s="1540">
        <f t="shared" ref="E17:E141" si="0">IF(D17&lt;=25000,D17,IF(D17&gt;25000,25000,0))</f>
        <v>1E-4</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1E-4</v>
      </c>
      <c r="E141" s="1541">
        <f t="shared" si="0"/>
        <v>1E-4</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S48" sqref="S4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8" t="s">
        <v>1977</v>
      </c>
      <c r="B11" s="2289"/>
      <c r="C11" s="2289"/>
      <c r="D11" s="2290"/>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436009</v>
      </c>
      <c r="F19" s="1799"/>
      <c r="G19" s="1801">
        <f>'Expenditures 15-22'!K33-SUM('Expenditures 15-22'!G33,'Expenditures 15-22'!I33)+'Expenditures 15-22'!D229</f>
        <v>436009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91741</v>
      </c>
      <c r="F21" s="1802"/>
      <c r="G21" s="1805">
        <f>'Expenditures 15-22'!K42-SUM('Expenditures 15-22'!G42,'Expenditures 15-22'!I42)+'Expenditures 15-22'!K120-SUM('Expenditures 15-22'!G120,'Expenditures 15-22'!I120)+'Expenditures 15-22'!K180-SUM('Expenditures 15-22'!G180,'Expenditures 15-22'!I180)+'Expenditures 15-22'!D238</f>
        <v>91741</v>
      </c>
      <c r="H21" s="987"/>
      <c r="I21" s="162"/>
    </row>
    <row r="22" spans="1:9" s="668" customFormat="1" ht="12" customHeight="1" x14ac:dyDescent="0.2">
      <c r="A22" s="994" t="s">
        <v>564</v>
      </c>
      <c r="B22" s="995"/>
      <c r="C22" s="993">
        <v>2200</v>
      </c>
      <c r="D22" s="1802"/>
      <c r="E22" s="1804">
        <f>'Expenditures 15-22'!K47-SUM('Expenditures 15-22'!G47,'Expenditures 15-22'!I47)+'Expenditures 15-22'!D243</f>
        <v>225</v>
      </c>
      <c r="F22" s="1802"/>
      <c r="G22" s="1805">
        <f>'Expenditures 15-22'!K47-SUM('Expenditures 15-22'!G47,'Expenditures 15-22'!I47)+'Expenditures 15-22'!D243</f>
        <v>225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31726</v>
      </c>
      <c r="F23" s="1802"/>
      <c r="G23" s="1804">
        <f>'Expenditures 15-22'!K53-SUM('Expenditures 15-22'!G53,'Expenditures 15-22'!I53)+'Expenditures 15-22'!D257+'Expenditures 15-22'!K330-SUM('Expenditures 15-22'!G330,'Expenditures 15-22'!I330)</f>
        <v>31726</v>
      </c>
      <c r="H23" s="987"/>
      <c r="I23" s="162"/>
    </row>
    <row r="24" spans="1:9" s="668" customFormat="1" ht="12" customHeight="1" x14ac:dyDescent="0.2">
      <c r="A24" s="994" t="s">
        <v>566</v>
      </c>
      <c r="B24" s="995"/>
      <c r="C24" s="993">
        <v>2400</v>
      </c>
      <c r="D24" s="1802"/>
      <c r="E24" s="1804">
        <f>'Expenditures 15-22'!K57-SUM('Expenditures 15-22'!G57,'Expenditures 15-22'!I57)+'Expenditures 15-22'!D261</f>
        <v>312549</v>
      </c>
      <c r="F24" s="1802"/>
      <c r="G24" s="1805">
        <f>'Expenditures 15-22'!K57-SUM('Expenditures 15-22'!G57,'Expenditures 15-22'!I57)+'Expenditures 15-22'!D261</f>
        <v>312549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9647</v>
      </c>
      <c r="E27" s="1804">
        <f>E8</f>
        <v>0</v>
      </c>
      <c r="F27" s="1804">
        <f>'Expenditures 15-22'!K60-SUM('Expenditures 15-22'!G60,'Expenditures 15-22'!I60)+'Expenditures 15-22'!D264-E8</f>
        <v>9647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85108</v>
      </c>
      <c r="F38" s="1802"/>
      <c r="G38" s="1804">
        <f>'Expenditures 15-22'!K73-SUM('Expenditures 15-22'!G73,'Expenditures 15-22'!I73)+'Expenditures 15-22'!K128-SUM('Expenditures 15-22'!G128,'Expenditures 15-22'!I128)+'Expenditures 15-22'!K183-SUM('Expenditures 15-22'!G183,'Expenditures 15-22'!I183)+'Expenditures 15-22'!D278</f>
        <v>85108</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9647</v>
      </c>
      <c r="E41" s="1806">
        <f>SUM(E19:E40)</f>
        <v>957358</v>
      </c>
      <c r="F41" s="1806">
        <f>SUM(F19:F39)</f>
        <v>9647</v>
      </c>
      <c r="G41" s="1806">
        <f>SUM(G19:G40)</f>
        <v>957358</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9647</v>
      </c>
      <c r="F43" s="1807" t="s">
        <v>473</v>
      </c>
      <c r="G43" s="1808">
        <f>F41</f>
        <v>9647</v>
      </c>
    </row>
    <row r="44" spans="1:7" ht="12" customHeight="1" x14ac:dyDescent="0.2">
      <c r="A44" s="987"/>
      <c r="B44" s="162"/>
      <c r="C44" s="1001"/>
      <c r="D44" s="1807" t="s">
        <v>474</v>
      </c>
      <c r="E44" s="1808">
        <f>E41</f>
        <v>957358</v>
      </c>
      <c r="F44" s="1807" t="s">
        <v>474</v>
      </c>
      <c r="G44" s="1808">
        <f>G41</f>
        <v>957358</v>
      </c>
    </row>
    <row r="45" spans="1:7" ht="12" customHeight="1" x14ac:dyDescent="0.2">
      <c r="A45" s="987"/>
      <c r="B45" s="162"/>
      <c r="C45" s="162"/>
      <c r="D45" s="1809" t="s">
        <v>1006</v>
      </c>
      <c r="E45" s="1810">
        <f>(E43/E44)</f>
        <v>1.0076690224555495E-2</v>
      </c>
      <c r="F45" s="1809" t="s">
        <v>1006</v>
      </c>
      <c r="G45" s="1810">
        <f>(G43/G44)</f>
        <v>1.0076690224555495E-2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S48" sqref="S48"/>
      <selection pane="bottomLeft" activeCell="S48" sqref="S4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5" t="s">
        <v>1379</v>
      </c>
      <c r="B1" s="2305"/>
      <c r="C1" s="2305"/>
      <c r="D1" s="2305"/>
      <c r="E1" s="2305"/>
      <c r="F1" s="2305"/>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6" t="s">
        <v>1546</v>
      </c>
      <c r="B5" s="2307"/>
      <c r="C5" s="2308"/>
      <c r="D5" s="2308"/>
      <c r="E5" s="2308"/>
      <c r="F5" s="2308"/>
    </row>
    <row r="6" spans="1:10" ht="12" customHeight="1" x14ac:dyDescent="0.25">
      <c r="A6" s="1850"/>
      <c r="B6" s="1851"/>
      <c r="C6" s="2309" t="str">
        <f>COVER!A17</f>
        <v>Boone-Winnebago Regional Alt School</v>
      </c>
      <c r="D6" s="2309"/>
      <c r="E6" s="2309"/>
      <c r="F6" s="1852"/>
    </row>
    <row r="7" spans="1:10" ht="11.25" customHeight="1" thickBot="1" x14ac:dyDescent="0.3">
      <c r="A7" s="1850"/>
      <c r="B7" s="1851"/>
      <c r="C7" s="2310">
        <f>COVER!A13</f>
        <v>4004000051</v>
      </c>
      <c r="D7" s="2310"/>
      <c r="E7" s="2310"/>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2079</v>
      </c>
      <c r="D14" s="1865" t="s">
        <v>2079</v>
      </c>
      <c r="E14" s="1868" t="s">
        <v>2079</v>
      </c>
      <c r="F14" s="1867" t="s">
        <v>2080</v>
      </c>
      <c r="H14" s="1878">
        <f t="shared" si="0"/>
        <v>5</v>
      </c>
      <c r="I14" s="1878">
        <f t="shared" si="1"/>
        <v>5</v>
      </c>
      <c r="J14" s="1878">
        <f t="shared" si="2"/>
        <v>5</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2079</v>
      </c>
      <c r="D25" s="1865" t="s">
        <v>2079</v>
      </c>
      <c r="E25" s="1868" t="s">
        <v>2079</v>
      </c>
      <c r="F25" s="1867" t="s">
        <v>2081</v>
      </c>
      <c r="H25" s="1878">
        <f t="shared" si="0"/>
        <v>5</v>
      </c>
      <c r="I25" s="1878">
        <f t="shared" si="1"/>
        <v>5</v>
      </c>
      <c r="J25" s="1878">
        <f t="shared" si="2"/>
        <v>5</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2079</v>
      </c>
      <c r="D28" s="1865" t="s">
        <v>2079</v>
      </c>
      <c r="E28" s="1868" t="s">
        <v>2079</v>
      </c>
      <c r="F28" s="1867" t="s">
        <v>2082</v>
      </c>
      <c r="H28" s="1878">
        <f t="shared" si="0"/>
        <v>5</v>
      </c>
      <c r="I28" s="1878">
        <f t="shared" si="1"/>
        <v>5</v>
      </c>
      <c r="J28" s="1878">
        <f t="shared" si="2"/>
        <v>5</v>
      </c>
    </row>
    <row r="29" spans="1:12" ht="12" customHeight="1" x14ac:dyDescent="0.2">
      <c r="A29" s="1863" t="s">
        <v>1537</v>
      </c>
      <c r="B29" s="1864"/>
      <c r="C29" s="1865" t="s">
        <v>2079</v>
      </c>
      <c r="D29" s="1865" t="s">
        <v>2079</v>
      </c>
      <c r="E29" s="1868" t="s">
        <v>2079</v>
      </c>
      <c r="F29" s="1867" t="s">
        <v>2083</v>
      </c>
      <c r="H29" s="1878">
        <f t="shared" si="0"/>
        <v>5</v>
      </c>
      <c r="I29" s="1878">
        <f t="shared" si="1"/>
        <v>5</v>
      </c>
      <c r="J29" s="1878">
        <f t="shared" si="2"/>
        <v>5</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20</v>
      </c>
      <c r="K34" s="1878">
        <f>SUM(H34:J34)</f>
        <v>60</v>
      </c>
    </row>
    <row r="35" spans="1:11" ht="12" customHeight="1" x14ac:dyDescent="0.2">
      <c r="A35" s="1871" t="s">
        <v>1392</v>
      </c>
      <c r="B35" s="1872"/>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3"/>
      <c r="B39" s="1873"/>
      <c r="C39" s="1873"/>
      <c r="D39" s="1873"/>
      <c r="E39" s="1873"/>
      <c r="F39" s="1873"/>
    </row>
    <row r="40" spans="1:11" s="1870" customFormat="1" ht="12" customHeight="1" x14ac:dyDescent="0.25">
      <c r="A40" s="1874" t="s">
        <v>1391</v>
      </c>
      <c r="B40" s="1875"/>
      <c r="C40" s="2300"/>
      <c r="D40" s="2300"/>
      <c r="E40" s="2300"/>
      <c r="F40" s="2301"/>
      <c r="H40" s="1879"/>
      <c r="I40" s="1879"/>
      <c r="J40" s="1879"/>
      <c r="K40" s="1879"/>
    </row>
    <row r="41" spans="1:11" s="1870" customFormat="1" ht="12" customHeight="1" x14ac:dyDescent="0.25">
      <c r="A41" s="2302"/>
      <c r="B41" s="2303"/>
      <c r="C41" s="2303"/>
      <c r="D41" s="2303"/>
      <c r="E41" s="2303"/>
      <c r="F41" s="2304"/>
      <c r="H41" s="1879"/>
      <c r="I41" s="1879"/>
      <c r="J41" s="1879"/>
      <c r="K41" s="1879"/>
    </row>
    <row r="42" spans="1:11" s="1870" customFormat="1" ht="12" customHeight="1" x14ac:dyDescent="0.25">
      <c r="A42" s="2302" t="s">
        <v>2084</v>
      </c>
      <c r="B42" s="2303"/>
      <c r="C42" s="2303"/>
      <c r="D42" s="2303"/>
      <c r="E42" s="2303"/>
      <c r="F42" s="2304"/>
      <c r="H42" s="1879"/>
      <c r="I42" s="1879"/>
      <c r="J42" s="1879"/>
      <c r="K42" s="1879"/>
    </row>
    <row r="43" spans="1:11" s="1870" customFormat="1" ht="15" x14ac:dyDescent="0.25">
      <c r="A43" s="2291"/>
      <c r="B43" s="2292"/>
      <c r="C43" s="2292"/>
      <c r="D43" s="2292"/>
      <c r="E43" s="2292"/>
      <c r="F43" s="2293"/>
      <c r="H43" s="1879"/>
      <c r="I43" s="1879"/>
      <c r="J43" s="1879"/>
      <c r="K43" s="1879"/>
    </row>
    <row r="44" spans="1:11" s="1870" customFormat="1" ht="12" hidden="1" customHeight="1" x14ac:dyDescent="0.25">
      <c r="A44" s="2291"/>
      <c r="B44" s="2292"/>
      <c r="C44" s="2292"/>
      <c r="D44" s="2292"/>
      <c r="E44" s="2292"/>
      <c r="F44" s="229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S48" sqref="S4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Boone-Winnebago Regional Alt School</v>
      </c>
      <c r="J6" s="2319"/>
      <c r="Q6" s="1664"/>
    </row>
    <row r="7" spans="1:17" x14ac:dyDescent="0.2">
      <c r="A7" s="2320" t="s">
        <v>869</v>
      </c>
      <c r="B7" s="2321"/>
      <c r="C7" s="2321"/>
      <c r="D7" s="2321"/>
      <c r="E7" s="2322"/>
      <c r="F7" s="1017"/>
      <c r="G7" s="1009"/>
      <c r="H7" s="1016" t="s">
        <v>372</v>
      </c>
      <c r="I7" s="2323">
        <f>COVER!A13</f>
        <v>4004000051</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31726</v>
      </c>
      <c r="F13" s="1039"/>
      <c r="G13" s="1811">
        <f t="shared" si="0"/>
        <v>31726</v>
      </c>
      <c r="H13" s="1040"/>
      <c r="I13" s="1039"/>
      <c r="J13" s="1811">
        <f t="shared" si="1"/>
        <v>0</v>
      </c>
    </row>
    <row r="14" spans="1:17" ht="15" customHeight="1" x14ac:dyDescent="0.2">
      <c r="A14" s="1035">
        <v>3</v>
      </c>
      <c r="B14" s="1036" t="s">
        <v>43</v>
      </c>
      <c r="C14" s="1037"/>
      <c r="D14" s="1041">
        <v>2490</v>
      </c>
      <c r="E14" s="1811">
        <f>'Expenditures 15-22'!K56</f>
        <v>312549</v>
      </c>
      <c r="F14" s="1039"/>
      <c r="G14" s="1811">
        <f t="shared" si="0"/>
        <v>312549</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344275</v>
      </c>
      <c r="F19" s="1813">
        <f t="shared" si="2"/>
        <v>0</v>
      </c>
      <c r="G19" s="1813">
        <f t="shared" si="2"/>
        <v>344275</v>
      </c>
      <c r="H19" s="1813">
        <f t="shared" si="2"/>
        <v>0</v>
      </c>
      <c r="I19" s="1813">
        <f t="shared" si="2"/>
        <v>0</v>
      </c>
      <c r="J19" s="1813">
        <f t="shared" si="2"/>
        <v>0</v>
      </c>
    </row>
    <row r="20" spans="1:10" ht="13.5" thickTop="1" x14ac:dyDescent="0.2">
      <c r="A20" s="1035">
        <v>9</v>
      </c>
      <c r="B20" s="2330" t="s">
        <v>1981</v>
      </c>
      <c r="C20" s="2330"/>
      <c r="D20" s="2331"/>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1983</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5"/>
  <sheetViews>
    <sheetView showGridLines="0" zoomScale="110" zoomScaleNormal="110" workbookViewId="0">
      <selection activeCell="S48" sqref="S48"/>
    </sheetView>
  </sheetViews>
  <sheetFormatPr defaultRowHeight="12.75" x14ac:dyDescent="0.2"/>
  <cols>
    <col min="1" max="1" width="3" style="329" customWidth="1"/>
    <col min="2" max="2" width="9.85546875" style="329" customWidth="1"/>
    <col min="3" max="3" width="9.7109375" style="329" customWidth="1"/>
    <col min="4" max="5" width="9.85546875" style="329" customWidth="1"/>
    <col min="6" max="6" width="30.7109375" style="329" customWidth="1"/>
    <col min="7" max="7" width="10.5703125" style="329" customWidth="1"/>
    <col min="8" max="16384" width="9.140625" style="329"/>
  </cols>
  <sheetData>
    <row r="2" spans="1:7" x14ac:dyDescent="0.2">
      <c r="A2" s="389" t="s">
        <v>258</v>
      </c>
    </row>
    <row r="3" spans="1:7" x14ac:dyDescent="0.2">
      <c r="A3" s="329" t="s">
        <v>259</v>
      </c>
    </row>
    <row r="5" spans="1:7" x14ac:dyDescent="0.2">
      <c r="A5" s="1068"/>
      <c r="B5" s="1938" t="s">
        <v>2086</v>
      </c>
      <c r="C5" s="1938" t="s">
        <v>2087</v>
      </c>
      <c r="D5" s="1938" t="s">
        <v>1077</v>
      </c>
      <c r="E5" s="1938" t="s">
        <v>2088</v>
      </c>
      <c r="F5" s="1938" t="s">
        <v>481</v>
      </c>
      <c r="G5" s="1938" t="s">
        <v>865</v>
      </c>
    </row>
    <row r="6" spans="1:7" x14ac:dyDescent="0.2">
      <c r="A6" s="1068"/>
      <c r="B6" s="1939"/>
      <c r="C6" s="1939"/>
      <c r="D6" s="1939"/>
      <c r="E6" s="1939"/>
    </row>
    <row r="7" spans="1:7" x14ac:dyDescent="0.2">
      <c r="A7" s="1068"/>
      <c r="B7" s="1939">
        <v>2490</v>
      </c>
      <c r="C7" s="1939">
        <v>16</v>
      </c>
      <c r="D7" s="1939">
        <v>10</v>
      </c>
      <c r="E7" s="1939">
        <v>56</v>
      </c>
      <c r="F7" s="329" t="s">
        <v>2089</v>
      </c>
      <c r="G7" s="1941">
        <v>268710</v>
      </c>
    </row>
    <row r="8" spans="1:7" x14ac:dyDescent="0.2">
      <c r="A8" s="1068"/>
      <c r="B8" s="1939"/>
      <c r="C8" s="1939"/>
      <c r="D8" s="1939"/>
      <c r="E8" s="1939"/>
      <c r="F8" s="329" t="s">
        <v>2090</v>
      </c>
      <c r="G8" s="1941">
        <v>40463</v>
      </c>
    </row>
    <row r="9" spans="1:7" x14ac:dyDescent="0.2">
      <c r="A9" s="1069"/>
      <c r="B9" s="1939"/>
      <c r="C9" s="1939"/>
      <c r="D9" s="1939"/>
      <c r="E9" s="1939"/>
      <c r="F9" s="329" t="s">
        <v>2091</v>
      </c>
      <c r="G9" s="1941">
        <v>3376</v>
      </c>
    </row>
    <row r="10" spans="1:7" ht="13.5" thickBot="1" x14ac:dyDescent="0.25">
      <c r="A10" s="1069"/>
      <c r="B10" s="1939"/>
      <c r="C10" s="1939"/>
      <c r="D10" s="1939"/>
      <c r="E10" s="1939"/>
      <c r="G10" s="1940">
        <f>SUM(G7:G9)</f>
        <v>312549</v>
      </c>
    </row>
    <row r="11" spans="1:7" ht="13.5" thickTop="1" x14ac:dyDescent="0.2">
      <c r="A11" s="1069"/>
      <c r="B11" s="1939"/>
      <c r="C11" s="1939"/>
      <c r="D11" s="1939"/>
      <c r="E11" s="1939"/>
    </row>
    <row r="12" spans="1:7" x14ac:dyDescent="0.2">
      <c r="A12" s="1069"/>
      <c r="B12" s="1939">
        <v>2900</v>
      </c>
      <c r="C12" s="1939">
        <v>16</v>
      </c>
      <c r="D12" s="1939">
        <v>10</v>
      </c>
      <c r="E12" s="1939">
        <v>73</v>
      </c>
      <c r="F12" s="329" t="s">
        <v>2092</v>
      </c>
      <c r="G12" s="1941">
        <v>73586</v>
      </c>
    </row>
    <row r="13" spans="1:7" x14ac:dyDescent="0.2">
      <c r="A13" s="1069"/>
      <c r="B13" s="1939"/>
      <c r="C13" s="1939"/>
      <c r="D13" s="1939"/>
      <c r="E13" s="1939"/>
      <c r="F13" s="329" t="s">
        <v>2093</v>
      </c>
      <c r="G13" s="1941">
        <v>10136</v>
      </c>
    </row>
    <row r="14" spans="1:7" x14ac:dyDescent="0.2">
      <c r="A14" s="1069"/>
      <c r="B14" s="1939"/>
      <c r="C14" s="1939"/>
      <c r="D14" s="1939"/>
      <c r="E14" s="1939"/>
      <c r="F14" s="329" t="s">
        <v>2094</v>
      </c>
      <c r="G14" s="1941">
        <v>1386</v>
      </c>
    </row>
    <row r="15" spans="1:7" ht="13.5" thickBot="1" x14ac:dyDescent="0.25">
      <c r="A15" s="1069"/>
      <c r="B15" s="1939"/>
      <c r="C15" s="1939"/>
      <c r="D15" s="1939"/>
      <c r="E15" s="1939"/>
      <c r="G15" s="1940">
        <f>SUM(G12:G14)</f>
        <v>85108</v>
      </c>
    </row>
    <row r="16" spans="1:7" ht="13.5" thickTop="1" x14ac:dyDescent="0.2">
      <c r="A16" s="1069"/>
      <c r="B16" s="1939"/>
      <c r="C16" s="1939"/>
      <c r="D16" s="1939"/>
      <c r="E16" s="1939"/>
    </row>
    <row r="17" spans="1:5" x14ac:dyDescent="0.2">
      <c r="A17" s="1069"/>
      <c r="B17" s="1939"/>
      <c r="C17" s="1939"/>
      <c r="D17" s="1939"/>
      <c r="E17" s="1939"/>
    </row>
    <row r="18" spans="1:5" x14ac:dyDescent="0.2">
      <c r="A18" s="1069"/>
      <c r="B18" s="1939"/>
      <c r="C18" s="1939"/>
      <c r="D18" s="1939"/>
      <c r="E18" s="1939"/>
    </row>
    <row r="19" spans="1:5" x14ac:dyDescent="0.2">
      <c r="A19" s="1069"/>
      <c r="B19" s="1939"/>
      <c r="C19" s="1939"/>
      <c r="D19" s="1939"/>
      <c r="E19" s="1939"/>
    </row>
    <row r="20" spans="1:5" x14ac:dyDescent="0.2">
      <c r="A20" s="1069"/>
      <c r="B20" s="1939"/>
      <c r="C20" s="1939"/>
      <c r="D20" s="1939"/>
      <c r="E20" s="1939"/>
    </row>
    <row r="21" spans="1:5" x14ac:dyDescent="0.2">
      <c r="A21" s="1069"/>
      <c r="B21" s="1939"/>
      <c r="C21" s="1939"/>
      <c r="D21" s="1939"/>
      <c r="E21" s="1939"/>
    </row>
    <row r="22" spans="1:5" x14ac:dyDescent="0.2">
      <c r="A22" s="1069"/>
      <c r="B22" s="1939"/>
      <c r="C22" s="1939"/>
      <c r="D22" s="1939"/>
      <c r="E22" s="1939"/>
    </row>
    <row r="23" spans="1:5" x14ac:dyDescent="0.2">
      <c r="A23" s="1069"/>
      <c r="B23" s="1939"/>
      <c r="C23" s="1939"/>
      <c r="D23" s="1939"/>
      <c r="E23" s="1939"/>
    </row>
    <row r="24" spans="1:5" x14ac:dyDescent="0.2">
      <c r="A24" s="1069"/>
      <c r="B24" s="1939"/>
      <c r="C24" s="1939"/>
      <c r="D24" s="1939"/>
      <c r="E24" s="1939"/>
    </row>
    <row r="25" spans="1:5" x14ac:dyDescent="0.2">
      <c r="A25" s="1069"/>
    </row>
    <row r="26" spans="1:5" x14ac:dyDescent="0.2">
      <c r="A26" s="1069"/>
    </row>
    <row r="27" spans="1:5" x14ac:dyDescent="0.2">
      <c r="A27" s="1069"/>
    </row>
    <row r="28" spans="1:5" x14ac:dyDescent="0.2">
      <c r="A28" s="1069"/>
    </row>
    <row r="29" spans="1:5" x14ac:dyDescent="0.2">
      <c r="A29" s="1069"/>
    </row>
    <row r="30" spans="1:5" x14ac:dyDescent="0.2">
      <c r="A30" s="1069"/>
    </row>
    <row r="31" spans="1:5" x14ac:dyDescent="0.2">
      <c r="A31" s="1069"/>
    </row>
    <row r="32" spans="1:5"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Boone-Winnebago Regional Alt School</v>
      </c>
    </row>
    <row r="65" spans="2:2" x14ac:dyDescent="0.2">
      <c r="B65" s="1070">
        <f>COVER!A13</f>
        <v>4004000051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7" zoomScale="110" zoomScaleNormal="110" workbookViewId="0">
      <selection activeCell="S48" sqref="S4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16" colorId="8" zoomScale="110" zoomScaleNormal="110" workbookViewId="0">
      <selection activeCell="S48" sqref="S4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2" sqref="B2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Exch.Document.7"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activeCell="S48" sqref="S4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1987</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1988</v>
      </c>
      <c r="B4" s="2358"/>
      <c r="C4" s="2358"/>
      <c r="D4" s="2358"/>
      <c r="E4" s="2358"/>
      <c r="F4" s="2359"/>
      <c r="G4" s="1074"/>
      <c r="H4" s="1074"/>
    </row>
    <row r="5" spans="1:8" ht="14.25" customHeight="1" x14ac:dyDescent="0.2">
      <c r="A5" s="2360" t="s">
        <v>1984</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1141989</v>
      </c>
      <c r="C8" s="1815">
        <f>'Acct Summary 7-8'!D8</f>
        <v>0</v>
      </c>
      <c r="D8" s="1815">
        <f>'Acct Summary 7-8'!F8</f>
        <v>0</v>
      </c>
      <c r="E8" s="1815">
        <f>'Acct Summary 7-8'!I8</f>
        <v>0</v>
      </c>
      <c r="F8" s="1815">
        <f>SUM(B8:E8)</f>
        <v>1141989</v>
      </c>
    </row>
    <row r="9" spans="1:8" s="1079" customFormat="1" ht="14.25" customHeight="1" thickBot="1" x14ac:dyDescent="0.25">
      <c r="A9" s="1078" t="s">
        <v>1369</v>
      </c>
      <c r="B9" s="1816">
        <f>'Acct Summary 7-8'!C17</f>
        <v>971012</v>
      </c>
      <c r="C9" s="1816">
        <f>'Acct Summary 7-8'!D17</f>
        <v>0</v>
      </c>
      <c r="D9" s="1816">
        <f>'Acct Summary 7-8'!F17</f>
        <v>0</v>
      </c>
      <c r="E9" s="1815"/>
      <c r="F9" s="1815">
        <f>SUM(B9:E9)</f>
        <v>971012</v>
      </c>
    </row>
    <row r="10" spans="1:8" s="1079" customFormat="1" ht="14.25" thickTop="1" thickBot="1" x14ac:dyDescent="0.25">
      <c r="A10" s="1080" t="s">
        <v>1370</v>
      </c>
      <c r="B10" s="1817">
        <f>(B8-B9)</f>
        <v>170977</v>
      </c>
      <c r="C10" s="1817">
        <f>(C8-C9)</f>
        <v>0</v>
      </c>
      <c r="D10" s="1817">
        <f>(D8-D9)</f>
        <v>0</v>
      </c>
      <c r="E10" s="1816">
        <f>(E8-E9)</f>
        <v>0</v>
      </c>
      <c r="F10" s="1818">
        <f>SUM(F8-F9)</f>
        <v>170977</v>
      </c>
    </row>
    <row r="11" spans="1:8" s="1079" customFormat="1" ht="14.25" thickTop="1" thickBot="1" x14ac:dyDescent="0.25">
      <c r="A11" s="1081" t="s">
        <v>1985</v>
      </c>
      <c r="B11" s="1819">
        <f>'Acct Summary 7-8'!C81</f>
        <v>846541</v>
      </c>
      <c r="C11" s="1819">
        <f>'Acct Summary 7-8'!D81</f>
        <v>0</v>
      </c>
      <c r="D11" s="1819">
        <f>'Acct Summary 7-8'!F81</f>
        <v>0</v>
      </c>
      <c r="E11" s="1819">
        <f>'Acct Summary 7-8'!I81</f>
        <v>0</v>
      </c>
      <c r="F11" s="1820">
        <f>SUM(B11:E11)</f>
        <v>846541</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L82"/>
  <sheetViews>
    <sheetView showGridLines="0" defaultGridColor="0" topLeftCell="A14" colorId="8" zoomScale="110" zoomScaleNormal="110" workbookViewId="0">
      <selection activeCell="S48" sqref="S4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4004000051</v>
      </c>
    </row>
    <row r="3" spans="1:2" x14ac:dyDescent="0.2">
      <c r="A3" t="s">
        <v>956</v>
      </c>
      <c r="B3" s="138" t="str">
        <f>COVER!A15</f>
        <v>Winnebago</v>
      </c>
    </row>
    <row r="4" spans="1:2" x14ac:dyDescent="0.2">
      <c r="A4" t="s">
        <v>1007</v>
      </c>
      <c r="B4" s="138" t="str">
        <f>COVER!A17</f>
        <v>Boone-Winnebago Regional Alt School</v>
      </c>
    </row>
    <row r="5" spans="1:2" x14ac:dyDescent="0.2">
      <c r="A5" t="s">
        <v>704</v>
      </c>
      <c r="B5" s="138" t="str">
        <f>COVER!A38</f>
        <v>Scott Bloomquist</v>
      </c>
    </row>
    <row r="6" spans="1:2" x14ac:dyDescent="0.2">
      <c r="A6" t="s">
        <v>709</v>
      </c>
      <c r="B6" s="138">
        <f>COVER!P35</f>
        <v>0</v>
      </c>
    </row>
    <row r="7" spans="1:2" x14ac:dyDescent="0.2">
      <c r="A7" t="s">
        <v>705</v>
      </c>
      <c r="B7" s="138">
        <f>COVER!I38</f>
        <v>0</v>
      </c>
    </row>
    <row r="8" spans="1:2" x14ac:dyDescent="0.2">
      <c r="A8" t="s">
        <v>706</v>
      </c>
      <c r="B8" s="138" t="str">
        <f>COVER!T38</f>
        <v>Scott Bloomquist - Regional Superintendent</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852775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6234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6234</v>
      </c>
      <c r="C91" s="2" t="s">
        <v>573</v>
      </c>
      <c r="D91" s="2" t="str">
        <f t="shared" si="0"/>
        <v>Error?</v>
      </c>
    </row>
    <row r="92" spans="1:4" x14ac:dyDescent="0.2">
      <c r="A92" s="5">
        <v>31</v>
      </c>
      <c r="B92" s="138">
        <f>'Assets-Liab 5-6'!C39</f>
        <v>846541</v>
      </c>
      <c r="D92" s="2" t="str">
        <f t="shared" si="0"/>
        <v>Error?</v>
      </c>
    </row>
    <row r="93" spans="1:4" x14ac:dyDescent="0.2">
      <c r="A93" s="5">
        <v>32</v>
      </c>
      <c r="B93" s="138">
        <f>'Assets-Liab 5-6'!C41</f>
        <v>852775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40866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40866</v>
      </c>
      <c r="C279" s="2" t="s">
        <v>573</v>
      </c>
      <c r="D279" s="2" t="str">
        <f t="shared" si="3"/>
        <v>Error?</v>
      </c>
    </row>
    <row r="280" spans="1:4" x14ac:dyDescent="0.2">
      <c r="A280" s="5">
        <v>219</v>
      </c>
      <c r="B280" s="138">
        <f>'Assets-Liab 5-6'!M40</f>
        <v>40866</v>
      </c>
      <c r="D280" s="2" t="str">
        <f t="shared" si="3"/>
        <v>Error?</v>
      </c>
    </row>
    <row r="281" spans="1:4" x14ac:dyDescent="0.2">
      <c r="A281" s="5">
        <v>220</v>
      </c>
      <c r="B281" s="138">
        <f>'Assets-Liab 5-6'!M41</f>
        <v>40866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315712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315712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65000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65000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12981</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268710</v>
      </c>
      <c r="D736" s="2" t="str">
        <f t="shared" si="10"/>
        <v>Error?</v>
      </c>
    </row>
    <row r="737" spans="1:4" x14ac:dyDescent="0.2">
      <c r="A737" s="5">
        <v>676</v>
      </c>
      <c r="B737" s="138">
        <f>'Expenditures 15-22'!C57</f>
        <v>268710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73586</v>
      </c>
      <c r="D754" s="2" t="str">
        <f t="shared" si="10"/>
        <v>Error?</v>
      </c>
    </row>
    <row r="755" spans="1:4" x14ac:dyDescent="0.2">
      <c r="A755" s="5">
        <v>694</v>
      </c>
      <c r="B755" s="138">
        <f>'Expenditures 15-22'!C74</f>
        <v>420277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735989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9290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9290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10100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10100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383</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40463</v>
      </c>
      <c r="D794" s="2" t="str">
        <f t="shared" si="11"/>
        <v>Error?</v>
      </c>
    </row>
    <row r="795" spans="1:4" x14ac:dyDescent="0.2">
      <c r="A795" s="5">
        <v>734</v>
      </c>
      <c r="B795" s="138">
        <f>'Expenditures 15-22'!D57</f>
        <v>40463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10136</v>
      </c>
      <c r="D812" s="2" t="str">
        <f t="shared" si="11"/>
        <v>Error?</v>
      </c>
    </row>
    <row r="813" spans="1:4" x14ac:dyDescent="0.2">
      <c r="A813" s="5">
        <v>752</v>
      </c>
      <c r="B813" s="138">
        <f>'Expenditures 15-22'!D74</f>
        <v>61082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70372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6585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6585</v>
      </c>
      <c r="C836" s="2" t="s">
        <v>573</v>
      </c>
      <c r="D836" s="2" t="str">
        <f t="shared" si="12"/>
        <v>Error?</v>
      </c>
    </row>
    <row r="837" spans="1:4" x14ac:dyDescent="0.2">
      <c r="A837" s="5">
        <v>776</v>
      </c>
      <c r="B837" s="138">
        <f>'Expenditures 15-22'!E36</f>
        <v>1081</v>
      </c>
      <c r="D837" s="2" t="str">
        <f t="shared" si="12"/>
        <v>Error?</v>
      </c>
    </row>
    <row r="838" spans="1:4" x14ac:dyDescent="0.2">
      <c r="A838" s="5">
        <v>777</v>
      </c>
      <c r="B838" s="138">
        <f>'Expenditures 15-22'!E37</f>
        <v>15560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16641</v>
      </c>
      <c r="C843" s="2" t="s">
        <v>573</v>
      </c>
      <c r="D843" s="2" t="str">
        <f t="shared" si="12"/>
        <v>Error?</v>
      </c>
    </row>
    <row r="844" spans="1:4" x14ac:dyDescent="0.2">
      <c r="A844" s="5">
        <v>783</v>
      </c>
      <c r="B844" s="138">
        <f>'Expenditures 15-22'!E44</f>
        <v>71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71</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12946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3376</v>
      </c>
      <c r="D852" s="2" t="str">
        <f t="shared" si="12"/>
        <v>Error?</v>
      </c>
    </row>
    <row r="853" spans="1:4" x14ac:dyDescent="0.2">
      <c r="A853" s="5">
        <v>792</v>
      </c>
      <c r="B853" s="138">
        <f>'Expenditures 15-22'!E57</f>
        <v>3376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9647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9647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1386</v>
      </c>
      <c r="D870" s="2" t="str">
        <f t="shared" si="12"/>
        <v>Error?</v>
      </c>
    </row>
    <row r="871" spans="1:4" x14ac:dyDescent="0.2">
      <c r="A871" s="5">
        <v>810</v>
      </c>
      <c r="B871" s="138">
        <f>'Expenditures 15-22'!E74</f>
        <v>44067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50652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104422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104422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154</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154</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5416</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5570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109992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4007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4007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4007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440016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440016</v>
      </c>
      <c r="C1108" s="2" t="s">
        <v>573</v>
      </c>
      <c r="D1108" s="2" t="str">
        <f t="shared" si="16"/>
        <v>Error?</v>
      </c>
    </row>
    <row r="1109" spans="1:4" x14ac:dyDescent="0.2">
      <c r="A1109" s="5">
        <v>1048</v>
      </c>
      <c r="B1109" s="138">
        <f>'Expenditures 15-22'!K36</f>
        <v>1081</v>
      </c>
      <c r="C1109" s="2" t="s">
        <v>573</v>
      </c>
      <c r="D1109" s="2" t="str">
        <f t="shared" si="16"/>
        <v>Error?</v>
      </c>
    </row>
    <row r="1110" spans="1:4" x14ac:dyDescent="0.2">
      <c r="A1110" s="5">
        <v>1049</v>
      </c>
      <c r="B1110" s="138">
        <f>'Expenditures 15-22'!K37</f>
        <v>90660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91741</v>
      </c>
      <c r="C1115" s="2" t="s">
        <v>573</v>
      </c>
      <c r="D1115" s="2" t="str">
        <f t="shared" si="16"/>
        <v>Error?</v>
      </c>
    </row>
    <row r="1116" spans="1:4" x14ac:dyDescent="0.2">
      <c r="A1116" s="5">
        <v>1055</v>
      </c>
      <c r="B1116" s="138">
        <f>'Expenditures 15-22'!K44</f>
        <v>225</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225</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31726</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312549</v>
      </c>
      <c r="C1124" s="2" t="s">
        <v>573</v>
      </c>
      <c r="D1124" s="2" t="str">
        <f t="shared" si="16"/>
        <v>Error?</v>
      </c>
    </row>
    <row r="1125" spans="1:4" x14ac:dyDescent="0.2">
      <c r="A1125" s="5">
        <v>1064</v>
      </c>
      <c r="B1125" s="138">
        <f>'Expenditures 15-22'!K57</f>
        <v>312549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9647</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9647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85108</v>
      </c>
      <c r="C1142" s="2" t="s">
        <v>573</v>
      </c>
      <c r="D1142" s="2" t="str">
        <f t="shared" si="16"/>
        <v>Error?</v>
      </c>
    </row>
    <row r="1143" spans="1:4" x14ac:dyDescent="0.2">
      <c r="A1143" s="5">
        <v>1082</v>
      </c>
      <c r="B1143" s="138">
        <f>'Expenditures 15-22'!K74</f>
        <v>530996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971012</v>
      </c>
      <c r="C1152" s="2" t="s">
        <v>573</v>
      </c>
      <c r="D1152" s="2" t="str">
        <f t="shared" si="17"/>
        <v>Error?</v>
      </c>
    </row>
    <row r="1153" spans="1:4" x14ac:dyDescent="0.2">
      <c r="A1153" s="5">
        <v>1092</v>
      </c>
      <c r="B1153" s="138">
        <f>'Expenditures 15-22'!K115</f>
        <v>170977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675564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846541</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23863</v>
      </c>
      <c r="D2011" s="2" t="str">
        <f t="shared" si="30"/>
        <v>Error?</v>
      </c>
    </row>
    <row r="2012" spans="1:4" x14ac:dyDescent="0.2">
      <c r="A2012" s="5">
        <v>1951</v>
      </c>
      <c r="B2012" s="138">
        <f>'Cap Outlay Deprec 26'!C13</f>
        <v>13844</v>
      </c>
      <c r="D2012" s="2" t="str">
        <f t="shared" si="30"/>
        <v>Error?</v>
      </c>
    </row>
    <row r="2013" spans="1:4" x14ac:dyDescent="0.2">
      <c r="A2013" s="5">
        <v>1952</v>
      </c>
      <c r="B2013" s="138">
        <f>'Cap Outlay Deprec 26'!C16</f>
        <v>37707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3159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3159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27022</v>
      </c>
      <c r="C2029" s="2" t="s">
        <v>573</v>
      </c>
      <c r="D2029" s="2" t="str">
        <f t="shared" si="30"/>
        <v>Error?</v>
      </c>
    </row>
    <row r="2030" spans="1:4" x14ac:dyDescent="0.2">
      <c r="A2030" s="5">
        <v>1969</v>
      </c>
      <c r="B2030" s="138">
        <f>'Cap Outlay Deprec 26'!F13</f>
        <v>13844</v>
      </c>
      <c r="C2030" s="2" t="s">
        <v>573</v>
      </c>
      <c r="D2030" s="2" t="str">
        <f t="shared" si="30"/>
        <v>Error?</v>
      </c>
    </row>
    <row r="2031" spans="1:4" x14ac:dyDescent="0.2">
      <c r="A2031" s="5">
        <v>1970</v>
      </c>
      <c r="B2031" s="138">
        <f>'Cap Outlay Deprec 26'!F16</f>
        <v>40866</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8065</v>
      </c>
      <c r="D2035" s="2" t="str">
        <f t="shared" si="30"/>
        <v>Error?</v>
      </c>
    </row>
    <row r="2036" spans="1:4" x14ac:dyDescent="0.2">
      <c r="A2036" s="5">
        <v>1975</v>
      </c>
      <c r="B2036" s="138">
        <f>'Cap Outlay Deprec 26'!H13</f>
        <v>13284</v>
      </c>
      <c r="D2036" s="2" t="str">
        <f t="shared" si="30"/>
        <v>Error?</v>
      </c>
    </row>
    <row r="2037" spans="1:4" x14ac:dyDescent="0.2">
      <c r="A2037" s="5">
        <v>1976</v>
      </c>
      <c r="B2037" s="138">
        <f>'Cap Outlay Deprec 26'!H16</f>
        <v>21349</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2299</v>
      </c>
      <c r="D2041" s="2" t="str">
        <f t="shared" si="30"/>
        <v>Error?</v>
      </c>
    </row>
    <row r="2042" spans="1:4" x14ac:dyDescent="0.2">
      <c r="A2042" s="5">
        <v>1981</v>
      </c>
      <c r="B2042" s="138">
        <f>'Cap Outlay Deprec 26'!I13</f>
        <v>375</v>
      </c>
      <c r="D2042" s="2" t="str">
        <f t="shared" si="30"/>
        <v>Error?</v>
      </c>
    </row>
    <row r="2043" spans="1:4" x14ac:dyDescent="0.2">
      <c r="A2043" s="5">
        <v>1982</v>
      </c>
      <c r="B2043" s="138">
        <f>'Cap Outlay Deprec 26'!I16</f>
        <v>2674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10364</v>
      </c>
      <c r="C2053" s="2" t="s">
        <v>573</v>
      </c>
      <c r="D2053" s="2" t="str">
        <f t="shared" si="31"/>
        <v>Error?</v>
      </c>
    </row>
    <row r="2054" spans="1:4" x14ac:dyDescent="0.2">
      <c r="A2054" s="5">
        <v>1993</v>
      </c>
      <c r="B2054" s="138">
        <f>'Cap Outlay Deprec 26'!K13</f>
        <v>13659</v>
      </c>
      <c r="C2054" s="2" t="s">
        <v>573</v>
      </c>
      <c r="D2054" s="2" t="str">
        <f t="shared" si="31"/>
        <v>Error?</v>
      </c>
    </row>
    <row r="2055" spans="1:4" x14ac:dyDescent="0.2">
      <c r="A2055" s="5">
        <v>1994</v>
      </c>
      <c r="B2055" s="138">
        <f>'Cap Outlay Deprec 26'!K16</f>
        <v>24023</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16658</v>
      </c>
      <c r="C2059" s="2" t="s">
        <v>573</v>
      </c>
      <c r="D2059" s="2" t="str">
        <f t="shared" si="31"/>
        <v>Error?</v>
      </c>
    </row>
    <row r="2060" spans="1:4" x14ac:dyDescent="0.2">
      <c r="A2060" s="5">
        <v>1999</v>
      </c>
      <c r="B2060" s="138">
        <f>'Cap Outlay Deprec 26'!L13</f>
        <v>185</v>
      </c>
      <c r="C2060" s="2" t="s">
        <v>573</v>
      </c>
      <c r="D2060" s="2" t="str">
        <f t="shared" si="31"/>
        <v>Error?</v>
      </c>
    </row>
    <row r="2061" spans="1:4" x14ac:dyDescent="0.2">
      <c r="A2061" s="5">
        <v>2000</v>
      </c>
      <c r="B2061" s="138">
        <f>'Cap Outlay Deprec 26'!L16</f>
        <v>16843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0</v>
      </c>
      <c r="C2551" s="2" t="s">
        <v>573</v>
      </c>
      <c r="D2551" s="2" t="str">
        <f t="shared" si="38"/>
        <v>Error?</v>
      </c>
    </row>
    <row r="2552" spans="1:4" x14ac:dyDescent="0.2">
      <c r="A2552" s="10">
        <v>2491</v>
      </c>
      <c r="D2552" s="2" t="str">
        <f t="shared" si="38"/>
        <v>OK</v>
      </c>
    </row>
    <row r="2553" spans="1:4" x14ac:dyDescent="0.2">
      <c r="A2553" s="5">
        <v>2492</v>
      </c>
      <c r="B2553" s="138">
        <f>'Acct Summary 7-8'!C6</f>
        <v>1141989</v>
      </c>
      <c r="C2553" s="2" t="s">
        <v>573</v>
      </c>
      <c r="D2553" s="2" t="str">
        <f t="shared" si="38"/>
        <v>Error?</v>
      </c>
    </row>
    <row r="2554" spans="1:4" x14ac:dyDescent="0.2">
      <c r="A2554" s="5">
        <v>2493</v>
      </c>
      <c r="B2554" s="138">
        <f>'Acct Summary 7-8'!C7</f>
        <v>0</v>
      </c>
      <c r="C2554" s="2" t="s">
        <v>573</v>
      </c>
      <c r="D2554" s="2" t="str">
        <f t="shared" si="38"/>
        <v>Error?</v>
      </c>
    </row>
    <row r="2555" spans="1:4" x14ac:dyDescent="0.2">
      <c r="A2555" s="5">
        <v>2494</v>
      </c>
      <c r="B2555" s="138">
        <f>'Acct Summary 7-8'!C8</f>
        <v>1141989</v>
      </c>
      <c r="C2555" s="2" t="s">
        <v>573</v>
      </c>
      <c r="D2555" s="2" t="str">
        <f t="shared" si="38"/>
        <v>Error?</v>
      </c>
    </row>
    <row r="2556" spans="1:4" x14ac:dyDescent="0.2">
      <c r="A2556" s="5">
        <v>2495</v>
      </c>
      <c r="B2556" s="138">
        <f>'Acct Summary 7-8'!C12</f>
        <v>440016</v>
      </c>
      <c r="C2556" s="2" t="s">
        <v>573</v>
      </c>
      <c r="D2556" s="2" t="str">
        <f t="shared" si="38"/>
        <v>Error?</v>
      </c>
    </row>
    <row r="2557" spans="1:4" x14ac:dyDescent="0.2">
      <c r="A2557" s="5">
        <v>2496</v>
      </c>
      <c r="B2557" s="138">
        <f>'Acct Summary 7-8'!C13</f>
        <v>530996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971012</v>
      </c>
      <c r="C2561" s="2" t="s">
        <v>573</v>
      </c>
      <c r="D2561" s="2" t="str">
        <f t="shared" si="39"/>
        <v>Error?</v>
      </c>
    </row>
    <row r="2562" spans="1:4" x14ac:dyDescent="0.2">
      <c r="A2562" s="5">
        <v>2501</v>
      </c>
      <c r="B2562" s="138">
        <f>'Acct Summary 7-8'!C20</f>
        <v>170977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12981</v>
      </c>
      <c r="D2718" s="2" t="str">
        <f t="shared" si="41"/>
        <v>Error?</v>
      </c>
    </row>
    <row r="2719" spans="1:4" x14ac:dyDescent="0.2">
      <c r="A2719" s="5">
        <v>2658</v>
      </c>
      <c r="B2719" s="138">
        <f>'Expenditures 15-22'!D51</f>
        <v>383</v>
      </c>
      <c r="D2719" s="2" t="str">
        <f t="shared" si="41"/>
        <v>Error?</v>
      </c>
    </row>
    <row r="2720" spans="1:4" x14ac:dyDescent="0.2">
      <c r="A2720" s="5">
        <v>2659</v>
      </c>
      <c r="B2720" s="138">
        <f>'Expenditures 15-22'!E51</f>
        <v>12946</v>
      </c>
      <c r="D2720" s="2" t="str">
        <f t="shared" si="41"/>
        <v>Error?</v>
      </c>
    </row>
    <row r="2721" spans="1:4" x14ac:dyDescent="0.2">
      <c r="A2721" s="5">
        <v>2660</v>
      </c>
      <c r="B2721" s="138">
        <f>'Expenditures 15-22'!F51</f>
        <v>5416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31726</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170977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678573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466934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1608923</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466934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1437946</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846541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168390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573</v>
      </c>
      <c r="D5120" s="2" t="str">
        <f t="shared" si="79"/>
        <v>Error?</v>
      </c>
    </row>
    <row r="5121" spans="1:4" x14ac:dyDescent="0.2">
      <c r="A5121" s="5">
        <v>5060</v>
      </c>
      <c r="B5121" s="138">
        <f>'Revenues 9-14'!C109</f>
        <v>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973599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1141989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1141989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0</v>
      </c>
      <c r="C5326" s="2" t="s">
        <v>573</v>
      </c>
      <c r="D5326" s="2" t="str">
        <f t="shared" si="82"/>
        <v>Error?</v>
      </c>
    </row>
    <row r="5327" spans="1:5" x14ac:dyDescent="0.2">
      <c r="A5327" s="5">
        <v>5266</v>
      </c>
      <c r="B5327" s="138">
        <f>'Revenues 9-14'!C268</f>
        <v>1141989</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174202</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170977</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0.20197131621504452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2674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1E-4</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S48" sqref="S4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1989</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5" t="str">
        <f>COVER!A17</f>
        <v>Boone-Winnebago Regional Alt School</v>
      </c>
      <c r="B7" s="2386"/>
      <c r="C7" s="2386"/>
      <c r="D7" s="2423"/>
      <c r="E7" s="2424">
        <f>COVER!A13</f>
        <v>4004000051</v>
      </c>
      <c r="F7" s="2425"/>
      <c r="G7" s="2392" t="str">
        <f>COVER!T23</f>
        <v>066-004238</v>
      </c>
      <c r="H7" s="2393"/>
      <c r="I7" s="2393"/>
      <c r="J7" s="2393"/>
      <c r="K7" s="2393"/>
      <c r="L7" s="239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5"/>
      <c r="B9" s="2396"/>
      <c r="C9" s="2396"/>
      <c r="D9" s="2396"/>
      <c r="E9" s="2396"/>
      <c r="F9" s="2397"/>
      <c r="G9" s="2398" t="str">
        <f>COVER!T13</f>
        <v>BENNING GROUP, LLC</v>
      </c>
      <c r="H9" s="2399"/>
      <c r="I9" s="2399"/>
      <c r="J9" s="2399"/>
      <c r="K9" s="2399"/>
      <c r="L9" s="2400"/>
    </row>
    <row r="10" spans="1:29" ht="13.5" customHeight="1" x14ac:dyDescent="0.2">
      <c r="A10" s="2382" t="str">
        <f>COVER!A38</f>
        <v>Scott Bloomquist</v>
      </c>
      <c r="B10" s="2383"/>
      <c r="C10" s="2383"/>
      <c r="D10" s="2383"/>
      <c r="E10" s="2383"/>
      <c r="F10" s="2384"/>
      <c r="G10" s="2398" t="str">
        <f>COVER!T17</f>
        <v>50 W. DOUGLAS STREET, SUITE 801</v>
      </c>
      <c r="H10" s="2411"/>
      <c r="I10" s="2411"/>
      <c r="J10" s="2411"/>
      <c r="K10" s="2411"/>
      <c r="L10" s="2412"/>
    </row>
    <row r="11" spans="1:29" ht="13.5" customHeight="1" x14ac:dyDescent="0.2">
      <c r="A11" s="1184" t="s">
        <v>1519</v>
      </c>
      <c r="B11" s="1185"/>
      <c r="C11" s="1186"/>
      <c r="D11" s="1191"/>
      <c r="E11" s="1186"/>
      <c r="F11" s="1190"/>
      <c r="G11" s="2398" t="str">
        <f>COVER!T19</f>
        <v>FREEPORT</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t="str">
        <f>COVER!T25</f>
        <v>jblocker@benninggroup.com</v>
      </c>
      <c r="J13" s="2420"/>
      <c r="K13" s="2420"/>
      <c r="L13" s="2421"/>
    </row>
    <row r="14" spans="1:29" ht="13.5" customHeight="1" x14ac:dyDescent="0.2">
      <c r="A14" s="2398" t="str">
        <f>COVER!A19</f>
        <v>300 Heart Blvd</v>
      </c>
      <c r="B14" s="2411"/>
      <c r="C14" s="2411"/>
      <c r="D14" s="2411"/>
      <c r="E14" s="2411"/>
      <c r="F14" s="2412"/>
      <c r="G14" s="1195" t="s">
        <v>1185</v>
      </c>
      <c r="H14" s="1193"/>
      <c r="I14" s="1193"/>
      <c r="J14" s="1193"/>
      <c r="K14" s="1193"/>
      <c r="L14" s="1194"/>
    </row>
    <row r="15" spans="1:29" ht="13.5" customHeight="1" x14ac:dyDescent="0.2">
      <c r="A15" s="2398" t="str">
        <f>COVER!A21</f>
        <v>Loves Park</v>
      </c>
      <c r="B15" s="2411"/>
      <c r="C15" s="2411"/>
      <c r="D15" s="2411"/>
      <c r="E15" s="2411"/>
      <c r="F15" s="2412"/>
      <c r="G15" s="2408" t="str">
        <f>COVER!T15</f>
        <v>JENNY L. BLOCKER</v>
      </c>
      <c r="H15" s="2409"/>
      <c r="I15" s="2409"/>
      <c r="J15" s="2409"/>
      <c r="K15" s="2409"/>
      <c r="L15" s="2410"/>
    </row>
    <row r="16" spans="1:29" ht="12.2" customHeight="1" x14ac:dyDescent="0.2">
      <c r="A16" s="2388">
        <f>COVER!A25</f>
        <v>61111</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5" t="s">
        <v>1184</v>
      </c>
      <c r="H17" s="1193"/>
      <c r="I17" s="1193"/>
      <c r="J17" s="1193"/>
      <c r="K17" s="1197" t="s">
        <v>1183</v>
      </c>
      <c r="L17" s="1190"/>
      <c r="M17" s="1183"/>
    </row>
    <row r="18" spans="1:13" ht="12.2" customHeight="1" x14ac:dyDescent="0.2">
      <c r="A18" s="2382"/>
      <c r="B18" s="2383"/>
      <c r="C18" s="2383"/>
      <c r="D18" s="2383"/>
      <c r="E18" s="2383"/>
      <c r="F18" s="2384"/>
      <c r="G18" s="2385" t="str">
        <f>COVER!T21</f>
        <v>815/235-3157</v>
      </c>
      <c r="H18" s="2386"/>
      <c r="I18" s="2386"/>
      <c r="J18" s="2386"/>
      <c r="K18" s="2385" t="str">
        <f>COVER!X21</f>
        <v>815/235-3158</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S48" sqref="S48"/>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Boone-Winnebago Regional Alt School</v>
      </c>
      <c r="B1" s="2422"/>
      <c r="C1" s="2422"/>
      <c r="D1" s="2422"/>
    </row>
    <row r="2" spans="1:11" s="1212" customFormat="1" ht="12.75" x14ac:dyDescent="0.2">
      <c r="A2" s="2427">
        <f>'Single Audit Cover'!E7</f>
        <v>4004000051</v>
      </c>
      <c r="B2" s="2428"/>
      <c r="C2" s="2428"/>
      <c r="D2" s="2428"/>
    </row>
    <row r="3" spans="1:11" s="1212" customFormat="1" ht="12.75" x14ac:dyDescent="0.2">
      <c r="A3" s="2426" t="s">
        <v>1513</v>
      </c>
      <c r="B3" s="2422"/>
      <c r="C3" s="2422"/>
      <c r="D3" s="242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S48" sqref="S48"/>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Boone-Winnebago Regional Alt School</v>
      </c>
      <c r="B1" s="2430"/>
      <c r="C1" s="2430"/>
      <c r="D1" s="2430"/>
      <c r="E1" s="2430"/>
    </row>
    <row r="2" spans="1:5" x14ac:dyDescent="0.2">
      <c r="A2" s="2431">
        <f>'Single Audit Cover'!E7</f>
        <v>4004000051</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S48" sqref="S4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Boone-Winnebago Regional Alt School</v>
      </c>
      <c r="C1" s="2434"/>
      <c r="D1" s="2434"/>
      <c r="E1" s="2434"/>
      <c r="F1" s="2434"/>
      <c r="G1" s="2434"/>
      <c r="H1" s="2434"/>
      <c r="I1" s="2434"/>
      <c r="J1" s="2434"/>
      <c r="K1" s="2434"/>
      <c r="L1" s="2434"/>
      <c r="M1" s="2434"/>
    </row>
    <row r="2" spans="2:14" ht="15" x14ac:dyDescent="0.2">
      <c r="B2" s="2435">
        <f>'Single Audit Cover'!E7</f>
        <v>4004000051</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S48" sqref="S4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Boone-Winnebago Regional Alt School</v>
      </c>
      <c r="B1" s="2439"/>
      <c r="C1" s="2439"/>
      <c r="D1" s="2439"/>
      <c r="E1" s="2439"/>
      <c r="F1" s="2439"/>
    </row>
    <row r="2" spans="1:7" ht="13.5" customHeight="1" x14ac:dyDescent="0.2">
      <c r="A2" s="2435">
        <f>'Single Audit Cover'!E7</f>
        <v>4004000051</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1729</v>
      </c>
      <c r="B7" s="2438"/>
      <c r="C7" s="2438"/>
      <c r="D7" s="2438"/>
      <c r="E7" s="2438"/>
      <c r="F7" s="243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8" t="s">
        <v>1731</v>
      </c>
      <c r="B13" s="2438"/>
      <c r="C13" s="2438"/>
      <c r="D13" s="2438"/>
      <c r="E13" s="2438"/>
      <c r="F13" s="2438"/>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1732</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S48" sqref="S4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2097</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S48" sqref="S48"/>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Boone-Winnebago Regional Alt School</v>
      </c>
      <c r="C1" s="2455"/>
      <c r="D1" s="2455"/>
      <c r="E1" s="2455"/>
      <c r="F1" s="2455"/>
      <c r="G1" s="2455"/>
      <c r="H1" s="2455"/>
      <c r="I1" s="2455"/>
      <c r="J1" s="1406"/>
    </row>
    <row r="2" spans="2:10" s="317" customFormat="1" ht="12.75" customHeight="1" x14ac:dyDescent="0.2">
      <c r="B2" s="2456">
        <f>'Single Audit Cover'!E7</f>
        <v>4004000051</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c r="E29" s="2461"/>
      <c r="F29" s="2461"/>
      <c r="G29" s="2461"/>
      <c r="H29" s="2461"/>
      <c r="I29" s="246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2" t="s">
        <v>1751</v>
      </c>
      <c r="D37" s="2463"/>
      <c r="E37" s="2463"/>
      <c r="F37" s="2464"/>
      <c r="G37" s="2462" t="s">
        <v>1592</v>
      </c>
      <c r="H37" s="2463"/>
      <c r="I37" s="2464"/>
    </row>
    <row r="38" spans="2:9" ht="16.5" customHeight="1" x14ac:dyDescent="0.2">
      <c r="B38" s="1428"/>
      <c r="C38" s="2450"/>
      <c r="D38" s="2451"/>
      <c r="E38" s="2451"/>
      <c r="F38" s="2452"/>
      <c r="G38" s="2465"/>
      <c r="H38" s="2466"/>
      <c r="I38" s="2467"/>
    </row>
    <row r="39" spans="2:9" ht="16.5" customHeight="1" x14ac:dyDescent="0.2">
      <c r="B39" s="1428"/>
      <c r="C39" s="2450"/>
      <c r="D39" s="2451"/>
      <c r="E39" s="2451"/>
      <c r="F39" s="2452"/>
      <c r="G39" s="2453"/>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1593</v>
      </c>
      <c r="D43" s="2469"/>
      <c r="E43" s="2469"/>
      <c r="F43" s="2470"/>
      <c r="G43" s="2471">
        <f>SUM(G38:I42)</f>
        <v>0</v>
      </c>
      <c r="H43" s="2471"/>
      <c r="I43" s="2471"/>
    </row>
    <row r="44" spans="2:9" ht="12.75" customHeight="1" x14ac:dyDescent="0.2"/>
    <row r="45" spans="2:9" ht="12.75" customHeight="1" x14ac:dyDescent="0.2">
      <c r="B45" s="1419" t="s">
        <v>1841</v>
      </c>
      <c r="D45" s="2472">
        <v>0</v>
      </c>
      <c r="E45" s="247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4"/>
      <c r="F49" s="2474"/>
      <c r="G49" s="247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S48" sqref="S4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Boone-Winnebago Regional Alt School</v>
      </c>
      <c r="C1" s="2454"/>
      <c r="D1" s="2454"/>
      <c r="E1" s="2454"/>
      <c r="F1" s="2454"/>
      <c r="G1" s="2454"/>
      <c r="H1" s="2454"/>
      <c r="I1" s="2454"/>
      <c r="J1" s="2454"/>
      <c r="K1" s="2454"/>
      <c r="L1" s="1371"/>
      <c r="M1" s="1371"/>
    </row>
    <row r="2" spans="1:13" ht="12" customHeight="1" x14ac:dyDescent="0.2">
      <c r="B2" s="2456">
        <f>'Single Audit Cover'!E7</f>
        <v>4004000051</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S48" sqref="S4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Boone-Winnebago Regional Alt School</v>
      </c>
      <c r="C1" s="2481"/>
      <c r="D1" s="2481"/>
      <c r="E1" s="2481"/>
      <c r="F1" s="2481"/>
      <c r="G1" s="2481"/>
      <c r="H1" s="2481"/>
      <c r="I1" s="2481"/>
      <c r="J1" s="2481"/>
      <c r="K1" s="2481"/>
      <c r="L1" s="1449"/>
    </row>
    <row r="2" spans="1:12" ht="12.75" customHeight="1" x14ac:dyDescent="0.2">
      <c r="B2" s="2482">
        <f>'Single Audit Cover'!E7</f>
        <v>4004000051</v>
      </c>
      <c r="C2" s="2482"/>
      <c r="D2" s="2482"/>
      <c r="E2" s="2482"/>
      <c r="F2" s="2482"/>
      <c r="G2" s="2482"/>
      <c r="H2" s="2482"/>
      <c r="I2" s="2482"/>
      <c r="J2" s="2482"/>
      <c r="K2" s="2482"/>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S48" sqref="S4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Boone-Winnebago Regional Alt School</v>
      </c>
      <c r="C1" s="2454"/>
      <c r="D1" s="2454"/>
      <c r="E1" s="1469"/>
    </row>
    <row r="2" spans="2:5" s="1279" customFormat="1" ht="12.75" customHeight="1" x14ac:dyDescent="0.2">
      <c r="B2" s="2456">
        <f>'Single Audit Cover'!E7</f>
        <v>4004000051</v>
      </c>
      <c r="C2" s="2456"/>
      <c r="D2" s="2456"/>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S48" sqref="S4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1141989</v>
      </c>
      <c r="E16" s="356"/>
      <c r="F16" s="1733">
        <f>SUM('Acct Summary 7-8'!C17,'Acct Summary 7-8'!D17,'Acct Summary 7-8'!F17)</f>
        <v>971012</v>
      </c>
      <c r="G16" s="356"/>
      <c r="H16" s="1733">
        <f>SUM(D16-F16)</f>
        <v>170977</v>
      </c>
      <c r="I16" s="222"/>
      <c r="J16" s="1733">
        <f>SUM('Acct Summary 7-8'!C81,'Acct Summary 7-8'!D81,'Acct Summary 7-8'!F81,'Acct Summary 7-8'!I81)</f>
        <v>846541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S48" sqref="S4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Boone-Winnebago Regional Alt School</v>
      </c>
      <c r="E7" s="391"/>
      <c r="G7" s="252"/>
      <c r="H7" s="387"/>
      <c r="I7" s="387"/>
      <c r="J7" s="387"/>
      <c r="K7" s="387"/>
      <c r="L7" s="329"/>
      <c r="M7" s="329"/>
      <c r="N7" s="329"/>
      <c r="O7" s="329"/>
      <c r="P7" s="329"/>
    </row>
    <row r="8" spans="1:18" ht="12.75" x14ac:dyDescent="0.2">
      <c r="A8" s="329"/>
      <c r="B8" s="329"/>
      <c r="C8" s="389" t="s">
        <v>1125</v>
      </c>
      <c r="D8" s="392">
        <f>COVER!A13</f>
        <v>4004000051</v>
      </c>
      <c r="E8" s="393"/>
      <c r="G8" s="329"/>
      <c r="H8" s="329"/>
      <c r="I8" s="329"/>
      <c r="J8" s="329"/>
      <c r="K8" s="329"/>
      <c r="L8" s="329"/>
      <c r="M8" s="329"/>
      <c r="N8" s="329"/>
      <c r="O8" s="329"/>
      <c r="P8" s="329"/>
    </row>
    <row r="9" spans="1:18" ht="12.75" x14ac:dyDescent="0.2">
      <c r="A9" s="329"/>
      <c r="B9" s="329"/>
      <c r="C9" s="389" t="s">
        <v>713</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846541</v>
      </c>
      <c r="I12" s="404"/>
      <c r="J12" s="404"/>
      <c r="K12" s="405">
        <f>TRUNC((H12/H13*100000),5)/100000</f>
        <v>0.74128647469999998</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1141989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971012</v>
      </c>
      <c r="I17" s="404"/>
      <c r="J17" s="416"/>
      <c r="K17" s="405">
        <f>TRUNC((H17/H18*100000),5)/100000</f>
        <v>0.850281395</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1141989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678573</v>
      </c>
      <c r="I24" s="422"/>
      <c r="J24" s="422"/>
      <c r="K24" s="423">
        <f>TRUNC(((H24/H25*100000)/100000),2)</f>
        <v>251.57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2697.2555600000001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5" activePane="bottomLeft" state="frozen"/>
      <selection activeCell="S48" sqref="S48"/>
      <selection pane="bottomLeft" activeCell="S48" sqref="S4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678573</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174202</v>
      </c>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852775</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40866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40866</v>
      </c>
      <c r="N23" s="1688">
        <f>SUM(N21:N22)</f>
        <v>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6234</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6234</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846541</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40866</v>
      </c>
      <c r="N40" s="497"/>
    </row>
    <row r="41" spans="1:14" ht="13.5" customHeight="1" thickBot="1" x14ac:dyDescent="0.25">
      <c r="A41" s="1736" t="s">
        <v>655</v>
      </c>
      <c r="B41" s="1706"/>
      <c r="C41" s="1688">
        <f>(SUM(C34,C37,C38,C39))</f>
        <v>852775</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40866</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S48" sqref="S48"/>
      <selection pane="bottomLeft" activeCell="S48" sqref="S4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0</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1141989</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1141989</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466934</v>
      </c>
      <c r="D9" s="516"/>
      <c r="E9" s="481"/>
      <c r="F9" s="481"/>
      <c r="G9" s="517"/>
      <c r="H9" s="481"/>
      <c r="I9" s="509" t="s">
        <v>1169</v>
      </c>
      <c r="J9" s="478"/>
      <c r="K9" s="481"/>
      <c r="L9" s="347"/>
    </row>
    <row r="10" spans="1:13" s="519" customFormat="1" ht="13.5" thickBot="1" x14ac:dyDescent="0.25">
      <c r="A10" s="1736" t="s">
        <v>1173</v>
      </c>
      <c r="B10" s="1709"/>
      <c r="C10" s="1688">
        <f>SUM(C8:C9)</f>
        <v>1608923</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440016</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530996</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971012</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466934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1437946</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7" t="s">
        <v>1655</v>
      </c>
      <c r="B20" s="2128"/>
      <c r="C20" s="1746">
        <f>C8-C17</f>
        <v>170977</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9" t="s">
        <v>1177</v>
      </c>
      <c r="B77" s="2120"/>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3" t="s">
        <v>597</v>
      </c>
      <c r="B78" s="2124"/>
      <c r="C78" s="1702">
        <f t="shared" ref="C78:K78" si="9">C20+C77</f>
        <v>170977</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1949</v>
      </c>
      <c r="B79" s="534"/>
      <c r="C79" s="478">
        <v>675564</v>
      </c>
      <c r="D79" s="535"/>
      <c r="E79" s="535"/>
      <c r="F79" s="535"/>
      <c r="G79" s="535"/>
      <c r="H79" s="535"/>
      <c r="I79" s="535"/>
      <c r="J79" s="535"/>
      <c r="K79" s="535"/>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1950</v>
      </c>
      <c r="B81" s="2122"/>
      <c r="C81" s="1688">
        <f>(SUM(C78:C80))</f>
        <v>846541</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170977</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0.20197131621504452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165" activePane="bottomLeft" state="frozen"/>
      <selection activeCell="S48" sqref="S48"/>
      <selection pane="bottomLeft" activeCell="C118" sqref="C11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0</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0</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973599</v>
      </c>
      <c r="D117" s="481"/>
      <c r="E117" s="466"/>
      <c r="F117" s="481"/>
      <c r="G117" s="481"/>
      <c r="H117" s="466"/>
      <c r="I117" s="468"/>
      <c r="J117" s="467"/>
      <c r="K117" s="466"/>
    </row>
    <row r="118" spans="1:11" ht="12.75" customHeight="1" x14ac:dyDescent="0.2">
      <c r="A118" s="463" t="s">
        <v>1799</v>
      </c>
      <c r="B118" s="562">
        <v>3002</v>
      </c>
      <c r="C118" s="551">
        <v>168390</v>
      </c>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1141989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5" t="s">
        <v>398</v>
      </c>
      <c r="B169" s="2146"/>
      <c r="C169" s="1722">
        <f t="shared" ref="C169:K169" si="6">SUM(C132,C141,C145,C146:C150,C155,C156:C167,C168)</f>
        <v>0</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1141989</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1141989</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S48" sqref="S48"/>
      <selection pane="bottomLeft" activeCell="S48" sqref="S4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315712</v>
      </c>
      <c r="D5" s="466">
        <v>9290</v>
      </c>
      <c r="E5" s="466">
        <v>6585</v>
      </c>
      <c r="F5" s="466">
        <v>104422</v>
      </c>
      <c r="G5" s="466">
        <v>4007</v>
      </c>
      <c r="H5" s="466"/>
      <c r="I5" s="467"/>
      <c r="J5" s="467"/>
      <c r="K5" s="1671">
        <f>SUM(C5:J5)</f>
        <v>440016</v>
      </c>
      <c r="L5" s="466">
        <v>450305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315712</v>
      </c>
      <c r="D33" s="1670">
        <f t="shared" ref="D33:L33" si="1">SUM(D5:D32)</f>
        <v>9290</v>
      </c>
      <c r="E33" s="1670">
        <f t="shared" si="1"/>
        <v>6585</v>
      </c>
      <c r="F33" s="1670">
        <f t="shared" si="1"/>
        <v>104422</v>
      </c>
      <c r="G33" s="1670">
        <f t="shared" si="1"/>
        <v>4007</v>
      </c>
      <c r="H33" s="1670">
        <f t="shared" si="1"/>
        <v>0</v>
      </c>
      <c r="I33" s="1670">
        <f t="shared" si="1"/>
        <v>0</v>
      </c>
      <c r="J33" s="1670">
        <f t="shared" si="1"/>
        <v>0</v>
      </c>
      <c r="K33" s="1670">
        <f t="shared" si="1"/>
        <v>440016</v>
      </c>
      <c r="L33" s="1670">
        <f t="shared" si="1"/>
        <v>450305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v>1081</v>
      </c>
      <c r="F36" s="481"/>
      <c r="G36" s="481"/>
      <c r="H36" s="481"/>
      <c r="I36" s="467"/>
      <c r="J36" s="467"/>
      <c r="K36" s="1671">
        <f t="shared" ref="K36:K41" si="2">SUM(C36:J36)</f>
        <v>1081</v>
      </c>
      <c r="L36" s="466"/>
    </row>
    <row r="37" spans="1:14" x14ac:dyDescent="0.2">
      <c r="A37" s="1504" t="s">
        <v>1090</v>
      </c>
      <c r="B37" s="614">
        <v>2120</v>
      </c>
      <c r="C37" s="466">
        <v>65000</v>
      </c>
      <c r="D37" s="466">
        <v>10100</v>
      </c>
      <c r="E37" s="466">
        <v>15560</v>
      </c>
      <c r="F37" s="466"/>
      <c r="G37" s="466"/>
      <c r="H37" s="466"/>
      <c r="I37" s="467"/>
      <c r="J37" s="467"/>
      <c r="K37" s="1671">
        <f t="shared" si="2"/>
        <v>90660</v>
      </c>
      <c r="L37" s="466">
        <v>82239</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65000</v>
      </c>
      <c r="D42" s="1670">
        <f t="shared" ref="D42:L42" si="3">SUM(D36:D41)</f>
        <v>10100</v>
      </c>
      <c r="E42" s="1670">
        <f t="shared" si="3"/>
        <v>16641</v>
      </c>
      <c r="F42" s="1670">
        <f t="shared" si="3"/>
        <v>0</v>
      </c>
      <c r="G42" s="1670">
        <f t="shared" si="3"/>
        <v>0</v>
      </c>
      <c r="H42" s="1670">
        <f t="shared" si="3"/>
        <v>0</v>
      </c>
      <c r="I42" s="1670">
        <f t="shared" si="3"/>
        <v>0</v>
      </c>
      <c r="J42" s="1670">
        <f t="shared" si="3"/>
        <v>0</v>
      </c>
      <c r="K42" s="1670">
        <f t="shared" si="3"/>
        <v>91741</v>
      </c>
      <c r="L42" s="1670">
        <f t="shared" si="3"/>
        <v>82239</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71</v>
      </c>
      <c r="F44" s="481">
        <v>154</v>
      </c>
      <c r="G44" s="481"/>
      <c r="H44" s="481"/>
      <c r="I44" s="467"/>
      <c r="J44" s="467"/>
      <c r="K44" s="1672">
        <f>SUM(C44:J44)</f>
        <v>225</v>
      </c>
      <c r="L44" s="481">
        <v>36500</v>
      </c>
    </row>
    <row r="45" spans="1:14" x14ac:dyDescent="0.2">
      <c r="A45" s="1504" t="s">
        <v>815</v>
      </c>
      <c r="B45" s="614">
        <v>2220</v>
      </c>
      <c r="C45" s="466"/>
      <c r="D45" s="466"/>
      <c r="E45" s="466"/>
      <c r="F45" s="466"/>
      <c r="G45" s="466"/>
      <c r="H45" s="466"/>
      <c r="I45" s="467"/>
      <c r="J45" s="467"/>
      <c r="K45" s="1672">
        <f>SUM(C45:J45)</f>
        <v>0</v>
      </c>
      <c r="L45" s="466">
        <v>6218</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71</v>
      </c>
      <c r="F47" s="1670">
        <f t="shared" si="4"/>
        <v>154</v>
      </c>
      <c r="G47" s="1670">
        <f t="shared" si="4"/>
        <v>0</v>
      </c>
      <c r="H47" s="1670">
        <f t="shared" si="4"/>
        <v>0</v>
      </c>
      <c r="I47" s="1670">
        <f t="shared" si="4"/>
        <v>0</v>
      </c>
      <c r="J47" s="1670">
        <f t="shared" si="4"/>
        <v>0</v>
      </c>
      <c r="K47" s="1670">
        <f t="shared" si="4"/>
        <v>225</v>
      </c>
      <c r="L47" s="1670">
        <f>SUM(L44:L46)</f>
        <v>42718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v>12000</v>
      </c>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v>12981</v>
      </c>
      <c r="D51" s="466">
        <v>383</v>
      </c>
      <c r="E51" s="466">
        <v>12946</v>
      </c>
      <c r="F51" s="466">
        <v>5416</v>
      </c>
      <c r="G51" s="466"/>
      <c r="H51" s="466"/>
      <c r="I51" s="467"/>
      <c r="J51" s="467"/>
      <c r="K51" s="1672">
        <f>SUM(C51:J51)</f>
        <v>31726</v>
      </c>
      <c r="L51" s="466">
        <v>41277</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12981</v>
      </c>
      <c r="D53" s="1670">
        <f t="shared" ref="D53:L53" si="5">SUM(D49:D52)</f>
        <v>383</v>
      </c>
      <c r="E53" s="1670">
        <f t="shared" si="5"/>
        <v>12946</v>
      </c>
      <c r="F53" s="1670">
        <f t="shared" si="5"/>
        <v>5416</v>
      </c>
      <c r="G53" s="1670">
        <f t="shared" si="5"/>
        <v>0</v>
      </c>
      <c r="H53" s="1670">
        <f t="shared" si="5"/>
        <v>0</v>
      </c>
      <c r="I53" s="1670">
        <f t="shared" si="5"/>
        <v>0</v>
      </c>
      <c r="J53" s="1670">
        <f t="shared" si="5"/>
        <v>0</v>
      </c>
      <c r="K53" s="1670">
        <f t="shared" si="5"/>
        <v>31726</v>
      </c>
      <c r="L53" s="1670">
        <f t="shared" si="5"/>
        <v>53277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v>268710</v>
      </c>
      <c r="D56" s="466">
        <v>40463</v>
      </c>
      <c r="E56" s="466">
        <v>3376</v>
      </c>
      <c r="F56" s="466"/>
      <c r="G56" s="466"/>
      <c r="H56" s="466"/>
      <c r="I56" s="467"/>
      <c r="J56" s="467"/>
      <c r="K56" s="1672">
        <f>SUM(C56:J56)</f>
        <v>312549</v>
      </c>
      <c r="L56" s="466">
        <v>321272</v>
      </c>
    </row>
    <row r="57" spans="1:14" s="343" customFormat="1" ht="12.75" customHeight="1" thickBot="1" x14ac:dyDescent="0.25">
      <c r="A57" s="1668" t="s">
        <v>263</v>
      </c>
      <c r="B57" s="1673" t="s">
        <v>34</v>
      </c>
      <c r="C57" s="1674">
        <f>SUM(C55:C56)</f>
        <v>268710</v>
      </c>
      <c r="D57" s="1674">
        <f t="shared" ref="D57:K57" si="6">SUM(D55:D56)</f>
        <v>40463</v>
      </c>
      <c r="E57" s="1674">
        <f t="shared" si="6"/>
        <v>3376</v>
      </c>
      <c r="F57" s="1674">
        <f t="shared" si="6"/>
        <v>0</v>
      </c>
      <c r="G57" s="1674">
        <f t="shared" si="6"/>
        <v>0</v>
      </c>
      <c r="H57" s="1674">
        <f t="shared" si="6"/>
        <v>0</v>
      </c>
      <c r="I57" s="1674">
        <f t="shared" si="6"/>
        <v>0</v>
      </c>
      <c r="J57" s="1674">
        <f t="shared" si="6"/>
        <v>0</v>
      </c>
      <c r="K57" s="1674">
        <f t="shared" si="6"/>
        <v>312549</v>
      </c>
      <c r="L57" s="1670">
        <f>SUM(L55:L56)</f>
        <v>321272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v>9647</v>
      </c>
      <c r="F60" s="466"/>
      <c r="G60" s="466"/>
      <c r="H60" s="466"/>
      <c r="I60" s="467"/>
      <c r="J60" s="467"/>
      <c r="K60" s="1672">
        <f t="shared" si="7"/>
        <v>9647</v>
      </c>
      <c r="L60" s="466">
        <v>15637</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9647</v>
      </c>
      <c r="F65" s="1670">
        <f t="shared" si="8"/>
        <v>0</v>
      </c>
      <c r="G65" s="1670">
        <f t="shared" si="8"/>
        <v>0</v>
      </c>
      <c r="H65" s="1670">
        <f t="shared" si="8"/>
        <v>0</v>
      </c>
      <c r="I65" s="1670">
        <f t="shared" si="8"/>
        <v>0</v>
      </c>
      <c r="J65" s="1670">
        <f t="shared" si="8"/>
        <v>0</v>
      </c>
      <c r="K65" s="1670">
        <f t="shared" si="8"/>
        <v>9647</v>
      </c>
      <c r="L65" s="1670">
        <f t="shared" si="8"/>
        <v>15637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v>73586</v>
      </c>
      <c r="D73" s="573">
        <v>10136</v>
      </c>
      <c r="E73" s="573">
        <v>1386</v>
      </c>
      <c r="F73" s="573"/>
      <c r="G73" s="573"/>
      <c r="H73" s="573"/>
      <c r="I73" s="531"/>
      <c r="J73" s="531"/>
      <c r="K73" s="1670">
        <f>SUM(C73:J73)</f>
        <v>85108</v>
      </c>
      <c r="L73" s="576">
        <v>97508</v>
      </c>
      <c r="M73" s="609"/>
      <c r="N73" s="609"/>
    </row>
    <row r="74" spans="1:14" ht="12.75" customHeight="1" thickTop="1" thickBot="1" x14ac:dyDescent="0.25">
      <c r="A74" s="1668" t="s">
        <v>811</v>
      </c>
      <c r="B74" s="1676">
        <v>2000</v>
      </c>
      <c r="C74" s="1677">
        <f>SUM(C42,C47,C53,C57,C65,C72,C73)</f>
        <v>420277</v>
      </c>
      <c r="D74" s="1677">
        <f t="shared" ref="D74:K74" si="10">SUM(D42,D47,D53,D57,D65,D72,D73)</f>
        <v>61082</v>
      </c>
      <c r="E74" s="1677">
        <f t="shared" si="10"/>
        <v>44067</v>
      </c>
      <c r="F74" s="1677">
        <f t="shared" si="10"/>
        <v>5570</v>
      </c>
      <c r="G74" s="1677">
        <f t="shared" si="10"/>
        <v>0</v>
      </c>
      <c r="H74" s="1677">
        <f t="shared" si="10"/>
        <v>0</v>
      </c>
      <c r="I74" s="1677">
        <f t="shared" si="10"/>
        <v>0</v>
      </c>
      <c r="J74" s="1677">
        <f t="shared" si="10"/>
        <v>0</v>
      </c>
      <c r="K74" s="1677">
        <f t="shared" si="10"/>
        <v>530996</v>
      </c>
      <c r="L74" s="1677">
        <f>SUM(L42,L47,L53,L57,L65,L72,L73)</f>
        <v>612651</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0</v>
      </c>
      <c r="I102" s="477"/>
      <c r="J102" s="477"/>
      <c r="K102" s="1677">
        <f>SUM(K84,K92,K100,K101)</f>
        <v>0</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735989</v>
      </c>
      <c r="D114" s="1670">
        <f t="shared" ref="D114:K114" si="13">SUM(D33,D74,D75,D102,D112,D113)</f>
        <v>70372</v>
      </c>
      <c r="E114" s="1670">
        <f t="shared" si="13"/>
        <v>50652</v>
      </c>
      <c r="F114" s="1670">
        <f t="shared" si="13"/>
        <v>109992</v>
      </c>
      <c r="G114" s="1670">
        <f t="shared" si="13"/>
        <v>4007</v>
      </c>
      <c r="H114" s="1670">
        <f>SUM(H33,H74,H75,H102,H112,H113)</f>
        <v>0</v>
      </c>
      <c r="I114" s="1670">
        <f t="shared" si="13"/>
        <v>0</v>
      </c>
      <c r="J114" s="1670">
        <f t="shared" si="13"/>
        <v>0</v>
      </c>
      <c r="K114" s="1670">
        <f t="shared" si="13"/>
        <v>971012</v>
      </c>
      <c r="L114" s="1670">
        <f>SUM(L33,L74,L75,L102,L112,L113)</f>
        <v>1062956</v>
      </c>
    </row>
    <row r="115" spans="1:14" ht="13.5" thickTop="1" x14ac:dyDescent="0.2">
      <c r="A115" s="2157" t="s">
        <v>996</v>
      </c>
      <c r="B115" s="2158"/>
      <c r="C115" s="618"/>
      <c r="D115" s="618"/>
      <c r="E115" s="618"/>
      <c r="F115" s="618"/>
      <c r="G115" s="618"/>
      <c r="H115" s="618"/>
      <c r="I115" s="618"/>
      <c r="J115" s="618"/>
      <c r="K115" s="1684">
        <f>'Revenues 9-14'!C268-'Expenditures 15-22'!K114</f>
        <v>170977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4"/>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7" t="s">
        <v>1178</v>
      </c>
      <c r="B152" s="2178"/>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7" t="s">
        <v>996</v>
      </c>
      <c r="B175" s="2158"/>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7" t="s">
        <v>996</v>
      </c>
      <c r="B211" s="2158"/>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7" t="s">
        <v>996</v>
      </c>
      <c r="B296" s="2158"/>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70" t="s">
        <v>996</v>
      </c>
      <c r="B343" s="2171"/>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7" t="s">
        <v>996</v>
      </c>
      <c r="B368" s="2158"/>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6ce3111e-7420-4802-b50a-75d4e9a0b980"/>
    <ds:schemaRef ds:uri="4d435f69-8686-490b-bd6d-b153bf22ab50"/>
    <ds:schemaRef ds:uri="d21dc803-237d-4c68-8692-8d731fd29118"/>
    <ds:schemaRef ds:uri="http://schemas.microsoft.com/sharepoint/v3"/>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2019-12-13T00:31:03Z</cp:lastPrinted>
  <dcterms:created xsi:type="dcterms:W3CDTF">2003-10-29T19:06:34Z</dcterms:created>
  <dcterms:modified xsi:type="dcterms:W3CDTF">2019-12-31T14:38:07Z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