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8F779A96-25F4-4621-B1C8-B0A470180512}"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82" i="36"/>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1" i="127"/>
  <c r="B62" i="127"/>
  <c r="D26" i="108"/>
  <c r="E26" i="108"/>
  <c r="F26" i="108"/>
  <c r="D27" i="108"/>
  <c r="E27" i="108"/>
  <c r="F27" i="108"/>
  <c r="G27" i="108"/>
  <c r="E28" i="108"/>
  <c r="F28" i="108"/>
  <c r="F31" i="108"/>
  <c r="F36" i="108"/>
  <c r="F37" i="108"/>
  <c r="G28" i="108"/>
  <c r="E29" i="108"/>
  <c r="E30" i="108"/>
  <c r="G30"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22" i="37"/>
  <c r="J22" i="37"/>
  <c r="L22" i="37"/>
  <c r="L5" i="11"/>
  <c r="B2056" i="106" s="1"/>
  <c r="D2056" i="106" s="1"/>
  <c r="D9" i="7"/>
  <c r="B1767" i="106" s="1"/>
  <c r="D1767" i="106" s="1"/>
  <c r="B2724" i="106" l="1"/>
  <c r="D2724" i="106" s="1"/>
  <c r="B7235" i="106"/>
  <c r="D7235" i="106" s="1"/>
  <c r="H342" i="29"/>
  <c r="F77" i="4"/>
  <c r="B3255" i="106" s="1"/>
  <c r="D3255" i="106" s="1"/>
  <c r="F46" i="34"/>
  <c r="F49" i="34"/>
  <c r="F44" i="34"/>
  <c r="F36" i="34"/>
  <c r="J41" i="3"/>
  <c r="L342" i="29"/>
  <c r="K184" i="29"/>
  <c r="F13" i="4" s="1"/>
  <c r="B2596" i="106" s="1"/>
  <c r="D2596" i="106" s="1"/>
  <c r="G210" i="29"/>
  <c r="G15" i="145"/>
  <c r="D17" i="7"/>
  <c r="B4104" i="106" s="1"/>
  <c r="D4104" i="106" s="1"/>
  <c r="D24" i="37"/>
  <c r="B4270" i="106" s="1"/>
  <c r="D4270" i="106" s="1"/>
  <c r="D11" i="37"/>
  <c r="F72" i="34"/>
  <c r="G35" i="108"/>
  <c r="D54" i="36"/>
  <c r="I26" i="12"/>
  <c r="B7741" i="106" s="1"/>
  <c r="D7741" i="106" s="1"/>
  <c r="B6289" i="106"/>
  <c r="D6289" i="106" s="1"/>
  <c r="J77" i="4"/>
  <c r="B6262" i="106" s="1"/>
  <c r="D6262" i="106" s="1"/>
  <c r="K41" i="3"/>
  <c r="C129" i="29"/>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L16" i="11" l="1"/>
  <c r="B2061" i="106" s="1"/>
  <c r="D2061" i="106" s="1"/>
  <c r="C114" i="29"/>
  <c r="B757" i="106" s="1"/>
  <c r="D757" i="106" s="1"/>
  <c r="D44" i="36"/>
  <c r="G170" i="5"/>
  <c r="L114" i="29"/>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B5778" i="106"/>
  <c r="D5778" i="106" s="1"/>
  <c r="G6" i="4"/>
  <c r="B2604" i="106" s="1"/>
  <c r="D2604"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<sst xmlns="http://schemas.openxmlformats.org/spreadsheetml/2006/main" count="5084" uniqueCount="2097">
  <si>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</si>
  <si>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</si>
  <si>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</si>
  <si>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</si>
  <si>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</si>
  <si>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</si>
  <si>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</si>
  <si>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</si>
  <si>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</si>
  <si>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</si>
  <si>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</si>
  <si>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</si>
  <si>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</si>
  <si>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</si>
  <si>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</si>
  <si>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</si>
  <si>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</si>
  <si>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</si>
  <si>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</si>
  <si>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</si>
  <si>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</si>
  <si>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</si>
  <si>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</si>
  <si>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</si>
  <si>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</si>
  <si>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</si>
  <si>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</si>
  <si>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</si>
  <si>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</si>
  <si>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</si>
  <si>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</si>
  <si>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</si>
  <si>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</si>
  <si>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</si>
  <si>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</si>
  <si>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</si>
  <si>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</si>
  <si>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</si>
  <si>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</si>
  <si>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</si>
  <si>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</si>
  <si>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</si>
  <si>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</si>
  <si>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</si>
  <si>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</si>
  <si>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</si>
  <si>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</si>
  <si>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</si>
  <si>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</si>
  <si>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</si>
  <si>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</si>
  <si>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</si>
  <si>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</si>
  <si>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</si>
  <si>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</si>
  <si>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</si>
  <si>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</si>
  <si>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</si>
  <si>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</si>
  <si>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</si>
  <si>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</si>
  <si>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</si>
  <si>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</si>
  <si>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</si>
  <si>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</si>
  <si>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</si>
  <si>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</si>
  <si>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</si>
  <si>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</si>
  <si>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</si>
  <si>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</si>
  <si>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</si>
  <si>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</si>
  <si>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</si>
  <si>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</si>
  <si>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</si>
  <si>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</si>
  <si>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</si>
  <si>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</si>
  <si>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</si>
  <si>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</si>
  <si>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</si>
  <si>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</si>
  <si>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</si>
  <si>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</si>
  <si>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</si>
  <si>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</si>
  <si>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</si>
  <si>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</si>
  <si>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</si>
  <si>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</si>
  <si>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</si>
  <si>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</si>
  <si>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</si>
  <si>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</si>
  <si>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</si>
  <si>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</si>
  <si>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</si>
  <si>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</si>
  <si>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</si>
  <si>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</si>
  <si>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</si>
  <si>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</si>
  <si>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</si>
  <si>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</si>
  <si>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</si>
  <si>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</si>
  <si>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</si>
  <si>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</si>
  <si>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</si>
  <si>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</si>
  <si>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</si>
  <si>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</si>
  <si>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</si>
  <si>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</si>
  <si>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</si>
  <si>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</si>
  <si>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</si>
  <si>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</si>
  <si>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</si>
  <si>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</si>
  <si>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</si>
  <si>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</si>
  <si>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</si>
  <si>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</si>
  <si>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</si>
  <si>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</si>
  <si>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</si>
  <si>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</si>
  <si>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</si>
  <si>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</si>
  <si>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</si>
  <si>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</si>
  <si>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</si>
  <si>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</si>
  <si>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</si>
  <si>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</si>
  <si>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</si>
  <si>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</si>
  <si>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</si>
  <si>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</si>
  <si>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</si>
  <si>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</si>
  <si>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</si>
  <si>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</si>
  <si>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</si>
  <si>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</si>
  <si>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</si>
  <si>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</si>
  <si>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</si>
  <si>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</si>
  <si>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</si>
  <si>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</si>
  <si>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</si>
  <si>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</si>
  <si>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</si>
  <si>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</si>
  <si>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</si>
  <si>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</si>
  <si>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</si>
  <si>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</si>
  <si>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</si>
  <si>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</si>
  <si>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</si>
  <si>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</si>
  <si>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</si>
  <si>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</si>
  <si>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</si>
  <si>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</si>
  <si>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</si>
  <si>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</si>
  <si>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</si>
  <si>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</si>
  <si>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</si>
  <si>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</si>
  <si>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</si>
  <si>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</si>
  <si>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</si>
  <si>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</si>
  <si>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</si>
  <si>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</si>
  <si>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</si>
  <si>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</si>
  <si>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</si>
  <si>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</si>
  <si>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</si>
  <si>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</si>
  <si>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</si>
  <si>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</si>
  <si>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</si>
  <si>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</si>
  <si>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</si>
  <si>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</si>
  <si>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</si>
  <si>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</si>
  <si>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</si>
  <si>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</si>
  <si>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</si>
  <si>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</si>
  <si>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</si>
  <si>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</si>
  <si>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</si>
  <si>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</si>
  <si>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</si>
  <si>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</si>
  <si>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</si>
  <si>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</si>
  <si>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</si>
  <si>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</si>
  <si>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</si>
  <si>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</si>
  <si>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</si>
  <si>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</si>
  <si>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</si>
  <si>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</si>
  <si>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</si>
  <si>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</si>
  <si>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</si>
  <si>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</si>
  <si>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</si>
  <si>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</si>
  <si>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</si>
  <si>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</si>
  <si>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</si>
  <si>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</si>
  <si>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</si>
  <si>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</si>
  <si>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</si>
  <si>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</si>
  <si>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</si>
  <si>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</si>
  <si>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</si>
  <si>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</si>
  <si>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</si>
  <si>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</si>
  <si>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</si>
  <si>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</si>
  <si>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</si>
  <si>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</si>
  <si>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</si>
  <si>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</si>
  <si>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</si>
  <si>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</si>
  <si>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</si>
  <si>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</si>
  <si>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</si>
  <si>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</si>
  <si>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</si>
  <si>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</si>
  <si>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</si>
  <si>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</si>
  <si>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</si>
  <si>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</si>
  <si>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</si>
  <si>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</si>
  <si>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</si>
  <si>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</si>
  <si>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</si>
  <si>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</si>
  <si>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</si>
  <si>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</si>
  <si>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</si>
  <si>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</si>
  <si>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</si>
  <si>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</si>
  <si>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</si>
  <si>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</si>
  <si>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</si>
  <si>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</si>
  <si>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</si>
  <si>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</si>
  <si>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</si>
  <si>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</si>
  <si>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</si>
  <si>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</si>
  <si>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</si>
  <si>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</si>
  <si>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</si>
  <si>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</si>
  <si>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</si>
  <si>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</si>
  <si>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</si>
  <si>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</si>
  <si>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</si>
  <si>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</si>
  <si>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</si>
  <si>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</si>
  <si>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</si>
  <si>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</si>
  <si>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</si>
  <si>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</si>
  <si>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</si>
  <si>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</si>
  <si>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</si>
  <si>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</si>
  <si>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</si>
  <si>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</si>
  <si>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</si>
  <si>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</si>
  <si>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</si>
  <si>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</si>
  <si>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</si>
  <si>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</si>
  <si>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</si>
  <si>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</si>
  <si>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</si>
  <si>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</si>
  <si>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</si>
  <si>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</si>
  <si>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</si>
  <si>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</si>
  <si>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</si>
  <si>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</si>
  <si>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</si>
  <si>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</si>
  <si>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</si>
  <si>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</si>
  <si>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</si>
  <si>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</si>
  <si>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</si>
  <si>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</si>
  <si>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</si>
  <si>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</si>
  <si>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</si>
  <si>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</si>
  <si>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</si>
  <si>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</si>
  <si>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</si>
  <si>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</si>
  <si>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</si>
  <si>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</si>
  <si>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</si>
  <si>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</si>
  <si>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</si>
  <si>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</si>
  <si>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</si>
  <si>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</si>
  <si>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</si>
  <si>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</si>
  <si>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</si>
  <si>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</si>
  <si>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</si>
  <si>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</si>
  <si>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</si>
  <si>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</si>
  <si>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</si>
  <si>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</si>
  <si>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</si>
  <si>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</si>
  <si>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</si>
  <si>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</si>
  <si>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</si>
  <si>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</si>
  <si>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</si>
  <si>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</si>
  <si>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</si>
  <si>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</si>
  <si>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</si>
  <si>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</si>
  <si>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</si>
  <si>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</si>
  <si>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</si>
  <si>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</si>
  <si>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</si>
  <si>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</si>
  <si>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</si>
  <si>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</si>
  <si>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</si>
  <si>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</si>
  <si>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</si>
  <si>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</si>
  <si>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</si>
  <si>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</si>
  <si>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</si>
  <si>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</si>
  <si>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</si>
  <si>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</si>
  <si>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</si>
  <si>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</si>
  <si>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</si>
  <si>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</si>
  <si>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</si>
  <si>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</si>
  <si>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</si>
  <si>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</si>
  <si>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</si>
  <si>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</si>
  <si>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</si>
  <si>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</si>
  <si>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</si>
  <si>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</si>
  <si>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</si>
  <si>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</si>
  <si>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</si>
  <si>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</si>
  <si>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</si>
  <si>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</si>
  <si>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</si>
  <si>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</si>
  <si>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</si>
  <si>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</si>
  <si>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</si>
  <si>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</si>
  <si>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</si>
  <si>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</si>
  <si>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</si>
  <si>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</si>
  <si>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</si>
  <si>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</si>
  <si>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</si>
  <si>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</si>
  <si>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</si>
  <si>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</si>
  <si>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</si>
  <si>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</si>
  <si>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</si>
  <si>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</si>
  <si>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</si>
  <si>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</si>
  <si>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</si>
  <si>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</si>
  <si>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</si>
  <si>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</si>
  <si>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</si>
  <si>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</si>
  <si>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</si>
  <si>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</si>
  <si>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</si>
  <si>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</si>
  <si>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</si>
  <si>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</si>
  <si>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</si>
  <si>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</si>
  <si>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</si>
  <si>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</si>
  <si>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</si>
  <si>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</si>
  <si>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</si>
  <si>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</si>
  <si>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</si>
  <si>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</si>
  <si>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</si>
  <si>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</si>
  <si>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</si>
  <si>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</si>
  <si>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</si>
  <si>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</si>
  <si>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</si>
  <si>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</si>
  <si>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</si>
  <si>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</si>
  <si>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</si>
  <si>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</si>
  <si>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</si>
  <si>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</si>
  <si>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</si>
  <si>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</si>
  <si>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</si>
  <si>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</si>
  <si>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</si>
  <si>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</si>
  <si>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</si>
  <si>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</si>
  <si>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</si>
  <si>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</si>
  <si>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</si>
  <si>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</si>
  <si>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</si>
  <si>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</si>
  <si>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</si>
  <si>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</si>
  <si>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</si>
  <si>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</si>
  <si>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</si>
  <si>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</si>
  <si>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</si>
  <si>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</si>
  <si>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</si>
  <si>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</si>
  <si>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</si>
  <si>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</si>
  <si>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</si>
  <si>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</si>
  <si>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</si>
  <si>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</si>
  <si>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</si>
  <si>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</si>
  <si>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</si>
  <si>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</si>
  <si>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</si>
  <si>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</si>
  <si>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</si>
  <si>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</si>
  <si>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</si>
  <si>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</si>
  <si>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</si>
  <si>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</si>
  <si>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</si>
  <si>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</si>
  <si>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</si>
  <si>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</si>
  <si>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</si>
  <si>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</si>
  <si>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</si>
  <si>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</si>
  <si>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</si>
  <si>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</si>
  <si>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</si>
  <si>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</si>
  <si>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</si>
  <si>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</si>
  <si>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</si>
  <si>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</si>
  <si>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</si>
  <si>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</si>
  <si>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</si>
  <si>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</si>
  <si>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</si>
  <si>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</si>
  <si>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</si>
  <si>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</si>
  <si>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</si>
  <si>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</si>
  <si>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</si>
  <si>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</si>
  <si>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</si>
  <si>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</si>
  <si>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</si>
  <si>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</si>
  <si>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</si>
  <si>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</si>
  <si>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</si>
  <si>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</si>
  <si>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</si>
  <si>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</si>
  <si>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</si>
  <si>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</si>
  <si>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</si>
  <si>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</si>
  <si>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</si>
  <si>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</si>
  <si>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</si>
  <si>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</si>
  <si>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</si>
  <si>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</si>
  <si>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</si>
  <si>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</si>
  <si>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</si>
  <si>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</si>
  <si>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</si>
  <si>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</si>
  <si>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</si>
  <si>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</si>
  <si>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</si>
  <si>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</si>
  <si>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</si>
  <si>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</si>
  <si>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</si>
  <si>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</si>
  <si>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</si>
  <si>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</si>
  <si>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</si>
  <si>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</si>
  <si>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</si>
  <si>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</si>
  <si>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</si>
  <si>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</si>
  <si>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</si>
  <si>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</si>
  <si>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</si>
  <si>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</si>
  <si>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</si>
  <si>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</si>
  <si>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</si>
  <si>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</si>
  <si>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</si>
  <si>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</si>
  <si>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</si>
  <si>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</si>
  <si>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</si>
  <si>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</si>
  <si>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</si>
  <si>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</si>
  <si>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</si>
  <si>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</si>
  <si>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</si>
  <si>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</si>
  <si>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</si>
  <si>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</si>
  <si>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</si>
  <si>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</si>
  <si>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</si>
  <si>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</si>
  <si>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</si>
  <si>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</si>
  <si>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</si>
  <si>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</si>
  <si>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</si>
  <si>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</si>
  <si>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</si>
  <si>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</si>
  <si>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</si>
  <si>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</si>
  <si>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</si>
  <si>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</si>
  <si>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</si>
  <si>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</si>
  <si>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</si>
  <si>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</si>
  <si>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</si>
  <si>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</si>
  <si>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</si>
  <si>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</si>
  <si>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</si>
  <si>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</si>
  <si>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</si>
  <si>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</si>
  <si>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</si>
  <si>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</si>
  <si>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</si>
  <si>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</si>
  <si>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</si>
  <si>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</si>
  <si>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</si>
  <si>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</si>
  <si>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</si>
  <si>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</si>
  <si>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</si>
  <si>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</si>
  <si>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</si>
  <si>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</si>
  <si>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</si>
  <si>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</si>
  <si>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</si>
  <si>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</si>
  <si>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</si>
  <si>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</si>
  <si>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</si>
  <si>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</si>
  <si>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</si>
  <si>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</si>
  <si>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</si>
  <si>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</si>
  <si>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</si>
  <si>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</si>
  <si>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</si>
  <si>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</si>
  <si>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</si>
  <si>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</si>
  <si>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</si>
  <si>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</si>
  <si>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</si>
  <si>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</si>
  <si>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</si>
  <si>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</si>
  <si>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</si>
  <si>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</si>
  <si>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</si>
  <si>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</si>
  <si>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</si>
  <si>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</si>
  <si>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</si>
  <si>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</si>
  <si>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</si>
  <si>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</si>
  <si>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</si>
  <si>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</si>
  <si>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</si>
  <si>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</si>
  <si>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</si>
  <si>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</si>
  <si>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</si>
  <si>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</si>
  <si>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</si>
  <si>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</si>
  <si>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</si>
  <si>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</si>
  <si>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</si>
  <si>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</si>
  <si>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</si>
  <si>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</si>
  <si>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</si>
  <si>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</si>
  <si>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</si>
  <si>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</si>
  <si>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</si>
  <si>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</si>
  <si>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</si>
  <si>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</si>
  <si>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</si>
  <si>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</si>
  <si>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</si>
  <si>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</si>
  <si>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</si>
  <si>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</si>
  <si>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</si>
  <si>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</si>
  <si>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</si>
  <si>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</si>
  <si>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</si>
  <si>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</si>
  <si>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</si>
  <si>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</si>
  <si>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</si>
  <si>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</si>
  <si>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</si>
  <si>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</si>
  <si>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</si>
  <si>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</si>
  <si>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</si>
  <si>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</si>
  <si>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</si>
  <si>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</si>
  <si>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</si>
  <si>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</si>
  <si>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</si>
  <si>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</si>
  <si>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</si>
  <si>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</si>
  <si>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</si>
  <si>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</si>
  <si>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</si>
  <si>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</si>
  <si>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</si>
  <si>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</si>
  <si>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</si>
  <si>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</si>
  <si>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</si>
  <si>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</si>
  <si>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</si>
  <si>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</si>
  <si>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</si>
  <si>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</si>
  <si>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</si>
  <si>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</si>
  <si>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</si>
  <si>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</si>
  <si>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</si>
  <si>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</si>
  <si>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</si>
  <si>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</si>
  <si>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</si>
  <si>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</si>
  <si>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</si>
  <si>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</si>
  <si>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</si>
  <si>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</si>
  <si>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</si>
  <si>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</si>
  <si>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</si>
  <si>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</si>
  <si>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</si>
  <si>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</si>
  <si>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</si>
  <si>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</si>
  <si>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</si>
  <si>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</si>
  <si>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</si>
  <si>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</si>
  <si>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</si>
  <si>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</si>
  <si>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</si>
  <si>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</si>
  <si>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</si>
  <si>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</si>
  <si>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</si>
  <si>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</si>
  <si>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</si>
  <si>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</si>
  <si>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</si>
  <si>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</si>
  <si>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</si>
  <si>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</si>
  <si>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</si>
  <si>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</si>
  <si>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</si>
  <si>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</si>
  <si>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</si>
  <si>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</si>
  <si>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</si>
  <si>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</si>
  <si>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</si>
  <si>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</si>
  <si>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</si>
  <si>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</si>
  <si>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</si>
  <si>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</si>
  <si>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</si>
  <si>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</si>
  <si>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</si>
  <si>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</si>
  <si>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</si>
  <si>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</si>
  <si>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</si>
  <si>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</si>
  <si>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</si>
  <si>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</si>
  <si>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</si>
  <si>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</si>
  <si>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</si>
  <si>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</si>
  <si>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</si>
  <si>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</si>
  <si>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</si>
  <si>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</si>
  <si>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</si>
  <si>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</si>
  <si>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</si>
  <si>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</si>
  <si>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</si>
  <si>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</si>
  <si>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</si>
  <si>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</si>
  <si>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</si>
  <si>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</si>
  <si>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</si>
  <si>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</si>
  <si>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</si>
  <si>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</si>
  <si>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</si>
  <si>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</si>
  <si>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</si>
  <si>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</si>
  <si>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</si>
  <si>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</si>
  <si>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</si>
  <si>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</si>
  <si>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</si>
  <si>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</si>
  <si>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</si>
  <si>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</si>
  <si>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</si>
  <si>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</si>
  <si>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</si>
  <si>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</si>
  <si>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</si>
  <si>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</si>
  <si>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</si>
  <si>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</si>
  <si>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</si>
  <si>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</si>
  <si>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</si>
  <si>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</si>
  <si>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</si>
  <si>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</si>
  <si>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</si>
  <si>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</si>
  <si>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</si>
  <si>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</si>
  <si>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</si>
  <si>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</si>
  <si>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</si>
  <si>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</si>
  <si>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</si>
  <si>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</si>
  <si>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</si>
  <si>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</si>
  <si>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</si>
  <si>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</si>
  <si>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</si>
  <si>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</si>
  <si>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</si>
  <si>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</si>
  <si>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</si>
  <si>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</si>
  <si>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</si>
  <si>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</si>
  <si>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</si>
  <si>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</si>
  <si>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</si>
  <si>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</si>
  <si>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</si>
  <si>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</si>
  <si>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</si>
  <si>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</si>
  <si>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</si>
  <si>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</si>
  <si>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</si>
  <si>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</si>
  <si>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</si>
  <si>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</si>
  <si>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</si>
  <si>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</si>
  <si>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</si>
  <si>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</si>
  <si>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</si>
  <si>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</si>
  <si>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</si>
  <si>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</si>
  <si>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</si>
  <si>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</si>
  <si>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</si>
  <si>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</si>
  <si>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</si>
  <si>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</si>
  <si>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</si>
  <si>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</si>
  <si>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</si>
  <si>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</si>
  <si>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</si>
  <si>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</si>
  <si>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</si>
  <si>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</si>
  <si>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</si>
  <si>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</si>
  <si>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</si>
  <si>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</si>
  <si>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</si>
  <si>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</si>
  <si>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</si>
  <si>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</si>
  <si>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</si>
  <si>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</si>
  <si>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</si>
  <si>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</si>
  <si>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</si>
  <si>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</si>
  <si>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</si>
  <si>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</si>
  <si>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</si>
  <si>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</si>
  <si>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</si>
  <si>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</si>
  <si>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</si>
  <si>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</si>
  <si>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</si>
  <si>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</si>
  <si>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</si>
  <si>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</si>
  <si>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</si>
  <si>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</si>
  <si>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</si>
  <si>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</si>
  <si>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</si>
  <si>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</si>
  <si>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</si>
  <si>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</si>
  <si>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</si>
  <si>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</si>
  <si>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</si>
  <si>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</si>
  <si>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</si>
  <si>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</si>
  <si>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</si>
  <si>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</si>
  <si>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</si>
  <si>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</si>
  <si>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</si>
  <si>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</si>
  <si>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</si>
  <si>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</si>
  <si>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</si>
  <si>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</si>
  <si>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</si>
  <si>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</si>
  <si>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</si>
  <si>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</si>
  <si>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</si>
  <si>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</si>
  <si>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</si>
  <si>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</si>
  <si>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</si>
  <si>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</si>
  <si>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</si>
  <si>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</si>
  <si>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</si>
  <si>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</si>
  <si>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</si>
  <si>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</si>
  <si>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</si>
  <si>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</si>
  <si>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</si>
  <si>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</si>
  <si>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</si>
  <si>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</si>
  <si>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</si>
  <si>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</si>
  <si>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</si>
  <si>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</si>
  <si>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</si>
  <si>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</si>
  <si>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</si>
  <si>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</si>
  <si>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</si>
  <si>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</si>
  <si>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</si>
  <si>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</si>
  <si>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</si>
  <si>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</si>
  <si>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</si>
  <si>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</si>
  <si>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</si>
  <si>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</si>
  <si>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</si>
  <si>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</si>
  <si>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</si>
  <si>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</si>
  <si>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</si>
  <si>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</si>
  <si>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</si>
  <si>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</si>
  <si>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</si>
  <si>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</si>
  <si>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</si>
  <si>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</si>
  <si>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</si>
  <si>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</si>
  <si>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</si>
  <si>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</si>
  <si>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</si>
  <si>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</si>
  <si>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</si>
  <si>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</si>
  <si>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</si>
  <si>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</si>
  <si>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</si>
  <si>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</si>
  <si>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</si>
  <si>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</si>
  <si>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</si>
  <si>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</si>
  <si>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</si>
  <si>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</si>
  <si>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</si>
  <si>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</si>
  <si>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</si>
  <si>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</si>
  <si>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</si>
  <si>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</si>
  <si>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</si>
  <si>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</si>
  <si>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</si>
  <si>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</si>
  <si>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</si>
  <si>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</si>
  <si>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</si>
  <si>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</si>
  <si>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</si>
  <si>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</si>
  <si>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</si>
  <si>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</si>
  <si>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</si>
  <si>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</si>
  <si>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</si>
  <si>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</si>
  <si>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</si>
  <si>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</si>
  <si>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</si>
  <si>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</si>
  <si>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</si>
  <si>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</si>
  <si>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</si>
  <si>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</si>
  <si>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</si>
  <si>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</si>
  <si>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</si>
  <si>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</si>
  <si>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</si>
  <si>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</si>
  <si>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</si>
  <si>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</si>
  <si>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</si>
  <si>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</si>
  <si>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</si>
  <si>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</si>
  <si>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</si>
  <si>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</si>
  <si>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</si>
  <si>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</si>
  <si>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</si>
  <si>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</si>
  <si>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</si>
  <si>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</si>
  <si>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</si>
  <si>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</si>
  <si>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</si>
  <si>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</si>
  <si>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</si>
  <si>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</si>
  <si>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</si>
  <si>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</si>
  <si>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</si>
  <si>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</si>
  <si>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</si>
  <si>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</si>
  <si>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</si>
  <si>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</si>
  <si>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</si>
  <si>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</si>
  <si>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</si>
  <si>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</si>
  <si>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</si>
  <si>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</si>
  <si>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</si>
  <si>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</si>
  <si>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</si>
  <si>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</si>
  <si>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</si>
  <si>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</si>
  <si>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</si>
  <si>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</si>
  <si>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</si>
  <si>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</si>
  <si>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</si>
  <si>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</si>
  <si>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</si>
  <si>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</si>
  <si>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</si>
  <si>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</si>
  <si>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</si>
  <si>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</si>
  <si>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</si>
  <si>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</si>
  <si>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</si>
  <si>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</si>
  <si>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</si>
  <si>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</si>
  <si>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</si>
  <si>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</si>
  <si>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</si>
  <si>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</si>
  <si>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</si>
  <si>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</si>
  <si>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</si>
  <si>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</si>
  <si>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</si>
  <si>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</si>
  <si>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</si>
  <si>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</si>
  <si>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</si>
  <si>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</si>
  <si>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</si>
  <si>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</si>
  <si>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</si>
  <si>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</si>
  <si>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</si>
  <si>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</si>
  <si>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</si>
  <si>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</si>
  <si>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</si>
  <si>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</si>
  <si>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</si>
  <si>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</si>
  <si>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</si>
  <si>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</si>
  <si>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</si>
  <si>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</si>
  <si>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</si>
  <si>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</si>
  <si>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</si>
  <si>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</si>
  <si>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</si>
  <si>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</si>
  <si>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</si>
  <si>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</si>
  <si>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</si>
  <si>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</si>
  <si>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</si>
  <si>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</si>
  <si>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</si>
  <si>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</si>
  <si>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</si>
  <si>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</si>
  <si>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</si>
  <si>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</si>
  <si>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</si>
  <si>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</si>
  <si>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</si>
  <si>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</si>
  <si>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</si>
  <si>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</si>
  <si>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</si>
  <si>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</si>
  <si>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</si>
  <si>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</si>
  <si>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</si>
  <si>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</si>
  <si>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</si>
  <si>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</si>
  <si>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</si>
  <si>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</si>
  <si>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</si>
  <si>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</si>
  <si>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</si>
  <si>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</si>
  <si>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</si>
  <si>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</si>
  <si>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</si>
  <si>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</si>
  <si>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</si>
  <si>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</si>
  <si>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</si>
  <si>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</si>
  <si>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</si>
  <si>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</si>
  <si>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</si>
  <si>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</si>
  <si>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</si>
  <si>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</si>
  <si>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</si>
  <si>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</si>
  <si>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</si>
  <si>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</si>
  <si>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</si>
  <si>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</si>
  <si>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</si>
  <si>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</si>
  <si>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</si>
  <si>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</si>
  <si>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</si>
  <si>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</si>
  <si>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</si>
  <si>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</si>
  <si>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</si>
  <si>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</si>
  <si>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</si>
  <si>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</si>
  <si>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</si>
  <si>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</si>
  <si>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</si>
  <si>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</si>
  <si>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</si>
  <si>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</si>
  <si>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</si>
  <si>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</si>
  <si>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</si>
  <si>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</si>
  <si>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</si>
  <si>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</si>
  <si>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</si>
  <si>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</si>
  <si>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</si>
  <si>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</si>
  <si>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</si>
  <si>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</si>
  <si>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</si>
  <si>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</si>
  <si>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</si>
  <si>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</si>
  <si>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</si>
  <si>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</si>
  <si>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</si>
  <si>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</si>
  <si>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</si>
  <si>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</si>
  <si>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</si>
  <si>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</si>
  <si>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</si>
  <si>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</si>
  <si>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</si>
  <si>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</si>
  <si>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</si>
  <si>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</si>
  <si>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</si>
  <si>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</si>
  <si>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</si>
  <si>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</si>
  <si>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</si>
  <si>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</si>
  <si>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</si>
  <si>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</si>
  <si>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</si>
  <si>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</si>
  <si>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</si>
  <si>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</si>
  <si>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</si>
  <si>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</si>
  <si>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</si>
  <si>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</si>
  <si>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</si>
  <si>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</si>
  <si>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</si>
  <si>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</si>
  <si>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</si>
  <si>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</si>
  <si>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</si>
  <si>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</si>
  <si>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</si>
  <si>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</si>
  <si>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</si>
  <si>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</si>
  <si>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</si>
  <si>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</si>
  <si>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</si>
  <si>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</si>
  <si>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</si>
  <si>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</si>
  <si>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</si>
  <si>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</si>
  <si>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</si>
  <si>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</si>
  <si>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</si>
  <si>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</si>
  <si>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</si>
  <si>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</si>
  <si>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</si>
  <si>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</si>
  <si>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</si>
  <si>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</si>
  <si>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</si>
  <si>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</si>
  <si>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</si>
  <si>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</si>
  <si>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</si>
  <si>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</si>
  <si>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</si>
  <si>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</si>
  <si>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</si>
  <si>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</si>
  <si>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</si>
  <si>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</si>
  <si>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</si>
  <si>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</si>
  <si>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</si>
  <si>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</si>
  <si>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</si>
  <si>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</si>
  <si>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</si>
  <si>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</si>
  <si>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</si>
  <si>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</si>
  <si>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</si>
  <si>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</si>
  <si>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</si>
  <si>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</si>
  <si>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</si>
  <si>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</si>
  <si>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</si>
  <si>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</si>
  <si>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</si>
  <si>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</si>
  <si>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</si>
  <si>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</si>
  <si>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</si>
  <si>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</si>
  <si>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</si>
  <si>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</si>
  <si>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</si>
  <si>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</si>
  <si>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</si>
  <si>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</si>
  <si>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</si>
  <si>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</si>
  <si>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</si>
  <si>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</si>
  <si>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</si>
  <si>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</si>
  <si>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</si>
  <si>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</si>
  <si>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</si>
  <si>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</si>
  <si>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</si>
  <si>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</si>
  <si>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</si>
  <si>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</si>
  <si>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</si>
  <si>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</si>
  <si>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</si>
  <si>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</si>
  <si>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</si>
  <si>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</si>
  <si>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</si>
  <si>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</si>
  <si>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</si>
  <si>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</si>
  <si>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</si>
  <si>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</si>
  <si>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</si>
  <si>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</si>
  <si>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</si>
  <si>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</si>
  <si>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</si>
  <si>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</si>
  <si>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</si>
  <si>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</si>
  <si>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</si>
  <si>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</si>
  <si>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</si>
  <si>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</si>
  <si>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</si>
  <si>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</si>
  <si>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</si>
  <si>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</si>
  <si>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</si>
  <si>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</si>
  <si>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</si>
  <si>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</si>
  <si>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</si>
  <si>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</si>
  <si>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</si>
  <si>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</si>
  <si>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</si>
  <si>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</si>
  <si>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</si>
  <si>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</si>
  <si>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</si>
  <si>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</si>
  <si>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</si>
  <si>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</si>
  <si>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</si>
  <si>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</si>
  <si>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</si>
  <si>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</si>
  <si>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</si>
  <si>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</si>
  <si>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</si>
  <si>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</si>
  <si>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</si>
  <si>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</si>
  <si>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</si>
  <si>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</si>
  <si>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</si>
  <si>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</si>
  <si>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</si>
  <si>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</si>
  <si>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</si>
  <si>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</si>
  <si>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</si>
  <si>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</si>
  <si>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</si>
  <si>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</si>
  <si>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</si>
  <si>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</si>
  <si>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</si>
  <si>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</si>
  <si>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</si>
  <si>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</si>
  <si>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</si>
  <si>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</si>
  <si>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</si>
  <si>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</si>
  <si>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</si>
  <si>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</si>
  <si>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</si>
  <si>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</si>
  <si>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</si>
  <si>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</si>
  <si>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</si>
  <si>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</si>
  <si>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</si>
  <si>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</si>
  <si>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</si>
  <si>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</si>
  <si>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</si>
  <si>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</si>
  <si>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</si>
  <si>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</si>
  <si>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</si>
  <si>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</si>
  <si>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</si>
  <si>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</si>
  <si>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</si>
  <si>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</si>
  <si>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</si>
  <si>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</si>
  <si>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</si>
  <si>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</si>
  <si>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</si>
  <si>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</si>
  <si>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</si>
  <si>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</si>
  <si>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</si>
  <si>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</si>
  <si>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</si>
  <si>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</si>
  <si>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</si>
  <si>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</si>
  <si>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</si>
  <si>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</si>
  <si>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</si>
  <si>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</si>
  <si>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</si>
  <si>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</si>
  <si>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</si>
  <si>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</si>
  <si>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</si>
  <si>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</si>
  <si>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</si>
  <si>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</si>
  <si>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</si>
  <si>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</si>
  <si>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</si>
  <si>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</si>
  <si>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</si>
  <si>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</si>
  <si>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</si>
  <si>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</si>
  <si>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</si>
  <si>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</si>
  <si>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</si>
  <si>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</si>
  <si>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</si>
  <si>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</si>
  <si>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</si>
  <si>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</si>
  <si>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</si>
  <si>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</si>
  <si>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</si>
  <si>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</si>
  <si>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</si>
  <si>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</si>
  <si>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</si>
  <si>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</si>
  <si>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</si>
  <si>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</si>
  <si>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</si>
  <si>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</si>
  <si>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</si>
  <si>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</si>
  <si>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</si>
  <si>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</si>
  <si>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</si>
  <si>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</si>
  <si>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</si>
  <si>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</si>
  <si>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</si>
  <si>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</si>
  <si>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</si>
  <si>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</si>
  <si>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</si>
  <si>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</si>
  <si>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</si>
  <si>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</si>
  <si>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</si>
  <si>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</si>
  <si>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</si>
  <si>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</si>
  <si>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</si>
  <si>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</si>
  <si>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</si>
  <si>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</si>
  <si>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</si>
  <si>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</si>
  <si>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</si>
  <si>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</si>
  <si>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</si>
  <si>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</si>
  <si>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</si>
  <si>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</si>
  <si>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</si>
  <si>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</si>
  <si>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</si>
  <si>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</si>
  <si>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</si>
  <si>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</si>
  <si>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</si>
  <si>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</si>
  <si>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</si>
  <si>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</si>
  <si>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</si>
  <si>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</si>
  <si>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</si>
  <si>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</si>
  <si>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</si>
  <si>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</si>
  <si>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</si>
  <si>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</si>
  <si>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</si>
  <si>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</si>
  <si>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</si>
  <si>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</si>
  <si>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</si>
  <si>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</si>
  <si>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</si>
  <si>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</si>
  <si>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</si>
  <si>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</si>
  <si>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</si>
  <si>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</si>
  <si>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</si>
  <si>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</si>
  <si>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</si>
  <si>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</si>
  <si>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</si>
  <si>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</si>
  <si>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</si>
  <si>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</si>
  <si>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</si>
  <si>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</si>
  <si>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</si>
  <si>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</si>
  <si>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</si>
  <si>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</si>
  <si>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</si>
  <si>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</si>
  <si>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</si>
  <si>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</si>
  <si>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</si>
  <si>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</si>
  <si>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</si>
  <si>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</si>
  <si>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</si>
  <si>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</si>
  <si>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</si>
  <si>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</si>
  <si>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</si>
  <si>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</si>
  <si>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</si>
  <si>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</si>
  <si>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</si>
  <si>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</si>
  <si>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</si>
  <si>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</si>
  <si>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</si>
  <si>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</si>
  <si>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</si>
  <si>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</si>
  <si>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</si>
  <si>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</si>
  <si>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</si>
  <si>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</si>
  <si>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</si>
  <si>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</si>
  <si>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</si>
  <si>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</si>
  <si>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</si>
  <si>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</si>
  <si>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</si>
  <si>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</si>
  <si>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</si>
  <si>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</si>
  <si>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</si>
  <si>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</si>
  <si>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</si>
  <si>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</si>
  <si>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</si>
  <si>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</si>
  <si>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</si>
  <si>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</si>
  <si>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</si>
  <si>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</si>
  <si>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</si>
  <si>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</si>
  <si>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</si>
  <si>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</si>
  <si>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</si>
  <si>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</si>
  <si>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</si>
  <si>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</si>
  <si>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</si>
  <si>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</si>
  <si>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</si>
  <si>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</si>
  <si>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</si>
  <si>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</si>
  <si>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</si>
  <si>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</si>
  <si>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</si>
  <si>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</si>
  <si>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</si>
  <si>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</si>
  <si>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</si>
  <si>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</si>
  <si>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</si>
  <si>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</si>
  <si>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</si>
  <si>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</si>
  <si>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</si>
  <si>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</si>
  <si>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</si>
  <si>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</si>
  <si>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</si>
  <si>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</si>
  <si>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</si>
  <si>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</si>
  <si>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</si>
  <si>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</si>
  <si>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</si>
  <si>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</si>
  <si>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</si>
  <si>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</si>
  <si>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</si>
  <si>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</si>
  <si>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</si>
  <si>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</si>
  <si>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</si>
  <si>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</si>
  <si>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</si>
  <si>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</si>
  <si>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</si>
  <si>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</si>
  <si>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</si>
  <si>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</si>
  <si>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</si>
  <si>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</si>
  <si>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</si>
  <si>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</si>
  <si>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</si>
  <si>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</si>
  <si>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</si>
  <si>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</si>
  <si>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</si>
  <si>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</si>
  <si>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</si>
  <si>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</si>
  <si>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</si>
  <si>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</si>
  <si>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</si>
  <si>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</si>
  <si>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</si>
  <si>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</si>
  <si>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</si>
  <si>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</si>
  <si>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</si>
  <si>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</si>
  <si>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</si>
  <si>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</si>
  <si>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</si>
  <si>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</si>
  <si>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</si>
  <si>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</si>
  <si>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</si>
  <si>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</si>
  <si>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</si>
  <si>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</si>
  <si>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</si>
  <si>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</si>
  <si>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</si>
  <si>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</si>
  <si>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</si>
  <si>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</si>
  <si>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</si>
  <si>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</si>
  <si>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</si>
  <si>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</si>
  <si>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</si>
  <si>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</si>
  <si>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</si>
  <si>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</si>
  <si>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</si>
  <si>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</si>
  <si>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</si>
  <si>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</si>
  <si>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</si>
  <si>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</si>
  <si>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</si>
  <si>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</si>
  <si>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</si>
  <si>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</si>
  <si>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</si>
  <si>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</si>
  <si>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</si>
  <si>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</si>
  <si>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</si>
  <si>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</si>
  <si>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</si>
  <si>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</si>
  <si>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</si>
  <si>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</si>
  <si>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</si>
  <si>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</si>
  <si>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</si>
  <si>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</si>
  <si>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</si>
  <si>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</si>
  <si>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</si>
  <si>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</si>
  <si>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</si>
  <si>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</si>
  <si>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</si>
  <si>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</si>
  <si>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</si>
  <si>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</si>
  <si>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</si>
  <si>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</si>
  <si>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</si>
  <si>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</si>
  <si>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</si>
  <si>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</si>
  <si>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</si>
  <si>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</si>
  <si>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</si>
  <si>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</si>
  <si>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</si>
  <si>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</si>
  <si>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</si>
  <si>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</si>
  <si>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</si>
  <si>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</si>
  <si>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</si>
  <si>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</si>
  <si>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</si>
  <si>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</si>
  <si>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</si>
  <si>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</si>
  <si>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</si>
  <si>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</si>
  <si>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</si>
  <si>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</si>
  <si>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</si>
  <si>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</si>
  <si>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</si>
  <si>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</si>
  <si>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</si>
  <si>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</si>
  <si>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</si>
  <si>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</si>
  <si>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</si>
  <si>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</si>
  <si>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</si>
  <si>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</si>
  <si>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</si>
  <si>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</si>
  <si>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</si>
  <si>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</si>
  <si>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</si>
  <si>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</si>
  <si>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</si>
  <si>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</si>
  <si>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</si>
  <si>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</si>
  <si>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</si>
  <si>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</si>
  <si>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</si>
  <si>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</si>
  <si>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</si>
  <si>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</si>
  <si>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</si>
  <si>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</si>
  <si>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</si>
  <si>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</si>
  <si>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</si>
  <si>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</si>
  <si>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</si>
  <si>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</si>
  <si>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</si>
  <si>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</si>
  <si>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</si>
  <si>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</si>
  <si>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</si>
  <si>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</si>
  <si>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</si>
  <si>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</si>
  <si>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</si>
  <si>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</si>
  <si>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</si>
  <si>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</si>
  <si>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</si>
  <si>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</si>
  <si>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</si>
  <si>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</si>
  <si>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</si>
  <si>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</si>
  <si>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</si>
  <si>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</si>
  <si>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</si>
  <si>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</si>
  <si>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</si>
  <si>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</si>
  <si>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</si>
  <si>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</si>
  <si>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</si>
  <si>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</si>
  <si>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</si>
  <si>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</si>
  <si>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</si>
  <si>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</si>
  <si>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</si>
  <si>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</si>
  <si>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</si>
  <si>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</si>
  <si>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</si>
  <si>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</si>
  <si>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</si>
  <si>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</si>
  <si>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</si>
  <si>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</si>
  <si>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</si>
  <si>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</si>
  <si>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</si>
  <si>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</si>
  <si>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</si>
  <si>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</si>
  <si>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</si>
  <si>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</si>
  <si>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</si>
  <si>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</si>
  <si>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</si>
  <si>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</si>
  <si>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</si>
  <si>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</si>
  <si>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</si>
  <si>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</si>
  <si>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</si>
  <si>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</si>
  <si>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</si>
  <si>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</si>
  <si>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</si>
  <si>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</si>
  <si>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</si>
  <si>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</si>
  <si>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</si>
  <si>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</si>
  <si>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</si>
  <si>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</si>
  <si>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</si>
  <si>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</si>
  <si>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</si>
  <si>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</si>
  <si>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</si>
  <si>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</si>
  <si>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</si>
  <si>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</si>
  <si>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</si>
  <si>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</si>
  <si>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</si>
  <si>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</si>
  <si>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</si>
  <si>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</si>
  <si>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</si>
  <si>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</si>
  <si>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</si>
  <si>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</si>
  <si>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</si>
  <si>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</si>
  <si>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</si>
  <si>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</si>
  <si>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</si>
  <si>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</si>
  <si>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</si>
  <si>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</si>
  <si>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</si>
  <si>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</si>
  <si>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</si>
  <si>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</si>
  <si>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</si>
  <si>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</si>
  <si>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</si>
  <si>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</si>
  <si>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</si>
  <si>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</si>
  <si>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</si>
  <si>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</si>
  <si>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</si>
  <si>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</si>
  <si>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</si>
  <si>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</si>
  <si>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</si>
  <si>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</si>
  <si>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</si>
  <si>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</si>
  <si>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</si>
  <si>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</si>
  <si>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</si>
  <si>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</si>
  <si>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</si>
  <si>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</si>
  <si>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</si>
  <si>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</si>
  <si>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</si>
  <si>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</si>
  <si>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</si>
  <si>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</si>
  <si>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</si>
  <si>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</si>
  <si>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</si>
  <si>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</si>
  <si>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</si>
  <si>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</si>
  <si>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</si>
  <si>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</si>
  <si>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</si>
  <si>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</si>
  <si>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</si>
  <si>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</si>
  <si>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</si>
  <si>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</si>
  <si>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</si>
  <si>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</si>
  <si>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</si>
  <si>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</si>
  <si>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</si>
  <si>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</si>
  <si>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</si>
  <si>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</si>
  <si>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</si>
  <si>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</si>
  <si>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</si>
  <si>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</si>
  <si>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</si>
  <si>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</si>
  <si>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</si>
  <si>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</si>
  <si>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</si>
  <si>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</si>
  <si>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</si>
  <si>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</si>
  <si>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</si>
  <si>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</si>
  <si>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</si>
  <si>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</si>
  <si>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</si>
  <si>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</si>
  <si>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</si>
  <si>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</si>
  <si>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</si>
  <si>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</si>
  <si>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</si>
  <si>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</si>
  <si>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</si>
  <si>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</si>
  <si>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</si>
  <si>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</si>
  <si>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</si>
  <si>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</si>
  <si>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</si>
  <si>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</si>
  <si>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</si>
  <si>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</si>
  <si>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</si>
  <si>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</si>
  <si>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</si>
  <si>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</si>
  <si>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</si>
  <si>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</si>
  <si>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</si>
  <si>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</si>
  <si>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</si>
  <si>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</si>
  <si>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</si>
  <si>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</si>
  <si>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</si>
  <si>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</si>
  <si>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</si>
  <si>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</si>
  <si>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</si>
  <si>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</si>
  <si>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</si>
  <si>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</si>
  <si>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</si>
  <si>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</si>
  <si>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</si>
  <si>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</si>
  <si>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</si>
  <si>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</si>
  <si>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</si>
  <si>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</si>
  <si>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</si>
  <si>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</si>
  <si>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</si>
  <si>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</si>
  <si>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</si>
  <si>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</si>
  <si>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</si>
  <si>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</si>
  <si>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</si>
  <si>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</si>
  <si>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</si>
  <si>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</si>
  <si>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</si>
  <si>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</si>
  <si>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</si>
  <si>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</si>
  <si>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</si>
  <si>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</si>
  <si>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</si>
  <si>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</si>
  <si>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</si>
  <si>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</si>
  <si>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</si>
  <si>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</si>
  <si>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</si>
  <si>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</si>
  <si>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</si>
  <si>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</si>
  <si>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</si>
  <si>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</si>
  <si>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</si>
  <si>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</si>
  <si>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</si>
  <si>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</si>
  <si>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</si>
  <si>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</si>
  <si>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x</t>
  </si>
  <si>
    <t>WINNEBAGO</t>
  </si>
  <si>
    <t>300 HEART BLVD</t>
  </si>
  <si>
    <t>LOVES PARK</t>
  </si>
  <si>
    <t>815-636-3060</t>
  </si>
  <si>
    <t>815-636-3069</t>
  </si>
  <si>
    <t>No contacts over $25,000</t>
  </si>
  <si>
    <t>X</t>
  </si>
  <si>
    <t>Regional Office of Education (group health insurance)</t>
  </si>
  <si>
    <t>Employee on ROE BC/BS</t>
  </si>
  <si>
    <t>See list below</t>
  </si>
  <si>
    <t>Regional Office of Education</t>
  </si>
  <si>
    <t>Rock Valley Community College</t>
  </si>
  <si>
    <t>Hononegah, South Beloit, Oregon, Belvidere, Byron, Winnebago, Harlem, Rockford, Meridian</t>
  </si>
  <si>
    <t>Account</t>
  </si>
  <si>
    <t>Page</t>
  </si>
  <si>
    <t>Line #</t>
  </si>
  <si>
    <t>Overpayment of Prior Year Expenses</t>
  </si>
  <si>
    <t>CTE Perkins - Secondary Grant Revenue</t>
  </si>
  <si>
    <t>Scott Bloomquist</t>
  </si>
  <si>
    <t>sbloomquist@kidsroe.org</t>
  </si>
  <si>
    <t>Benning Group, LLC</t>
  </si>
  <si>
    <t>Regional Office of Education (bookkeeping, payroll, etc)</t>
  </si>
  <si>
    <t>Career Educ Assoc of N Central 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</si>
</sst>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74" fillId="0" borderId="0" xfId="0" applyFont="1" applyAlignment="1">
      <alignment horizontal="center"/>
    </xf>
    <xf numFmtId="0" fontId="56" fillId="0" borderId="0" xfId="0" applyFont="1" applyAlignment="1">
      <alignment horizontal="center"/>
    </xf>
    <xf numFmtId="181" fontId="56" fillId="0" borderId="165" xfId="19" applyNumberFormat="1" applyFont="1" applyBorder="1" applyAlignment="1">
      <alignment horizontal="left"/>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519545</xdr:colOff>
          <xdr:row>2</xdr:row>
          <xdr:rowOff>129887</xdr:rowOff>
        </xdr:from>
        <xdr:to>
          <xdr:col>1</xdr:col>
          <xdr:colOff>1433945</xdr:colOff>
          <xdr:row>7</xdr:row>
          <xdr:rowOff>3464</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6" t="s">
        <v>405</v>
      </c>
      <c r="J1" s="2017"/>
      <c r="K1" s="2017"/>
      <c r="L1" s="2017"/>
      <c r="M1" s="2017"/>
      <c r="N1" s="2017"/>
      <c r="O1" s="2017"/>
      <c r="P1" s="2017"/>
      <c r="Q1" s="2017"/>
      <c r="R1" s="2017"/>
      <c r="S1" s="2017"/>
    </row>
    <row r="2" spans="1:28" ht="12" customHeight="1" x14ac:dyDescent="0.2">
      <c r="A2" s="47" t="s">
        <v>1993</v>
      </c>
      <c r="D2" s="48"/>
      <c r="I2" s="2018" t="s">
        <v>979</v>
      </c>
      <c r="J2" s="2017"/>
      <c r="K2" s="2017"/>
      <c r="L2" s="2017"/>
      <c r="M2" s="2017"/>
      <c r="N2" s="2017"/>
      <c r="O2" s="2017"/>
      <c r="P2" s="2017"/>
      <c r="Q2" s="2017"/>
      <c r="R2" s="2017"/>
      <c r="S2" s="2017"/>
    </row>
    <row r="3" spans="1:28" ht="12" customHeight="1" x14ac:dyDescent="0.2">
      <c r="A3" s="155" t="s">
        <v>1945</v>
      </c>
      <c r="B3" s="156"/>
      <c r="C3" s="156"/>
      <c r="D3" s="157"/>
      <c r="I3" s="2018" t="s">
        <v>52</v>
      </c>
      <c r="J3" s="2017"/>
      <c r="K3" s="2017"/>
      <c r="L3" s="2017"/>
      <c r="M3" s="2017"/>
      <c r="N3" s="2017"/>
      <c r="O3" s="2017"/>
      <c r="P3" s="2017"/>
      <c r="Q3" s="2017"/>
      <c r="R3" s="2017"/>
      <c r="S3" s="2017"/>
    </row>
    <row r="4" spans="1:28" ht="12" customHeight="1" x14ac:dyDescent="0.2">
      <c r="A4" s="37"/>
      <c r="I4" s="2018" t="s">
        <v>524</v>
      </c>
      <c r="J4" s="2017"/>
      <c r="K4" s="2017"/>
      <c r="L4" s="2017"/>
      <c r="M4" s="2017"/>
      <c r="N4" s="2017"/>
      <c r="O4" s="2017"/>
      <c r="P4" s="2017"/>
      <c r="Q4" s="2017"/>
      <c r="R4" s="2017"/>
      <c r="S4" s="2017"/>
    </row>
    <row r="5" spans="1:28" ht="14.1" customHeight="1" x14ac:dyDescent="0.2">
      <c r="B5" s="104"/>
      <c r="C5" s="26" t="s">
        <v>910</v>
      </c>
      <c r="D5" s="84"/>
      <c r="E5" s="84"/>
      <c r="H5" s="38"/>
      <c r="I5" s="2025" t="s">
        <v>680</v>
      </c>
      <c r="J5" s="1970"/>
      <c r="K5" s="1970"/>
      <c r="L5" s="1970"/>
      <c r="M5" s="1970"/>
      <c r="N5" s="1970"/>
      <c r="O5" s="1970"/>
      <c r="P5" s="1970"/>
      <c r="Q5" s="1970"/>
      <c r="R5" s="1970"/>
      <c r="S5" s="1970"/>
    </row>
    <row r="6" spans="1:28" ht="14.1" customHeight="1" x14ac:dyDescent="0.2">
      <c r="B6" s="104" t="s">
        <v>2073</v>
      </c>
      <c r="C6" s="26" t="s">
        <v>911</v>
      </c>
      <c r="D6" s="84"/>
      <c r="E6" s="84"/>
      <c r="I6" s="2024" t="s">
        <v>883</v>
      </c>
      <c r="J6" s="1970"/>
      <c r="K6" s="1970"/>
      <c r="L6" s="1970"/>
      <c r="M6" s="1970"/>
      <c r="N6" s="1970"/>
      <c r="O6" s="1970"/>
      <c r="P6" s="1970"/>
      <c r="Q6" s="1970"/>
      <c r="R6" s="1970"/>
      <c r="S6" s="1970"/>
    </row>
    <row r="7" spans="1:28" ht="12.2" customHeight="1" x14ac:dyDescent="0.2">
      <c r="I7" s="2019">
        <v>43646</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674</v>
      </c>
      <c r="J9" s="2022"/>
      <c r="K9" s="2022"/>
      <c r="L9" s="2022"/>
      <c r="M9" s="2022"/>
      <c r="N9" s="2022"/>
      <c r="O9" s="2022"/>
      <c r="P9" s="2022"/>
      <c r="Q9" s="2022"/>
      <c r="R9" s="2022"/>
      <c r="S9" s="2023"/>
      <c r="T9" s="1966" t="s">
        <v>533</v>
      </c>
      <c r="U9" s="1967"/>
      <c r="V9" s="1967"/>
      <c r="W9" s="1967"/>
      <c r="X9" s="1967"/>
      <c r="Y9" s="1967"/>
      <c r="Z9" s="1967"/>
      <c r="AA9" s="1968"/>
    </row>
    <row r="10" spans="1:28" ht="13.5" customHeight="1" x14ac:dyDescent="0.2">
      <c r="A10" s="1975" t="s">
        <v>675</v>
      </c>
      <c r="B10" s="1976"/>
      <c r="C10" s="1976"/>
      <c r="D10" s="1976"/>
      <c r="E10" s="1976"/>
      <c r="F10" s="1976"/>
      <c r="G10" s="1976"/>
      <c r="H10" s="1977"/>
      <c r="I10" s="29"/>
      <c r="J10" s="30"/>
      <c r="K10" s="28"/>
      <c r="R10" s="30"/>
      <c r="S10" s="30"/>
      <c r="T10" s="1969"/>
      <c r="U10" s="1970"/>
      <c r="V10" s="1970"/>
      <c r="W10" s="1970"/>
      <c r="X10" s="1970"/>
      <c r="Y10" s="1970"/>
      <c r="Z10" s="1970"/>
      <c r="AA10" s="1971"/>
    </row>
    <row r="11" spans="1:28" ht="14.25" customHeight="1" x14ac:dyDescent="0.2">
      <c r="A11" s="1978" t="s">
        <v>955</v>
      </c>
      <c r="B11" s="1979"/>
      <c r="C11" s="1979"/>
      <c r="D11" s="1979"/>
      <c r="E11" s="1979"/>
      <c r="F11" s="1979"/>
      <c r="G11" s="1979"/>
      <c r="H11" s="1980"/>
      <c r="I11" s="27"/>
      <c r="J11" s="74"/>
      <c r="K11" s="27"/>
      <c r="O11" s="148"/>
      <c r="P11" s="100" t="s">
        <v>201</v>
      </c>
      <c r="Q11" s="30"/>
      <c r="R11" s="28"/>
      <c r="S11" s="27"/>
      <c r="T11" s="1972"/>
      <c r="U11" s="1973"/>
      <c r="V11" s="1973"/>
      <c r="W11" s="1973"/>
      <c r="X11" s="1973"/>
      <c r="Y11" s="1973"/>
      <c r="Z11" s="1973"/>
      <c r="AA11" s="1974"/>
    </row>
    <row r="12" spans="1:28" ht="13.5" customHeight="1" x14ac:dyDescent="0.2">
      <c r="A12" s="85" t="s">
        <v>925</v>
      </c>
      <c r="B12" s="76"/>
      <c r="C12" s="76"/>
      <c r="D12" s="76"/>
      <c r="E12" s="76"/>
      <c r="F12" s="76"/>
      <c r="G12" s="76"/>
      <c r="H12" s="53"/>
      <c r="I12" s="29"/>
      <c r="J12" s="30"/>
      <c r="K12" s="28"/>
      <c r="O12" s="149" t="s">
        <v>2073</v>
      </c>
      <c r="P12" s="100" t="s">
        <v>202</v>
      </c>
      <c r="Q12" s="74"/>
      <c r="R12" s="30"/>
      <c r="S12" s="30"/>
      <c r="T12" s="85" t="s">
        <v>265</v>
      </c>
      <c r="U12" s="51"/>
      <c r="V12" s="51"/>
      <c r="W12" s="51"/>
      <c r="X12" s="51"/>
      <c r="Y12" s="45"/>
      <c r="Z12" s="45"/>
      <c r="AA12" s="46"/>
    </row>
    <row r="13" spans="1:28" ht="13.5" customHeight="1" x14ac:dyDescent="0.2">
      <c r="A13" s="1986">
        <v>4000000046</v>
      </c>
      <c r="B13" s="1987"/>
      <c r="C13" s="1987"/>
      <c r="D13" s="1987"/>
      <c r="E13" s="1987"/>
      <c r="F13" s="1987"/>
      <c r="G13" s="1987"/>
      <c r="H13" s="1988"/>
      <c r="I13" s="31"/>
      <c r="J13" s="30"/>
      <c r="K13" s="28"/>
      <c r="L13" s="30"/>
      <c r="M13" s="30"/>
      <c r="N13" s="30"/>
      <c r="O13" s="30"/>
      <c r="P13" s="30"/>
      <c r="Q13" s="30"/>
      <c r="R13" s="30"/>
      <c r="S13" s="30"/>
      <c r="T13" s="1991" t="s">
        <v>2064</v>
      </c>
      <c r="U13" s="1992"/>
      <c r="V13" s="1992"/>
      <c r="W13" s="1992"/>
      <c r="X13" s="1992"/>
      <c r="Y13" s="1993"/>
      <c r="Z13" s="1993"/>
      <c r="AA13" s="199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4" t="s">
        <v>2074</v>
      </c>
      <c r="B15" s="1989"/>
      <c r="C15" s="1989"/>
      <c r="D15" s="1989"/>
      <c r="E15" s="1989"/>
      <c r="F15" s="1989"/>
      <c r="G15" s="1989"/>
      <c r="H15" s="1990"/>
      <c r="T15" s="1952" t="s">
        <v>2065</v>
      </c>
      <c r="U15" s="1953"/>
      <c r="V15" s="1953"/>
      <c r="W15" s="1953"/>
      <c r="X15" s="1953"/>
      <c r="Y15" s="1995"/>
      <c r="Z15" s="1995"/>
      <c r="AA15" s="199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4" t="s">
        <v>2096</v>
      </c>
      <c r="B17" s="2014"/>
      <c r="C17" s="2014"/>
      <c r="D17" s="2014"/>
      <c r="E17" s="2014"/>
      <c r="F17" s="2014"/>
      <c r="G17" s="2014"/>
      <c r="H17" s="2015"/>
      <c r="T17" s="2001" t="s">
        <v>2066</v>
      </c>
      <c r="U17" s="2002"/>
      <c r="V17" s="2002"/>
      <c r="W17" s="2002"/>
      <c r="X17" s="2002"/>
      <c r="Y17" s="2002"/>
      <c r="Z17" s="2002"/>
      <c r="AA17" s="2003"/>
    </row>
    <row r="18" spans="1:27" ht="13.5" customHeight="1" x14ac:dyDescent="0.2">
      <c r="A18" s="85" t="s">
        <v>530</v>
      </c>
      <c r="B18" s="76"/>
      <c r="C18" s="72"/>
      <c r="D18" s="76"/>
      <c r="E18" s="76"/>
      <c r="F18" s="76"/>
      <c r="G18" s="76"/>
      <c r="H18" s="56"/>
      <c r="I18" s="2011" t="s">
        <v>676</v>
      </c>
      <c r="J18" s="2012"/>
      <c r="K18" s="2012"/>
      <c r="L18" s="2012"/>
      <c r="M18" s="2012"/>
      <c r="N18" s="2012"/>
      <c r="O18" s="2012"/>
      <c r="P18" s="2012"/>
      <c r="Q18" s="2012"/>
      <c r="R18" s="2012"/>
      <c r="S18" s="2013"/>
      <c r="T18" s="85" t="s">
        <v>711</v>
      </c>
      <c r="U18" s="51"/>
      <c r="V18" s="72"/>
      <c r="W18" s="50"/>
      <c r="X18" s="85" t="s">
        <v>266</v>
      </c>
      <c r="Y18" s="81"/>
      <c r="Z18" s="159" t="s">
        <v>677</v>
      </c>
      <c r="AA18" s="46"/>
    </row>
    <row r="19" spans="1:27" ht="13.5" customHeight="1" x14ac:dyDescent="0.2">
      <c r="A19" s="1984" t="s">
        <v>2075</v>
      </c>
      <c r="B19" s="1985"/>
      <c r="C19" s="1985"/>
      <c r="D19" s="1985"/>
      <c r="E19" s="1985"/>
      <c r="F19" s="1985"/>
      <c r="G19" s="1985"/>
      <c r="H19" s="1983"/>
      <c r="I19" s="30"/>
      <c r="J19" s="99"/>
      <c r="K19" s="40"/>
      <c r="L19" s="38"/>
      <c r="M19" s="112" t="s">
        <v>315</v>
      </c>
      <c r="P19" s="27"/>
      <c r="Q19" s="27"/>
      <c r="R19" s="27"/>
      <c r="S19" s="31"/>
      <c r="T19" s="1984" t="s">
        <v>2067</v>
      </c>
      <c r="U19" s="1982"/>
      <c r="V19" s="1982"/>
      <c r="W19" s="1983"/>
      <c r="X19" s="1999" t="s">
        <v>2068</v>
      </c>
      <c r="Y19" s="2000"/>
      <c r="Z19" s="1997">
        <v>61032</v>
      </c>
      <c r="AA19" s="199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1" t="s">
        <v>2076</v>
      </c>
      <c r="B21" s="1982"/>
      <c r="C21" s="1982"/>
      <c r="D21" s="1982"/>
      <c r="E21" s="1982"/>
      <c r="F21" s="1982"/>
      <c r="G21" s="1982"/>
      <c r="H21" s="1983"/>
      <c r="I21" s="2007" t="s">
        <v>678</v>
      </c>
      <c r="J21" s="1970"/>
      <c r="K21" s="1970"/>
      <c r="L21" s="1970"/>
      <c r="M21" s="1970"/>
      <c r="N21" s="1970"/>
      <c r="O21" s="1970"/>
      <c r="P21" s="1970"/>
      <c r="Q21" s="1970"/>
      <c r="R21" s="1970"/>
      <c r="S21" s="1971"/>
      <c r="T21" s="1949" t="s">
        <v>2069</v>
      </c>
      <c r="U21" s="1950"/>
      <c r="V21" s="1950"/>
      <c r="W21" s="1950"/>
      <c r="X21" s="1963" t="s">
        <v>2070</v>
      </c>
      <c r="Y21" s="1964"/>
      <c r="Z21" s="1964"/>
      <c r="AA21" s="1965"/>
    </row>
    <row r="22" spans="1:27" ht="13.5" customHeight="1" x14ac:dyDescent="0.2">
      <c r="A22" s="87" t="s">
        <v>531</v>
      </c>
      <c r="B22" s="59"/>
      <c r="C22" s="59"/>
      <c r="D22" s="59"/>
      <c r="E22" s="59"/>
      <c r="F22" s="59"/>
      <c r="G22" s="59"/>
      <c r="H22" s="60"/>
      <c r="I22" s="2008" t="s">
        <v>1429</v>
      </c>
      <c r="J22" s="2009"/>
      <c r="K22" s="2009"/>
      <c r="L22" s="2009"/>
      <c r="M22" s="2009"/>
      <c r="N22" s="2009"/>
      <c r="O22" s="2009"/>
      <c r="P22" s="2009"/>
      <c r="Q22" s="2009"/>
      <c r="R22" s="2009"/>
      <c r="S22" s="2010"/>
      <c r="T22" s="85" t="s">
        <v>1516</v>
      </c>
      <c r="U22" s="51"/>
      <c r="V22" s="72"/>
      <c r="W22" s="51"/>
      <c r="X22" s="160" t="s">
        <v>1318</v>
      </c>
      <c r="Z22" s="45"/>
      <c r="AA22" s="46"/>
    </row>
    <row r="23" spans="1:27" ht="13.5" customHeight="1" x14ac:dyDescent="0.2">
      <c r="A23" s="2004"/>
      <c r="B23" s="2005"/>
      <c r="C23" s="2005"/>
      <c r="D23" s="2005"/>
      <c r="E23" s="2005"/>
      <c r="F23" s="2005"/>
      <c r="G23" s="2005"/>
      <c r="H23" s="2006"/>
      <c r="T23" s="1944" t="s">
        <v>2071</v>
      </c>
      <c r="U23" s="1945"/>
      <c r="V23" s="1945"/>
      <c r="W23" s="1945"/>
      <c r="X23" s="1960">
        <v>44530</v>
      </c>
      <c r="Y23" s="1961"/>
      <c r="Z23" s="1961"/>
      <c r="AA23" s="1962"/>
    </row>
    <row r="24" spans="1:27" ht="14.1" customHeight="1" x14ac:dyDescent="0.2">
      <c r="A24" s="88" t="s">
        <v>677</v>
      </c>
      <c r="B24" s="49"/>
      <c r="C24" s="49"/>
      <c r="D24" s="49"/>
      <c r="E24" s="49"/>
      <c r="F24" s="49"/>
      <c r="G24" s="49"/>
      <c r="H24" s="61"/>
      <c r="J24" s="2046" t="str">
        <f>IF(B5="x",IF(AUDITCHECK!D29="AFR form Incomplete.","",IF(AUDITCHECK!D29="Deficit reduction plan is required.","School District must complete a deficit reduction plan in the 2019-2020 Budget",)),"")</f>
        <v/>
      </c>
      <c r="K24" s="2046"/>
      <c r="L24" s="2046"/>
      <c r="M24" s="2046"/>
      <c r="N24" s="2046"/>
      <c r="O24" s="2046"/>
      <c r="P24" s="2046"/>
      <c r="Q24" s="2046"/>
      <c r="R24" s="2046"/>
      <c r="S24" s="2047"/>
      <c r="T24" s="105" t="s">
        <v>531</v>
      </c>
      <c r="U24" s="106"/>
      <c r="V24" s="106"/>
      <c r="W24" s="106"/>
      <c r="X24" s="107"/>
      <c r="Y24" s="107"/>
      <c r="Z24" s="107"/>
      <c r="AA24" s="108"/>
    </row>
    <row r="25" spans="1:27" ht="14.1" customHeight="1" x14ac:dyDescent="0.2">
      <c r="A25" s="1981">
        <v>61111</v>
      </c>
      <c r="B25" s="1982"/>
      <c r="C25" s="1982"/>
      <c r="D25" s="1982"/>
      <c r="E25" s="1982"/>
      <c r="F25" s="1982"/>
      <c r="G25" s="1982"/>
      <c r="H25" s="1983"/>
      <c r="I25" s="113"/>
      <c r="J25" s="2048"/>
      <c r="K25" s="2048"/>
      <c r="L25" s="2048"/>
      <c r="M25" s="2048"/>
      <c r="N25" s="2048"/>
      <c r="O25" s="2048"/>
      <c r="P25" s="2048"/>
      <c r="Q25" s="2048"/>
      <c r="R25" s="2048"/>
      <c r="S25" s="2049"/>
      <c r="T25" s="1941" t="s">
        <v>2072</v>
      </c>
      <c r="U25" s="1942"/>
      <c r="V25" s="1942"/>
      <c r="W25" s="1942"/>
      <c r="X25" s="1942"/>
      <c r="Y25" s="1942"/>
      <c r="Z25" s="1942"/>
      <c r="AA25" s="19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9" t="s">
        <v>1511</v>
      </c>
      <c r="J27" s="2012"/>
      <c r="K27" s="2012"/>
      <c r="L27" s="2012"/>
      <c r="M27" s="2012"/>
      <c r="N27" s="2012"/>
      <c r="O27" s="2012"/>
      <c r="P27" s="2012"/>
      <c r="Q27" s="2012"/>
      <c r="R27" s="2012"/>
      <c r="S27" s="201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2073</v>
      </c>
      <c r="M29" s="40" t="s">
        <v>99</v>
      </c>
      <c r="N29" s="32" t="s">
        <v>1523</v>
      </c>
      <c r="O29" s="32"/>
      <c r="P29" s="32"/>
      <c r="Q29" s="32"/>
      <c r="R29" s="32"/>
      <c r="S29" s="123"/>
      <c r="T29" s="6"/>
      <c r="U29" s="6"/>
      <c r="V29" s="6"/>
      <c r="W29" s="6"/>
      <c r="X29" s="6"/>
      <c r="Y29" s="6"/>
      <c r="Z29" s="6"/>
      <c r="AA29" s="132"/>
    </row>
    <row r="30" spans="1:27" ht="13.5" customHeight="1" x14ac:dyDescent="0.2">
      <c r="A30" s="153"/>
      <c r="B30" s="136" t="s">
        <v>2073</v>
      </c>
      <c r="C30" s="124" t="s">
        <v>1164</v>
      </c>
      <c r="D30" s="28"/>
      <c r="E30" s="28"/>
      <c r="F30" s="140"/>
      <c r="G30" s="114"/>
      <c r="H30" s="114"/>
      <c r="I30" s="54"/>
      <c r="J30" s="102"/>
      <c r="K30" s="28" t="s">
        <v>576</v>
      </c>
      <c r="L30" s="148" t="s">
        <v>2073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5"/>
      <c r="Q35" s="1982"/>
      <c r="R35" s="198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4" t="s">
        <v>2092</v>
      </c>
      <c r="B38" s="2014"/>
      <c r="C38" s="2014"/>
      <c r="D38" s="2014"/>
      <c r="E38" s="2014"/>
      <c r="F38" s="1982"/>
      <c r="G38" s="1982"/>
      <c r="H38" s="1983"/>
      <c r="I38" s="2033"/>
      <c r="J38" s="1953"/>
      <c r="K38" s="1953"/>
      <c r="L38" s="1953"/>
      <c r="M38" s="1953"/>
      <c r="N38" s="1953"/>
      <c r="O38" s="1953"/>
      <c r="P38" s="1954"/>
      <c r="Q38" s="1954"/>
      <c r="R38" s="1954"/>
      <c r="S38" s="1955"/>
      <c r="T38" s="1952" t="s">
        <v>2092</v>
      </c>
      <c r="U38" s="1953"/>
      <c r="V38" s="1953"/>
      <c r="W38" s="1953"/>
      <c r="X38" s="1954"/>
      <c r="Y38" s="1954"/>
      <c r="Z38" s="1954"/>
      <c r="AA38" s="1955"/>
    </row>
    <row r="39" spans="1:27" ht="12" customHeight="1" x14ac:dyDescent="0.2">
      <c r="A39" s="2037" t="s">
        <v>531</v>
      </c>
      <c r="B39" s="2038"/>
      <c r="C39" s="72"/>
      <c r="D39" s="69"/>
      <c r="E39" s="69"/>
      <c r="F39" s="79"/>
      <c r="G39" s="69"/>
      <c r="H39" s="56"/>
      <c r="I39" s="2037" t="s">
        <v>531</v>
      </c>
      <c r="J39" s="2038"/>
      <c r="K39" s="2038"/>
      <c r="L39" s="2038"/>
      <c r="M39" s="2038"/>
      <c r="N39" s="67"/>
      <c r="O39" s="72"/>
      <c r="P39" s="72"/>
      <c r="Q39" s="78"/>
      <c r="R39" s="72"/>
      <c r="S39" s="56"/>
      <c r="T39" s="72" t="s">
        <v>531</v>
      </c>
      <c r="U39" s="51"/>
      <c r="V39" s="72"/>
      <c r="W39" s="50"/>
      <c r="X39" s="78"/>
      <c r="Y39" s="45"/>
      <c r="Z39" s="45"/>
      <c r="AA39" s="46"/>
    </row>
    <row r="40" spans="1:27" ht="13.5" customHeight="1" x14ac:dyDescent="0.2">
      <c r="A40" s="2040" t="s">
        <v>2093</v>
      </c>
      <c r="B40" s="2041"/>
      <c r="C40" s="2042"/>
      <c r="D40" s="2042"/>
      <c r="E40" s="2042"/>
      <c r="F40" s="2043"/>
      <c r="G40" s="2043"/>
      <c r="H40" s="2044"/>
      <c r="I40" s="1956"/>
      <c r="J40" s="1958"/>
      <c r="K40" s="1958"/>
      <c r="L40" s="1958"/>
      <c r="M40" s="1958"/>
      <c r="N40" s="1958"/>
      <c r="O40" s="1958"/>
      <c r="P40" s="1958"/>
      <c r="Q40" s="1958"/>
      <c r="R40" s="1958"/>
      <c r="S40" s="1959"/>
      <c r="T40" s="1956" t="s">
        <v>2093</v>
      </c>
      <c r="U40" s="1957"/>
      <c r="V40" s="1958"/>
      <c r="W40" s="1958"/>
      <c r="X40" s="1958"/>
      <c r="Y40" s="1958"/>
      <c r="Z40" s="1958"/>
      <c r="AA40" s="195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0" t="s">
        <v>2077</v>
      </c>
      <c r="B42" s="2031"/>
      <c r="C42" s="2032"/>
      <c r="D42" s="2045" t="s">
        <v>2078</v>
      </c>
      <c r="E42" s="2031"/>
      <c r="F42" s="2031"/>
      <c r="G42" s="2031"/>
      <c r="H42" s="2032"/>
      <c r="I42" s="1951"/>
      <c r="J42" s="1947"/>
      <c r="K42" s="1947"/>
      <c r="L42" s="1947"/>
      <c r="M42" s="1947"/>
      <c r="N42" s="1947"/>
      <c r="O42" s="1948"/>
      <c r="P42" s="1946"/>
      <c r="Q42" s="1947"/>
      <c r="R42" s="1947"/>
      <c r="S42" s="1948"/>
      <c r="T42" s="1951" t="s">
        <v>2077</v>
      </c>
      <c r="U42" s="1947"/>
      <c r="V42" s="1947"/>
      <c r="W42" s="1948"/>
      <c r="X42" s="1946" t="s">
        <v>2078</v>
      </c>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4"/>
      <c r="B44" s="2035"/>
      <c r="C44" s="2035"/>
      <c r="D44" s="2035"/>
      <c r="E44" s="2035"/>
      <c r="F44" s="2035"/>
      <c r="G44" s="2035"/>
      <c r="H44" s="2036"/>
      <c r="I44" s="2026"/>
      <c r="J44" s="2028"/>
      <c r="K44" s="2028"/>
      <c r="L44" s="2028"/>
      <c r="M44" s="2028"/>
      <c r="N44" s="2028"/>
      <c r="O44" s="2028"/>
      <c r="P44" s="2028"/>
      <c r="Q44" s="2028"/>
      <c r="R44" s="2028"/>
      <c r="S44" s="2029"/>
      <c r="T44" s="2026"/>
      <c r="U44" s="2027"/>
      <c r="V44" s="2027"/>
      <c r="W44" s="2027"/>
      <c r="X44" s="2027"/>
      <c r="Y44" s="2027"/>
      <c r="Z44" s="2028"/>
      <c r="AA44" s="202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1" sqref="B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1951</v>
      </c>
      <c r="C2" s="714" t="s">
        <v>1952</v>
      </c>
      <c r="D2" s="714" t="s">
        <v>1953</v>
      </c>
      <c r="E2" s="714" t="s">
        <v>1954</v>
      </c>
      <c r="F2" s="714" t="s">
        <v>1955</v>
      </c>
    </row>
    <row r="3" spans="1:6" ht="12" customHeight="1" x14ac:dyDescent="0.2">
      <c r="A3" s="2184"/>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9" t="s">
        <v>629</v>
      </c>
      <c r="B1" s="2190"/>
      <c r="C1" s="721"/>
    </row>
    <row r="2" spans="1:7" ht="33.75" x14ac:dyDescent="0.2">
      <c r="A2" s="2198" t="s">
        <v>1802</v>
      </c>
      <c r="B2" s="2199"/>
      <c r="C2" s="1884" t="s">
        <v>1956</v>
      </c>
      <c r="D2" s="723" t="s">
        <v>1957</v>
      </c>
      <c r="E2" s="723" t="s">
        <v>1958</v>
      </c>
      <c r="F2" s="1884" t="s">
        <v>1959</v>
      </c>
    </row>
    <row r="3" spans="1:7" ht="15.75" customHeight="1" x14ac:dyDescent="0.2">
      <c r="A3" s="2202" t="s">
        <v>1114</v>
      </c>
      <c r="B3" s="2203"/>
      <c r="C3" s="2191"/>
      <c r="D3" s="2192"/>
      <c r="E3" s="2192"/>
      <c r="F3" s="2193"/>
    </row>
    <row r="4" spans="1:7" ht="12.75" customHeight="1" thickBot="1" x14ac:dyDescent="0.25">
      <c r="A4" s="2200" t="s">
        <v>630</v>
      </c>
      <c r="B4" s="2201"/>
      <c r="C4" s="581"/>
      <c r="D4" s="581"/>
      <c r="E4" s="581"/>
      <c r="F4" s="1755">
        <f>SUM(C4+D4)-E4</f>
        <v>0</v>
      </c>
    </row>
    <row r="5" spans="1:7" ht="15.75" customHeight="1" thickTop="1" x14ac:dyDescent="0.2">
      <c r="A5" s="2185" t="s">
        <v>1110</v>
      </c>
      <c r="B5" s="2186"/>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7" t="s">
        <v>631</v>
      </c>
      <c r="B15" s="2188"/>
      <c r="C15" s="1755">
        <f>SUM(C6:C14)</f>
        <v>0</v>
      </c>
      <c r="D15" s="1755">
        <f>SUM(D6:D14)</f>
        <v>0</v>
      </c>
      <c r="E15" s="1755">
        <f>SUM(E6:E14)</f>
        <v>0</v>
      </c>
      <c r="F15" s="1755">
        <f>SUM(F6:F14)</f>
        <v>0</v>
      </c>
      <c r="G15" s="552"/>
    </row>
    <row r="16" spans="1:7" s="202" customFormat="1" ht="15.75" customHeight="1" thickTop="1" x14ac:dyDescent="0.2">
      <c r="A16" s="2197" t="s">
        <v>1111</v>
      </c>
      <c r="B16" s="2186"/>
      <c r="C16" s="2194"/>
      <c r="D16" s="2195"/>
      <c r="E16" s="2195"/>
      <c r="F16" s="2196"/>
    </row>
    <row r="17" spans="1:11" ht="12.75" customHeight="1" thickBot="1" x14ac:dyDescent="0.25">
      <c r="A17" s="2210" t="s">
        <v>64</v>
      </c>
      <c r="B17" s="2211"/>
      <c r="C17" s="726"/>
      <c r="D17" s="585"/>
      <c r="E17" s="726"/>
      <c r="F17" s="1755">
        <f>SUM(C17+D17)-E17</f>
        <v>0</v>
      </c>
    </row>
    <row r="18" spans="1:11" ht="12.75" customHeight="1" thickTop="1" thickBot="1" x14ac:dyDescent="0.25">
      <c r="A18" s="2210" t="s">
        <v>6</v>
      </c>
      <c r="B18" s="2211"/>
      <c r="C18" s="726"/>
      <c r="D18" s="585"/>
      <c r="E18" s="726"/>
      <c r="F18" s="1755">
        <f>SUM(C18+D18)-E18</f>
        <v>0</v>
      </c>
    </row>
    <row r="19" spans="1:11" ht="12.75" customHeight="1" thickTop="1" thickBot="1" x14ac:dyDescent="0.25">
      <c r="A19" s="2210" t="s">
        <v>388</v>
      </c>
      <c r="B19" s="2211"/>
      <c r="C19" s="726"/>
      <c r="D19" s="585"/>
      <c r="E19" s="726"/>
      <c r="F19" s="1755">
        <f>SUM(C19+D19)-E19</f>
        <v>0</v>
      </c>
    </row>
    <row r="20" spans="1:11" ht="12.75" customHeight="1" thickTop="1" thickBot="1" x14ac:dyDescent="0.25">
      <c r="A20" s="2210" t="s">
        <v>448</v>
      </c>
      <c r="B20" s="2211"/>
      <c r="C20" s="726"/>
      <c r="D20" s="585"/>
      <c r="E20" s="726"/>
      <c r="F20" s="1755">
        <f>SUM(C20+D20)-E20</f>
        <v>0</v>
      </c>
    </row>
    <row r="21" spans="1:11" ht="14.25" thickTop="1" thickBot="1" x14ac:dyDescent="0.25">
      <c r="A21" s="2187" t="s">
        <v>632</v>
      </c>
      <c r="B21" s="2188"/>
      <c r="C21" s="1755">
        <f>SUM(C17:C20)</f>
        <v>0</v>
      </c>
      <c r="D21" s="1755">
        <f>SUM(D17:D20)</f>
        <v>0</v>
      </c>
      <c r="E21" s="1755">
        <f>SUM(E17:E20)</f>
        <v>0</v>
      </c>
      <c r="F21" s="1755">
        <f>SUM(F17:F20)</f>
        <v>0</v>
      </c>
      <c r="G21" s="552"/>
    </row>
    <row r="22" spans="1:11" ht="15.75" customHeight="1" thickTop="1" x14ac:dyDescent="0.2">
      <c r="A22" s="2212" t="s">
        <v>1112</v>
      </c>
      <c r="B22" s="2186"/>
      <c r="C22" s="2194"/>
      <c r="D22" s="2195"/>
      <c r="E22" s="2195"/>
      <c r="F22" s="2196"/>
    </row>
    <row r="23" spans="1:11" ht="13.5" thickBot="1" x14ac:dyDescent="0.25">
      <c r="A23" s="2200" t="s">
        <v>633</v>
      </c>
      <c r="B23" s="2201"/>
      <c r="C23" s="581"/>
      <c r="D23" s="581"/>
      <c r="E23" s="581"/>
      <c r="F23" s="1755">
        <f>SUM(C23+D23)-E23</f>
        <v>0</v>
      </c>
      <c r="G23" s="552"/>
    </row>
    <row r="24" spans="1:11" ht="15.75" customHeight="1" thickTop="1" x14ac:dyDescent="0.2">
      <c r="A24" s="2212" t="s">
        <v>1113</v>
      </c>
      <c r="B24" s="2186"/>
      <c r="C24" s="2194"/>
      <c r="D24" s="2195"/>
      <c r="E24" s="2195"/>
      <c r="F24" s="2196"/>
    </row>
    <row r="25" spans="1:11" ht="13.5" thickBot="1" x14ac:dyDescent="0.25">
      <c r="A25" s="2200" t="s">
        <v>634</v>
      </c>
      <c r="B25" s="2201"/>
      <c r="C25" s="581"/>
      <c r="D25" s="581"/>
      <c r="E25" s="581"/>
      <c r="F25" s="1755">
        <f>SUM(C25+D25)-E25</f>
        <v>0</v>
      </c>
      <c r="G25" s="552"/>
    </row>
    <row r="26" spans="1:11" ht="15.75" customHeight="1" thickTop="1" x14ac:dyDescent="0.2">
      <c r="A26" s="2185" t="s">
        <v>657</v>
      </c>
      <c r="B26" s="2186"/>
      <c r="C26" s="727"/>
      <c r="D26" s="727"/>
      <c r="E26" s="727"/>
      <c r="F26" s="728"/>
    </row>
    <row r="27" spans="1:11" ht="13.5" thickBot="1" x14ac:dyDescent="0.25">
      <c r="A27" s="2187" t="s">
        <v>1070</v>
      </c>
      <c r="B27" s="2188"/>
      <c r="C27" s="585"/>
      <c r="D27" s="585"/>
      <c r="E27" s="585"/>
      <c r="F27" s="1755">
        <f>SUM(C27+D27)-E27</f>
        <v>0</v>
      </c>
      <c r="G27" s="552"/>
    </row>
    <row r="28" spans="1:11" ht="7.5" customHeight="1" thickTop="1" x14ac:dyDescent="0.2">
      <c r="A28" s="593"/>
    </row>
    <row r="29" spans="1:11" ht="23.25" customHeight="1" x14ac:dyDescent="0.2">
      <c r="A29" s="2213" t="s">
        <v>582</v>
      </c>
      <c r="B29" s="2190"/>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4" t="s">
        <v>584</v>
      </c>
      <c r="C52" s="2205"/>
      <c r="D52" s="2205"/>
      <c r="E52" s="749" t="s">
        <v>845</v>
      </c>
      <c r="F52" s="2206"/>
      <c r="G52" s="2207"/>
      <c r="H52" s="736"/>
      <c r="I52" s="736"/>
      <c r="J52" s="746"/>
    </row>
    <row r="53" spans="1:11" ht="11.25" customHeight="1" x14ac:dyDescent="0.2">
      <c r="A53" s="750" t="s">
        <v>913</v>
      </c>
      <c r="B53" s="751" t="s">
        <v>951</v>
      </c>
      <c r="C53" s="746"/>
      <c r="D53" s="737"/>
      <c r="E53" s="749" t="s">
        <v>497</v>
      </c>
      <c r="F53" s="2208"/>
      <c r="G53" s="2209"/>
      <c r="H53" s="736"/>
      <c r="I53" s="736"/>
      <c r="J53" s="746"/>
    </row>
    <row r="54" spans="1:11" ht="11.25" customHeight="1" x14ac:dyDescent="0.2">
      <c r="A54" s="752" t="s">
        <v>914</v>
      </c>
      <c r="B54" s="747" t="s">
        <v>952</v>
      </c>
      <c r="C54" s="746"/>
      <c r="D54" s="737"/>
      <c r="E54" s="749" t="s">
        <v>498</v>
      </c>
      <c r="F54" s="2208"/>
      <c r="G54" s="220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856</v>
      </c>
      <c r="B1" s="2239"/>
      <c r="C1" s="2239"/>
      <c r="D1" s="2239"/>
      <c r="E1" s="2239"/>
      <c r="F1" s="2239"/>
      <c r="G1" s="2240"/>
      <c r="H1" s="1530"/>
      <c r="I1" s="760"/>
      <c r="J1" s="433"/>
    </row>
    <row r="2" spans="1:11" ht="26.25" x14ac:dyDescent="0.2">
      <c r="A2" s="2217" t="s">
        <v>1677</v>
      </c>
      <c r="B2" s="2218"/>
      <c r="C2" s="2218"/>
      <c r="D2" s="2218"/>
      <c r="E2" s="2219"/>
      <c r="F2" s="761" t="s">
        <v>904</v>
      </c>
      <c r="G2" s="762" t="s">
        <v>1674</v>
      </c>
      <c r="H2" s="762" t="s">
        <v>410</v>
      </c>
      <c r="I2" s="762" t="s">
        <v>1158</v>
      </c>
      <c r="J2" s="762" t="s">
        <v>1812</v>
      </c>
      <c r="K2" s="762" t="s">
        <v>138</v>
      </c>
    </row>
    <row r="3" spans="1:11" x14ac:dyDescent="0.2">
      <c r="A3" s="2220" t="s">
        <v>1964</v>
      </c>
      <c r="B3" s="2221"/>
      <c r="C3" s="2221"/>
      <c r="D3" s="2221"/>
      <c r="E3" s="2222"/>
      <c r="F3" s="763"/>
      <c r="G3" s="764"/>
      <c r="H3" s="764"/>
      <c r="I3" s="764"/>
      <c r="J3" s="765"/>
      <c r="K3" s="765"/>
    </row>
    <row r="4" spans="1:11" x14ac:dyDescent="0.2">
      <c r="A4" s="2223" t="s">
        <v>369</v>
      </c>
      <c r="B4" s="2224"/>
      <c r="C4" s="2224"/>
      <c r="D4" s="2224"/>
      <c r="E4" s="2205"/>
      <c r="F4" s="766"/>
      <c r="G4" s="767"/>
      <c r="H4" s="768"/>
      <c r="I4" s="767"/>
      <c r="J4" s="769"/>
      <c r="K4" s="769"/>
    </row>
    <row r="5" spans="1:11" x14ac:dyDescent="0.2">
      <c r="A5" s="2241" t="s">
        <v>1069</v>
      </c>
      <c r="B5" s="2214"/>
      <c r="C5" s="2214"/>
      <c r="D5" s="2214"/>
      <c r="E5" s="2242"/>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1" t="s">
        <v>1813</v>
      </c>
      <c r="B10" s="2214"/>
      <c r="C10" s="2214"/>
      <c r="D10" s="2214"/>
      <c r="E10" s="2243"/>
      <c r="F10" s="783" t="s">
        <v>862</v>
      </c>
      <c r="G10" s="782"/>
      <c r="H10" s="784"/>
      <c r="I10" s="764"/>
      <c r="J10" s="765"/>
      <c r="K10" s="765"/>
    </row>
    <row r="11" spans="1:11" x14ac:dyDescent="0.2">
      <c r="A11" s="2241" t="s">
        <v>160</v>
      </c>
      <c r="B11" s="2214"/>
      <c r="C11" s="2214"/>
      <c r="D11" s="2214"/>
      <c r="E11" s="2242"/>
      <c r="F11" s="770" t="s">
        <v>852</v>
      </c>
      <c r="G11" s="771"/>
      <c r="H11" s="764"/>
      <c r="I11" s="764"/>
      <c r="J11" s="765"/>
      <c r="K11" s="773"/>
    </row>
    <row r="12" spans="1:11" ht="13.5" thickBot="1" x14ac:dyDescent="0.25">
      <c r="A12" s="2231" t="s">
        <v>905</v>
      </c>
      <c r="B12" s="2232"/>
      <c r="C12" s="2232"/>
      <c r="D12" s="2232"/>
      <c r="E12" s="2233"/>
      <c r="F12" s="1757"/>
      <c r="G12" s="1758">
        <f>SUM(G5:G11)</f>
        <v>0</v>
      </c>
      <c r="H12" s="1758">
        <f>SUM(H5:H11)</f>
        <v>0</v>
      </c>
      <c r="I12" s="1758">
        <f>SUM(I5:I11)</f>
        <v>0</v>
      </c>
      <c r="J12" s="1758">
        <f>SUM(J5:J11)</f>
        <v>0</v>
      </c>
      <c r="K12" s="1758">
        <f>SUM(K5:K11)</f>
        <v>0</v>
      </c>
    </row>
    <row r="13" spans="1:11" ht="13.5" thickTop="1" x14ac:dyDescent="0.2">
      <c r="A13" s="2225" t="s">
        <v>370</v>
      </c>
      <c r="B13" s="2226"/>
      <c r="C13" s="2226"/>
      <c r="D13" s="2226"/>
      <c r="E13" s="2227"/>
      <c r="F13" s="785"/>
      <c r="G13" s="786"/>
      <c r="H13" s="787"/>
      <c r="I13" s="788"/>
      <c r="J13" s="788"/>
      <c r="K13" s="788"/>
    </row>
    <row r="14" spans="1:11" x14ac:dyDescent="0.2">
      <c r="A14" s="2247" t="s">
        <v>456</v>
      </c>
      <c r="B14" s="2247"/>
      <c r="C14" s="2247"/>
      <c r="D14" s="2247"/>
      <c r="E14" s="2248"/>
      <c r="F14" s="789" t="s">
        <v>854</v>
      </c>
      <c r="G14" s="782"/>
      <c r="H14" s="764"/>
      <c r="I14" s="771"/>
      <c r="J14" s="773"/>
      <c r="K14" s="765"/>
    </row>
    <row r="15" spans="1:11" x14ac:dyDescent="0.2">
      <c r="A15" s="2214" t="s">
        <v>4</v>
      </c>
      <c r="B15" s="2214"/>
      <c r="C15" s="2214"/>
      <c r="D15" s="2214"/>
      <c r="E15" s="2242"/>
      <c r="F15" s="789" t="s">
        <v>855</v>
      </c>
      <c r="G15" s="771"/>
      <c r="H15" s="764"/>
      <c r="I15" s="764"/>
      <c r="J15" s="765"/>
      <c r="K15" s="765"/>
    </row>
    <row r="16" spans="1:11" x14ac:dyDescent="0.2">
      <c r="A16" s="2214" t="s">
        <v>298</v>
      </c>
      <c r="B16" s="2214"/>
      <c r="C16" s="2214"/>
      <c r="D16" s="2214"/>
      <c r="E16" s="2242"/>
      <c r="F16" s="789" t="s">
        <v>923</v>
      </c>
      <c r="G16" s="772"/>
      <c r="H16" s="767"/>
      <c r="I16" s="767"/>
      <c r="J16" s="769"/>
      <c r="K16" s="769"/>
    </row>
    <row r="17" spans="1:11" x14ac:dyDescent="0.2">
      <c r="A17" s="2236" t="s">
        <v>935</v>
      </c>
      <c r="B17" s="2236"/>
      <c r="C17" s="2236"/>
      <c r="D17" s="2236"/>
      <c r="E17" s="2237"/>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49" t="s">
        <v>1809</v>
      </c>
      <c r="B19" s="2249"/>
      <c r="C19" s="2249"/>
      <c r="D19" s="2249"/>
      <c r="E19" s="2250"/>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34" t="s">
        <v>638</v>
      </c>
      <c r="B21" s="2234"/>
      <c r="C21" s="2234"/>
      <c r="D21" s="2234"/>
      <c r="E21" s="2234"/>
      <c r="F21" s="1759"/>
      <c r="G21" s="792"/>
      <c r="H21" s="796"/>
      <c r="I21" s="796"/>
      <c r="J21" s="1760">
        <f>SUM(J18:J20)</f>
        <v>0</v>
      </c>
      <c r="K21" s="793"/>
    </row>
    <row r="22" spans="1:11" ht="13.5" thickTop="1" x14ac:dyDescent="0.2">
      <c r="A22" s="2214" t="s">
        <v>1815</v>
      </c>
      <c r="B22" s="2214"/>
      <c r="C22" s="2214"/>
      <c r="D22" s="2214"/>
      <c r="E22" s="2242"/>
      <c r="F22" s="789" t="s">
        <v>862</v>
      </c>
      <c r="G22" s="782"/>
      <c r="H22" s="764"/>
      <c r="I22" s="764"/>
      <c r="J22" s="797"/>
      <c r="K22" s="765"/>
    </row>
    <row r="23" spans="1:11" ht="13.5" thickBot="1" x14ac:dyDescent="0.25">
      <c r="A23" s="2235" t="s">
        <v>906</v>
      </c>
      <c r="B23" s="2234"/>
      <c r="C23" s="2234"/>
      <c r="D23" s="2234"/>
      <c r="E23" s="2234"/>
      <c r="F23" s="1761"/>
      <c r="G23" s="1758">
        <f>SUM(G14:G16,G21,G22)</f>
        <v>0</v>
      </c>
      <c r="H23" s="1758">
        <f>SUM(H14:H16,H21,H22)</f>
        <v>0</v>
      </c>
      <c r="I23" s="1758">
        <f>SUM(I14:I16,I21,I22)</f>
        <v>0</v>
      </c>
      <c r="J23" s="1758">
        <f>SUM(J14:J16,J21,J22)</f>
        <v>0</v>
      </c>
      <c r="K23" s="1758">
        <f>SUM(K14:K16,K21,K22)</f>
        <v>0</v>
      </c>
    </row>
    <row r="24" spans="1:11" ht="14.25" thickTop="1" thickBot="1" x14ac:dyDescent="0.25">
      <c r="A24" s="2235" t="s">
        <v>1965</v>
      </c>
      <c r="B24" s="2234"/>
      <c r="C24" s="2234"/>
      <c r="D24" s="2234"/>
      <c r="E24" s="223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4"/>
      <c r="I31" s="2245"/>
      <c r="J31" s="2245"/>
      <c r="K31" s="2245"/>
    </row>
    <row r="32" spans="1:11" x14ac:dyDescent="0.2">
      <c r="A32" s="809"/>
      <c r="B32" s="237"/>
      <c r="C32" s="237"/>
      <c r="D32" s="237"/>
      <c r="E32" s="805"/>
      <c r="F32" s="811" t="s">
        <v>540</v>
      </c>
      <c r="G32" s="764"/>
      <c r="H32" s="2246"/>
      <c r="I32" s="2245"/>
      <c r="J32" s="2245"/>
      <c r="K32" s="2245"/>
    </row>
    <row r="33" spans="1:11" ht="1.5" customHeight="1" x14ac:dyDescent="0.2">
      <c r="A33" s="812" t="s">
        <v>1169</v>
      </c>
      <c r="B33" s="364"/>
      <c r="C33" s="364"/>
      <c r="D33" s="364"/>
      <c r="E33" s="364"/>
      <c r="F33" s="364"/>
      <c r="G33" s="813"/>
      <c r="H33" s="2246"/>
      <c r="I33" s="2245"/>
      <c r="J33" s="2245"/>
      <c r="K33" s="2245"/>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4" t="s">
        <v>541</v>
      </c>
      <c r="B41" s="2215"/>
      <c r="C41" s="2215"/>
      <c r="D41" s="2215"/>
      <c r="E41" s="2215"/>
      <c r="F41" s="221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2" sqref="I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1909</v>
      </c>
      <c r="B1" s="2254"/>
      <c r="C1" s="2255"/>
      <c r="D1" s="826"/>
      <c r="E1" s="827"/>
      <c r="F1" s="827"/>
      <c r="G1" s="828"/>
      <c r="H1" s="829"/>
      <c r="I1" s="830"/>
      <c r="J1" s="2251"/>
      <c r="K1" s="2252"/>
      <c r="L1" s="2252"/>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14947</v>
      </c>
      <c r="D12" s="844"/>
      <c r="E12" s="844"/>
      <c r="F12" s="1760">
        <f>(C12+D12)-E12</f>
        <v>14947</v>
      </c>
      <c r="G12" s="843">
        <v>10</v>
      </c>
      <c r="H12" s="765">
        <v>13071</v>
      </c>
      <c r="I12" s="765">
        <v>821</v>
      </c>
      <c r="J12" s="765"/>
      <c r="K12" s="1769">
        <f>(H12+I12)-J12</f>
        <v>13892</v>
      </c>
      <c r="L12" s="1769">
        <f>F12-K12</f>
        <v>1055</v>
      </c>
    </row>
    <row r="13" spans="1:14" ht="14.25" thickTop="1" thickBot="1" x14ac:dyDescent="0.25">
      <c r="A13" s="848" t="s">
        <v>1122</v>
      </c>
      <c r="B13" s="840">
        <v>252</v>
      </c>
      <c r="C13" s="844">
        <v>16883</v>
      </c>
      <c r="D13" s="844"/>
      <c r="E13" s="844"/>
      <c r="F13" s="1760">
        <f>(C13+D13)-E13</f>
        <v>16883</v>
      </c>
      <c r="G13" s="843">
        <v>5</v>
      </c>
      <c r="H13" s="765">
        <v>14318</v>
      </c>
      <c r="I13" s="765">
        <v>733</v>
      </c>
      <c r="J13" s="765"/>
      <c r="K13" s="1769">
        <f>(H13+I13)-J13</f>
        <v>15051</v>
      </c>
      <c r="L13" s="1769">
        <f>F13-K13</f>
        <v>1832</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31830</v>
      </c>
      <c r="D16" s="1760">
        <f>SUM(D3,D5:D6,D8:D10,D12:D15)</f>
        <v>0</v>
      </c>
      <c r="E16" s="1760">
        <f>SUM(E3,E5:E6,E8:E10,E12:E15)</f>
        <v>0</v>
      </c>
      <c r="F16" s="1760">
        <f>SUM(F3,F5:F6,F8:F10,F12:F15)</f>
        <v>31830</v>
      </c>
      <c r="G16" s="843"/>
      <c r="H16" s="1760">
        <f>SUM(H3,H6,H8:H10,H12:H14,)</f>
        <v>27389</v>
      </c>
      <c r="I16" s="1760">
        <f>SUM(I3,I6,I8:I10,I12:I14,)</f>
        <v>1554</v>
      </c>
      <c r="J16" s="1760">
        <f>SUM(J3,J6,J8:J10,J12:J14,)</f>
        <v>0</v>
      </c>
      <c r="K16" s="1760">
        <f>(H16+I16)-J16</f>
        <v>28943</v>
      </c>
      <c r="L16" s="1760">
        <f>F16-K16</f>
        <v>2887</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1554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3" activePane="bottomLeft" state="frozen"/>
      <selection activeCell="A47" sqref="A47"/>
      <selection pane="bottomLeft"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1975</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1707675</v>
      </c>
      <c r="G8" s="865"/>
    </row>
    <row r="9" spans="1:7" x14ac:dyDescent="0.2">
      <c r="A9" s="869" t="s">
        <v>460</v>
      </c>
      <c r="B9" s="870" t="s">
        <v>1877</v>
      </c>
      <c r="C9" s="871"/>
      <c r="D9" s="869" t="s">
        <v>501</v>
      </c>
      <c r="E9" s="868"/>
      <c r="F9" s="1909">
        <f>'Expenditures 15-22'!K151</f>
        <v>0</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0</v>
      </c>
      <c r="G11" s="872"/>
    </row>
    <row r="12" spans="1:7" x14ac:dyDescent="0.2">
      <c r="A12" s="869" t="s">
        <v>462</v>
      </c>
      <c r="B12" s="870" t="s">
        <v>1880</v>
      </c>
      <c r="C12" s="871"/>
      <c r="D12" s="869" t="s">
        <v>501</v>
      </c>
      <c r="E12" s="868"/>
      <c r="F12" s="1909">
        <f>'Expenditures 15-22'!K295</f>
        <v>0</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1707675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168098</v>
      </c>
      <c r="G53" s="865"/>
    </row>
    <row r="54" spans="1:7" x14ac:dyDescent="0.2">
      <c r="A54" s="869" t="s">
        <v>459</v>
      </c>
      <c r="B54" s="869" t="s">
        <v>1476</v>
      </c>
      <c r="C54" s="889" t="s">
        <v>982</v>
      </c>
      <c r="D54" s="885" t="s">
        <v>1095</v>
      </c>
      <c r="E54" s="868"/>
      <c r="F54" s="1913">
        <f>'Expenditures 15-22'!G114</f>
        <v>768121</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936219</v>
      </c>
      <c r="G76" s="865"/>
    </row>
    <row r="77" spans="1:8" s="893" customFormat="1" ht="12" customHeight="1" thickTop="1" thickBot="1" x14ac:dyDescent="0.25">
      <c r="A77" s="1779"/>
      <c r="B77" s="1776"/>
      <c r="C77" s="1772"/>
      <c r="D77" s="1777" t="s">
        <v>1900</v>
      </c>
      <c r="E77" s="1774"/>
      <c r="F77" s="1780">
        <f>(F14-F76)</f>
        <v>771456</v>
      </c>
      <c r="G77" s="869"/>
    </row>
    <row r="78" spans="1:8" s="893" customFormat="1" ht="12" customHeight="1" thickTop="1" x14ac:dyDescent="0.2">
      <c r="A78" s="1781"/>
      <c r="B78" s="1776"/>
      <c r="C78" s="1772"/>
      <c r="D78" s="1777" t="s">
        <v>2062</v>
      </c>
      <c r="E78" s="1774"/>
      <c r="F78" s="898">
        <v>0</v>
      </c>
      <c r="G78" s="899"/>
      <c r="H78" s="869"/>
    </row>
    <row r="79" spans="1:8" s="893" customFormat="1" ht="12" customHeight="1" thickBot="1" x14ac:dyDescent="0.25">
      <c r="A79" s="1782"/>
      <c r="B79" s="1776"/>
      <c r="C79" s="1772"/>
      <c r="D79" s="1777" t="s">
        <v>1901</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11235</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725822</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0</v>
      </c>
      <c r="G125" s="930"/>
    </row>
    <row r="126" spans="1:7" x14ac:dyDescent="0.2">
      <c r="A126" s="927" t="s">
        <v>668</v>
      </c>
      <c r="B126" s="927" t="s">
        <v>2024</v>
      </c>
      <c r="C126" s="932">
        <v>4300</v>
      </c>
      <c r="D126" s="933" t="str">
        <f>'Revenues 9-14'!A204</f>
        <v>Total Title I</v>
      </c>
      <c r="E126" s="906"/>
      <c r="F126" s="1789">
        <f>SUM('Revenues 9-14'!C204,'Revenues 9-14'!D204,'Revenues 9-14'!F204,'Revenues 9-14'!G204)</f>
        <v>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720138</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0</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1457195</v>
      </c>
    </row>
    <row r="175" spans="1:7" ht="12" customHeight="1" x14ac:dyDescent="0.2">
      <c r="A175" s="1770"/>
      <c r="B175" s="1784"/>
      <c r="C175" s="1785"/>
      <c r="D175" s="1786" t="s">
        <v>2057</v>
      </c>
      <c r="E175" s="1787"/>
      <c r="F175" s="1789">
        <f>'PCTC-OEPP 27-28'!F77-F174</f>
        <v>-685739</v>
      </c>
    </row>
    <row r="176" spans="1:7" ht="12" customHeight="1" x14ac:dyDescent="0.2">
      <c r="A176" s="1770"/>
      <c r="B176" s="1784"/>
      <c r="C176" s="1785"/>
      <c r="D176" s="1786" t="s">
        <v>1817</v>
      </c>
      <c r="E176" s="1787"/>
      <c r="F176" s="1789">
        <f>'Cap Outlay Deprec 26'!I18</f>
        <v>1554</v>
      </c>
    </row>
    <row r="177" spans="1:7" ht="12" customHeight="1" x14ac:dyDescent="0.2">
      <c r="A177" s="1770"/>
      <c r="B177" s="1784"/>
      <c r="C177" s="1785"/>
      <c r="D177" s="1786" t="s">
        <v>2058</v>
      </c>
      <c r="E177" s="1787"/>
      <c r="F177" s="1789">
        <f>F175+F176</f>
        <v>-684185</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2059</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7" sqref="A1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1932</v>
      </c>
      <c r="B7" s="2277"/>
      <c r="C7" s="2277"/>
      <c r="D7" s="2277"/>
      <c r="E7" s="2277"/>
      <c r="F7" s="2277"/>
      <c r="G7" s="2278"/>
    </row>
    <row r="8" spans="1:7" ht="15.75" customHeight="1" x14ac:dyDescent="0.25">
      <c r="A8" s="2279" t="s">
        <v>1907</v>
      </c>
      <c r="B8" s="2280"/>
      <c r="C8" s="2280"/>
      <c r="D8" s="2280"/>
      <c r="E8" s="2280"/>
      <c r="F8" s="2280"/>
      <c r="G8" s="2281"/>
    </row>
    <row r="9" spans="1:7" ht="35.25" customHeight="1" x14ac:dyDescent="0.25">
      <c r="A9" s="2276" t="s">
        <v>1935</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1934</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1976</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2079</v>
      </c>
      <c r="B17" s="1934"/>
      <c r="C17" s="1656"/>
      <c r="D17" s="1844">
        <v>1E-4</v>
      </c>
      <c r="E17" s="1540">
        <f t="shared" ref="E17:E141" si="0">IF(D17&lt;=25000,D17,IF(D17&gt;25000,25000,0))</f>
        <v>1E-4</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1E-4</v>
      </c>
      <c r="E141" s="1541">
        <f t="shared" si="0"/>
        <v>1E-4</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7" t="s">
        <v>1977</v>
      </c>
      <c r="B11" s="2288"/>
      <c r="C11" s="2288"/>
      <c r="D11" s="2289"/>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392356</v>
      </c>
      <c r="F19" s="1799"/>
      <c r="G19" s="1801">
        <f>'Expenditures 15-22'!K33-SUM('Expenditures 15-22'!G33,'Expenditures 15-22'!I33)+'Expenditures 15-22'!D229</f>
        <v>392356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38752</v>
      </c>
      <c r="F21" s="1802"/>
      <c r="G21" s="1805">
        <f>'Expenditures 15-22'!K42-SUM('Expenditures 15-22'!G42,'Expenditures 15-22'!I42)+'Expenditures 15-22'!K120-SUM('Expenditures 15-22'!G120,'Expenditures 15-22'!I120)+'Expenditures 15-22'!K180-SUM('Expenditures 15-22'!G180,'Expenditures 15-22'!I180)+'Expenditures 15-22'!D238</f>
        <v>38752</v>
      </c>
      <c r="H21" s="987"/>
      <c r="I21" s="162"/>
    </row>
    <row r="22" spans="1:9" s="668" customFormat="1" ht="12" customHeight="1" x14ac:dyDescent="0.2">
      <c r="A22" s="994" t="s">
        <v>564</v>
      </c>
      <c r="B22" s="995"/>
      <c r="C22" s="993">
        <v>2200</v>
      </c>
      <c r="D22" s="1802"/>
      <c r="E22" s="1804">
        <f>'Expenditures 15-22'!K47-SUM('Expenditures 15-22'!G47,'Expenditures 15-22'!I47)+'Expenditures 15-22'!D243</f>
        <v>213449</v>
      </c>
      <c r="F22" s="1802"/>
      <c r="G22" s="1805">
        <f>'Expenditures 15-22'!K47-SUM('Expenditures 15-22'!G47,'Expenditures 15-22'!I47)+'Expenditures 15-22'!D243</f>
        <v>213449</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126584</v>
      </c>
      <c r="F23" s="1802"/>
      <c r="G23" s="1804">
        <f>'Expenditures 15-22'!K53-SUM('Expenditures 15-22'!G53,'Expenditures 15-22'!I53)+'Expenditures 15-22'!D257+'Expenditures 15-22'!K330-SUM('Expenditures 15-22'!G330,'Expenditures 15-22'!I330)</f>
        <v>126584</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315</v>
      </c>
      <c r="E27" s="1804">
        <f>E8</f>
        <v>0</v>
      </c>
      <c r="F27" s="1804">
        <f>'Expenditures 15-22'!K60-SUM('Expenditures 15-22'!G60,'Expenditures 15-22'!I60)+'Expenditures 15-22'!D264-E8</f>
        <v>315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0</v>
      </c>
      <c r="F28" s="1806">
        <f>'Expenditures 15-22'!K61-SUM('Expenditures 15-22'!G61,'Expenditures 15-22'!I61)+'Expenditures 15-22'!K124-SUM('Expenditures 15-22'!G124,'Expenditures 15-22'!I124)+'Expenditures 15-22'!D266-E9</f>
        <v>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315</v>
      </c>
      <c r="E41" s="1806">
        <f>SUM(E19:E40)</f>
        <v>771141</v>
      </c>
      <c r="F41" s="1806">
        <f>SUM(F19:F39)</f>
        <v>315</v>
      </c>
      <c r="G41" s="1806">
        <f>SUM(G19:G40)</f>
        <v>771141</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315</v>
      </c>
      <c r="F43" s="1807" t="s">
        <v>473</v>
      </c>
      <c r="G43" s="1808">
        <f>F41</f>
        <v>315</v>
      </c>
    </row>
    <row r="44" spans="1:7" ht="12" customHeight="1" x14ac:dyDescent="0.2">
      <c r="A44" s="987"/>
      <c r="B44" s="162"/>
      <c r="C44" s="1001"/>
      <c r="D44" s="1807" t="s">
        <v>474</v>
      </c>
      <c r="E44" s="1808">
        <f>E41</f>
        <v>771141</v>
      </c>
      <c r="F44" s="1807" t="s">
        <v>474</v>
      </c>
      <c r="G44" s="1808">
        <f>G41</f>
        <v>771141</v>
      </c>
    </row>
    <row r="45" spans="1:7" ht="12" customHeight="1" x14ac:dyDescent="0.2">
      <c r="A45" s="987"/>
      <c r="B45" s="162"/>
      <c r="C45" s="162"/>
      <c r="D45" s="1809" t="s">
        <v>1006</v>
      </c>
      <c r="E45" s="1810">
        <f>(E43/E44)</f>
        <v>4.0848560769042239E-4</v>
      </c>
      <c r="F45" s="1809" t="s">
        <v>1006</v>
      </c>
      <c r="G45" s="1810">
        <f>(G43/G44)</f>
        <v>4.0848560769042239E-4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A14" sqref="A1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3" t="s">
        <v>1379</v>
      </c>
      <c r="B1" s="2293"/>
      <c r="C1" s="2293"/>
      <c r="D1" s="2293"/>
      <c r="E1" s="2293"/>
      <c r="F1" s="2293"/>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4" t="s">
        <v>1546</v>
      </c>
      <c r="B5" s="2295"/>
      <c r="C5" s="2296"/>
      <c r="D5" s="2296"/>
      <c r="E5" s="2296"/>
      <c r="F5" s="2296"/>
    </row>
    <row r="6" spans="1:10" ht="12" customHeight="1" x14ac:dyDescent="0.25">
      <c r="A6" s="1850"/>
      <c r="B6" s="1851"/>
      <c r="C6" s="2297" t="str">
        <f>COVER!A17</f>
        <v>Career Educ Assoc of N Central IL</v>
      </c>
      <c r="D6" s="2297"/>
      <c r="E6" s="2297"/>
      <c r="F6" s="1852"/>
    </row>
    <row r="7" spans="1:10" ht="11.25" customHeight="1" thickBot="1" x14ac:dyDescent="0.3">
      <c r="A7" s="1850"/>
      <c r="B7" s="1851"/>
      <c r="C7" s="2298">
        <f>COVER!A13</f>
        <v>4000000046</v>
      </c>
      <c r="D7" s="2298"/>
      <c r="E7" s="2298"/>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2080</v>
      </c>
      <c r="D14" s="1865" t="s">
        <v>2080</v>
      </c>
      <c r="E14" s="1868" t="s">
        <v>2080</v>
      </c>
      <c r="F14" s="1867" t="s">
        <v>2081</v>
      </c>
      <c r="H14" s="1878">
        <f t="shared" si="0"/>
        <v>5</v>
      </c>
      <c r="I14" s="1878">
        <f t="shared" si="1"/>
        <v>5</v>
      </c>
      <c r="J14" s="1878">
        <f t="shared" si="2"/>
        <v>5</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2080</v>
      </c>
      <c r="D19" s="1865" t="s">
        <v>2080</v>
      </c>
      <c r="E19" s="1868" t="s">
        <v>2080</v>
      </c>
      <c r="F19" s="1867" t="s">
        <v>2082</v>
      </c>
      <c r="H19" s="1878">
        <f t="shared" si="0"/>
        <v>5</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2080</v>
      </c>
      <c r="D25" s="1865" t="s">
        <v>2080</v>
      </c>
      <c r="E25" s="1868" t="s">
        <v>2080</v>
      </c>
      <c r="F25" s="1867" t="s">
        <v>2095</v>
      </c>
      <c r="H25" s="1878">
        <f t="shared" si="0"/>
        <v>5</v>
      </c>
      <c r="I25" s="1878">
        <f t="shared" si="1"/>
        <v>5</v>
      </c>
      <c r="J25" s="1878">
        <f t="shared" si="2"/>
        <v>5</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2080</v>
      </c>
      <c r="D28" s="1865" t="s">
        <v>2080</v>
      </c>
      <c r="E28" s="1868" t="s">
        <v>2080</v>
      </c>
      <c r="F28" s="1867" t="s">
        <v>2083</v>
      </c>
      <c r="H28" s="1878">
        <f t="shared" si="0"/>
        <v>5</v>
      </c>
      <c r="I28" s="1878">
        <f t="shared" si="1"/>
        <v>5</v>
      </c>
      <c r="J28" s="1878">
        <f t="shared" si="2"/>
        <v>5</v>
      </c>
    </row>
    <row r="29" spans="1:12" ht="12" customHeight="1" x14ac:dyDescent="0.2">
      <c r="A29" s="1863" t="s">
        <v>1537</v>
      </c>
      <c r="B29" s="1864"/>
      <c r="C29" s="1865" t="s">
        <v>2080</v>
      </c>
      <c r="D29" s="1865" t="s">
        <v>2080</v>
      </c>
      <c r="E29" s="1868" t="s">
        <v>2080</v>
      </c>
      <c r="F29" s="1867" t="s">
        <v>2084</v>
      </c>
      <c r="H29" s="1878">
        <f t="shared" si="0"/>
        <v>5</v>
      </c>
      <c r="I29" s="1878">
        <f t="shared" si="1"/>
        <v>5</v>
      </c>
      <c r="J29" s="1878">
        <f t="shared" si="2"/>
        <v>5</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t="s">
        <v>2080</v>
      </c>
      <c r="D32" s="1865" t="s">
        <v>2080</v>
      </c>
      <c r="E32" s="1868" t="s">
        <v>2080</v>
      </c>
      <c r="F32" s="1867" t="s">
        <v>2085</v>
      </c>
      <c r="H32" s="1878">
        <f t="shared" si="0"/>
        <v>5</v>
      </c>
      <c r="I32" s="1878">
        <f t="shared" si="1"/>
        <v>5</v>
      </c>
      <c r="J32" s="1878">
        <f t="shared" si="2"/>
        <v>5</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30</v>
      </c>
      <c r="I34" s="1878">
        <f>SUM(I11:I32)</f>
        <v>30</v>
      </c>
      <c r="J34" s="1878">
        <f>SUM(J11:J32)</f>
        <v>30</v>
      </c>
      <c r="K34" s="1878">
        <f>SUM(H34:J34)</f>
        <v>90</v>
      </c>
    </row>
    <row r="35" spans="1:11" ht="12" customHeight="1" x14ac:dyDescent="0.2">
      <c r="A35" s="1871" t="s">
        <v>1392</v>
      </c>
      <c r="B35" s="1872"/>
      <c r="C35" s="2299"/>
      <c r="D35" s="2299"/>
      <c r="E35" s="2299"/>
      <c r="F35" s="2300"/>
    </row>
    <row r="36" spans="1:11" ht="12" customHeight="1" x14ac:dyDescent="0.2">
      <c r="A36" s="2290"/>
      <c r="B36" s="2291"/>
      <c r="C36" s="2291"/>
      <c r="D36" s="2291"/>
      <c r="E36" s="2291"/>
      <c r="F36" s="2292"/>
    </row>
    <row r="37" spans="1:11" ht="12" customHeight="1" x14ac:dyDescent="0.2">
      <c r="A37" s="2304"/>
      <c r="B37" s="2291"/>
      <c r="C37" s="2291"/>
      <c r="D37" s="2291"/>
      <c r="E37" s="2291"/>
      <c r="F37" s="2292"/>
    </row>
    <row r="38" spans="1:11" ht="12" customHeight="1" x14ac:dyDescent="0.2">
      <c r="A38" s="2305"/>
      <c r="B38" s="2306"/>
      <c r="C38" s="2306"/>
      <c r="D38" s="2306"/>
      <c r="E38" s="2306"/>
      <c r="F38" s="2307"/>
    </row>
    <row r="39" spans="1:11" ht="4.5" hidden="1" customHeight="1" x14ac:dyDescent="0.2">
      <c r="A39" s="1873"/>
      <c r="B39" s="1873"/>
      <c r="C39" s="1873"/>
      <c r="D39" s="1873"/>
      <c r="E39" s="1873"/>
      <c r="F39" s="1873"/>
    </row>
    <row r="40" spans="1:11" s="1870" customFormat="1" ht="12" customHeight="1" x14ac:dyDescent="0.25">
      <c r="A40" s="1874" t="s">
        <v>1391</v>
      </c>
      <c r="B40" s="1875"/>
      <c r="C40" s="2308"/>
      <c r="D40" s="2308"/>
      <c r="E40" s="2308"/>
      <c r="F40" s="2309"/>
      <c r="H40" s="1879"/>
      <c r="I40" s="1879"/>
      <c r="J40" s="1879"/>
      <c r="K40" s="1879"/>
    </row>
    <row r="41" spans="1:11" s="1870" customFormat="1" ht="12" customHeight="1" x14ac:dyDescent="0.25">
      <c r="A41" s="2310"/>
      <c r="B41" s="2311"/>
      <c r="C41" s="2311"/>
      <c r="D41" s="2311"/>
      <c r="E41" s="2311"/>
      <c r="F41" s="2312"/>
      <c r="H41" s="1879"/>
      <c r="I41" s="1879"/>
      <c r="J41" s="1879"/>
      <c r="K41" s="1879"/>
    </row>
    <row r="42" spans="1:11" s="1870" customFormat="1" ht="12" customHeight="1" x14ac:dyDescent="0.25">
      <c r="A42" s="2310" t="s">
        <v>2086</v>
      </c>
      <c r="B42" s="2311"/>
      <c r="C42" s="2311"/>
      <c r="D42" s="2311"/>
      <c r="E42" s="2311"/>
      <c r="F42" s="2312"/>
      <c r="H42" s="1879"/>
      <c r="I42" s="1879"/>
      <c r="J42" s="1879"/>
      <c r="K42" s="1879"/>
    </row>
    <row r="43" spans="1:11" s="1870" customFormat="1" ht="15" x14ac:dyDescent="0.25">
      <c r="A43" s="2301"/>
      <c r="B43" s="2302"/>
      <c r="C43" s="2302"/>
      <c r="D43" s="2302"/>
      <c r="E43" s="2302"/>
      <c r="F43" s="2303"/>
      <c r="H43" s="1879"/>
      <c r="I43" s="1879"/>
      <c r="J43" s="1879"/>
      <c r="K43" s="1879"/>
    </row>
    <row r="44" spans="1:11" s="1870" customFormat="1" ht="12" hidden="1" customHeight="1" x14ac:dyDescent="0.25">
      <c r="A44" s="2301"/>
      <c r="B44" s="2302"/>
      <c r="C44" s="2302"/>
      <c r="D44" s="2302"/>
      <c r="E44" s="2302"/>
      <c r="F44" s="230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8" t="str">
        <f>COVER!A17</f>
        <v>Career Educ Assoc of N Central IL</v>
      </c>
      <c r="J6" s="2319"/>
      <c r="Q6" s="1664"/>
    </row>
    <row r="7" spans="1:17" x14ac:dyDescent="0.2">
      <c r="A7" s="2320" t="s">
        <v>869</v>
      </c>
      <c r="B7" s="2321"/>
      <c r="C7" s="2321"/>
      <c r="D7" s="2321"/>
      <c r="E7" s="2322"/>
      <c r="F7" s="1017"/>
      <c r="G7" s="1009"/>
      <c r="H7" s="1016" t="s">
        <v>372</v>
      </c>
      <c r="I7" s="2323">
        <f>COVER!A13</f>
        <v>4000000046</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126584</v>
      </c>
      <c r="F13" s="1039"/>
      <c r="G13" s="1811">
        <f t="shared" si="0"/>
        <v>126584</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7" t="s">
        <v>7</v>
      </c>
      <c r="C18" s="2328"/>
      <c r="D18" s="232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126584</v>
      </c>
      <c r="F19" s="1813">
        <f t="shared" si="2"/>
        <v>0</v>
      </c>
      <c r="G19" s="1813">
        <f t="shared" si="2"/>
        <v>126584</v>
      </c>
      <c r="H19" s="1813">
        <f t="shared" si="2"/>
        <v>0</v>
      </c>
      <c r="I19" s="1813">
        <f t="shared" si="2"/>
        <v>0</v>
      </c>
      <c r="J19" s="1813">
        <f t="shared" si="2"/>
        <v>0</v>
      </c>
    </row>
    <row r="20" spans="1:10" ht="13.5" thickTop="1" x14ac:dyDescent="0.2">
      <c r="A20" s="1035">
        <v>9</v>
      </c>
      <c r="B20" s="2330" t="s">
        <v>1981</v>
      </c>
      <c r="C20" s="2330"/>
      <c r="D20" s="2331"/>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1983</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G62"/>
  <sheetViews>
    <sheetView showGridLines="0" zoomScale="110" zoomScaleNormal="110" workbookViewId="0">
      <selection activeCell="C8" sqref="C8"/>
    </sheetView>
  </sheetViews>
  <sheetFormatPr defaultRowHeight="12.75" x14ac:dyDescent="0.2"/>
  <cols>
    <col min="1" max="1" width="3" style="329" customWidth="1"/>
    <col min="2" max="2" width="9.85546875" style="329" customWidth="1"/>
    <col min="3" max="3" width="9.7109375" style="329" customWidth="1"/>
    <col min="4" max="5" width="9.85546875" style="329" customWidth="1"/>
    <col min="6" max="6" width="32.7109375" style="329" customWidth="1"/>
    <col min="7" max="7" width="9.85546875" style="329" customWidth="1"/>
    <col min="8" max="16384" width="9.140625" style="329"/>
  </cols>
  <sheetData>
    <row r="2" spans="1:7" x14ac:dyDescent="0.2">
      <c r="A2" s="389" t="s">
        <v>258</v>
      </c>
    </row>
    <row r="3" spans="1:7" x14ac:dyDescent="0.2">
      <c r="A3" s="329" t="s">
        <v>259</v>
      </c>
    </row>
    <row r="5" spans="1:7" x14ac:dyDescent="0.2">
      <c r="A5" s="1068"/>
      <c r="B5" s="1938" t="s">
        <v>2087</v>
      </c>
      <c r="C5" s="1938" t="s">
        <v>2088</v>
      </c>
      <c r="D5" s="1938" t="s">
        <v>1077</v>
      </c>
      <c r="E5" s="1938" t="s">
        <v>2089</v>
      </c>
      <c r="F5" s="1938" t="s">
        <v>481</v>
      </c>
      <c r="G5" s="1938" t="s">
        <v>865</v>
      </c>
    </row>
    <row r="6" spans="1:7" x14ac:dyDescent="0.2">
      <c r="A6" s="1068"/>
      <c r="B6" s="1939"/>
      <c r="C6" s="1939"/>
      <c r="D6" s="1939"/>
      <c r="E6" s="1939"/>
      <c r="F6" s="391"/>
      <c r="G6" s="1939"/>
    </row>
    <row r="7" spans="1:7" ht="13.5" thickBot="1" x14ac:dyDescent="0.25">
      <c r="A7" s="1068"/>
      <c r="B7" s="1939">
        <v>1999</v>
      </c>
      <c r="C7" s="1939">
        <v>10</v>
      </c>
      <c r="D7" s="1939">
        <v>10</v>
      </c>
      <c r="E7" s="1939">
        <v>107</v>
      </c>
      <c r="F7" s="391" t="s">
        <v>2090</v>
      </c>
      <c r="G7" s="1940">
        <v>1710</v>
      </c>
    </row>
    <row r="8" spans="1:7" ht="13.5" thickTop="1" x14ac:dyDescent="0.2">
      <c r="A8" s="1068"/>
      <c r="B8" s="1939"/>
      <c r="C8" s="1939"/>
      <c r="D8" s="1939"/>
      <c r="E8" s="1939"/>
      <c r="F8" s="391"/>
      <c r="G8" s="391"/>
    </row>
    <row r="9" spans="1:7" ht="13.5" thickBot="1" x14ac:dyDescent="0.25">
      <c r="A9" s="1069"/>
      <c r="B9" s="1939">
        <v>4799</v>
      </c>
      <c r="C9" s="1939">
        <v>13</v>
      </c>
      <c r="D9" s="1939">
        <v>10</v>
      </c>
      <c r="E9" s="1939">
        <v>220</v>
      </c>
      <c r="F9" s="391" t="s">
        <v>2091</v>
      </c>
      <c r="G9" s="1940">
        <v>720138</v>
      </c>
    </row>
    <row r="10" spans="1:7" ht="13.5" thickTop="1" x14ac:dyDescent="0.2">
      <c r="A10" s="1069"/>
      <c r="B10" s="1939"/>
      <c r="C10" s="1939"/>
      <c r="D10" s="1939"/>
      <c r="E10" s="1939"/>
      <c r="F10" s="391"/>
      <c r="G10" s="391"/>
    </row>
    <row r="11" spans="1:7" x14ac:dyDescent="0.2">
      <c r="A11" s="1069"/>
      <c r="B11" s="1939"/>
      <c r="C11" s="1939"/>
      <c r="D11" s="1939"/>
      <c r="E11" s="1939"/>
      <c r="F11" s="391"/>
      <c r="G11" s="391"/>
    </row>
    <row r="12" spans="1:7" x14ac:dyDescent="0.2">
      <c r="A12" s="1069"/>
      <c r="B12" s="1939"/>
      <c r="C12" s="1939"/>
      <c r="D12" s="1939"/>
      <c r="E12" s="1939"/>
      <c r="F12" s="391"/>
      <c r="G12" s="391"/>
    </row>
    <row r="13" spans="1:7" x14ac:dyDescent="0.2">
      <c r="A13" s="1069"/>
      <c r="B13" s="1939"/>
      <c r="C13" s="1939"/>
      <c r="D13" s="1939"/>
      <c r="E13" s="1939"/>
      <c r="F13" s="391"/>
      <c r="G13" s="391"/>
    </row>
    <row r="14" spans="1:7" x14ac:dyDescent="0.2">
      <c r="A14" s="1069"/>
      <c r="B14" s="1939"/>
      <c r="C14" s="1939"/>
      <c r="D14" s="1939"/>
      <c r="E14" s="1939"/>
      <c r="F14" s="391"/>
      <c r="G14" s="391"/>
    </row>
    <row r="15" spans="1:7" x14ac:dyDescent="0.2">
      <c r="A15" s="1069"/>
      <c r="B15" s="1939"/>
      <c r="C15" s="1939"/>
      <c r="D15" s="1939"/>
      <c r="E15" s="1939"/>
      <c r="F15" s="391"/>
      <c r="G15" s="391"/>
    </row>
    <row r="16" spans="1:7" x14ac:dyDescent="0.2">
      <c r="A16" s="1069"/>
      <c r="B16" s="1939"/>
      <c r="C16" s="1939"/>
      <c r="D16" s="1939"/>
      <c r="E16" s="1939"/>
      <c r="F16" s="391"/>
      <c r="G16" s="391"/>
    </row>
    <row r="17" spans="1:7" x14ac:dyDescent="0.2">
      <c r="A17" s="1069"/>
      <c r="B17" s="1939"/>
      <c r="C17" s="1939"/>
      <c r="D17" s="1939"/>
      <c r="E17" s="1939"/>
      <c r="F17" s="391"/>
      <c r="G17" s="391"/>
    </row>
    <row r="18" spans="1:7" x14ac:dyDescent="0.2">
      <c r="A18" s="1069"/>
      <c r="B18" s="1939"/>
      <c r="C18" s="1939"/>
      <c r="D18" s="1939"/>
      <c r="E18" s="1939"/>
      <c r="F18" s="391"/>
      <c r="G18" s="391"/>
    </row>
    <row r="19" spans="1:7" x14ac:dyDescent="0.2">
      <c r="A19" s="1069"/>
    </row>
    <row r="20" spans="1:7" x14ac:dyDescent="0.2">
      <c r="A20" s="1069"/>
    </row>
    <row r="21" spans="1:7" x14ac:dyDescent="0.2">
      <c r="A21" s="1069"/>
    </row>
    <row r="22" spans="1:7" x14ac:dyDescent="0.2">
      <c r="A22" s="1069"/>
    </row>
    <row r="23" spans="1:7" x14ac:dyDescent="0.2">
      <c r="A23" s="1069"/>
    </row>
    <row r="24" spans="1:7" x14ac:dyDescent="0.2">
      <c r="A24" s="1069"/>
    </row>
    <row r="25" spans="1:7" x14ac:dyDescent="0.2">
      <c r="A25" s="1069"/>
    </row>
    <row r="26" spans="1:7" x14ac:dyDescent="0.2">
      <c r="A26" s="1069"/>
    </row>
    <row r="27" spans="1:7" x14ac:dyDescent="0.2">
      <c r="A27" s="1069"/>
    </row>
    <row r="28" spans="1:7" x14ac:dyDescent="0.2">
      <c r="A28" s="1069"/>
    </row>
    <row r="29" spans="1:7" x14ac:dyDescent="0.2">
      <c r="A29" s="1069"/>
    </row>
    <row r="30" spans="1:7" x14ac:dyDescent="0.2">
      <c r="A30" s="1069"/>
    </row>
    <row r="31" spans="1:7" x14ac:dyDescent="0.2">
      <c r="A31" s="1069"/>
    </row>
    <row r="32" spans="1:7"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c r="B61" s="258" t="str">
        <f>COVER!A17</f>
        <v>Career Educ Assoc of N Central IL</v>
      </c>
    </row>
    <row r="62" spans="1:2" x14ac:dyDescent="0.2">
      <c r="B62" s="1070">
        <f>COVER!A13</f>
        <v>4000000046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523875</xdr:colOff>
                <xdr:row>2</xdr:row>
                <xdr:rowOff>133350</xdr:rowOff>
              </from>
              <to>
                <xdr:col>1</xdr:col>
                <xdr:colOff>1438275</xdr:colOff>
                <xdr:row>7</xdr:row>
                <xdr:rowOff>9525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1987</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1988</v>
      </c>
      <c r="B4" s="2358"/>
      <c r="C4" s="2358"/>
      <c r="D4" s="2358"/>
      <c r="E4" s="2358"/>
      <c r="F4" s="2359"/>
      <c r="G4" s="1074"/>
      <c r="H4" s="1074"/>
    </row>
    <row r="5" spans="1:8" ht="14.25" customHeight="1" x14ac:dyDescent="0.2">
      <c r="A5" s="2360" t="s">
        <v>1984</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1636535</v>
      </c>
      <c r="C8" s="1815">
        <f>'Acct Summary 7-8'!D8</f>
        <v>0</v>
      </c>
      <c r="D8" s="1815">
        <f>'Acct Summary 7-8'!F8</f>
        <v>0</v>
      </c>
      <c r="E8" s="1815">
        <f>'Acct Summary 7-8'!I8</f>
        <v>0</v>
      </c>
      <c r="F8" s="1815">
        <f>SUM(B8:E8)</f>
        <v>1636535</v>
      </c>
    </row>
    <row r="9" spans="1:8" s="1079" customFormat="1" ht="14.25" customHeight="1" thickBot="1" x14ac:dyDescent="0.25">
      <c r="A9" s="1078" t="s">
        <v>1369</v>
      </c>
      <c r="B9" s="1816">
        <f>'Acct Summary 7-8'!C17</f>
        <v>1707675</v>
      </c>
      <c r="C9" s="1816">
        <f>'Acct Summary 7-8'!D17</f>
        <v>0</v>
      </c>
      <c r="D9" s="1816">
        <f>'Acct Summary 7-8'!F17</f>
        <v>0</v>
      </c>
      <c r="E9" s="1815"/>
      <c r="F9" s="1815">
        <f>SUM(B9:E9)</f>
        <v>1707675</v>
      </c>
    </row>
    <row r="10" spans="1:8" s="1079" customFormat="1" ht="14.25" thickTop="1" thickBot="1" x14ac:dyDescent="0.25">
      <c r="A10" s="1080" t="s">
        <v>1370</v>
      </c>
      <c r="B10" s="1817">
        <f>(B8-B9)</f>
        <v>-71140</v>
      </c>
      <c r="C10" s="1817">
        <f>(C8-C9)</f>
        <v>0</v>
      </c>
      <c r="D10" s="1817">
        <f>(D8-D9)</f>
        <v>0</v>
      </c>
      <c r="E10" s="1816">
        <f>(E8-E9)</f>
        <v>0</v>
      </c>
      <c r="F10" s="1818">
        <f>SUM(F8-F9)</f>
        <v>-71140</v>
      </c>
    </row>
    <row r="11" spans="1:8" s="1079" customFormat="1" ht="14.25" thickTop="1" thickBot="1" x14ac:dyDescent="0.25">
      <c r="A11" s="1081" t="s">
        <v>1985</v>
      </c>
      <c r="B11" s="1819">
        <f>'Acct Summary 7-8'!C81</f>
        <v>798490</v>
      </c>
      <c r="C11" s="1819">
        <f>'Acct Summary 7-8'!D81</f>
        <v>0</v>
      </c>
      <c r="D11" s="1819">
        <f>'Acct Summary 7-8'!F81</f>
        <v>0</v>
      </c>
      <c r="E11" s="1819">
        <f>'Acct Summary 7-8'!I81</f>
        <v>0</v>
      </c>
      <c r="F11" s="1820">
        <f>SUM(B11:E11)</f>
        <v>798490</v>
      </c>
    </row>
    <row r="12" spans="1:8" ht="16.5" customHeight="1" thickTop="1" x14ac:dyDescent="0.2">
      <c r="A12" s="1082"/>
      <c r="B12" s="1083"/>
      <c r="C12" s="2342" t="str">
        <f>IF(AND(F10&lt;0,F11&gt;=0,ABS(F10*3)&gt;ABS(F11)),A16,IF(AND(F10&lt;0,F11&gt;0,ABS(F10*3)&lt;=ABS(F11)),A17,IF(AND(F10&lt;0,F11&lt;0),A16,IF(F11=0,A19,A18))))</f>
        <v>Unbalanced -  however, a deficit reduction plan is not required at this time.</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D54" sqref="D5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4000000046</v>
      </c>
    </row>
    <row r="3" spans="1:2" x14ac:dyDescent="0.2">
      <c r="A3" t="s">
        <v>956</v>
      </c>
      <c r="B3" s="138" t="str">
        <f>COVER!A15</f>
        <v>WINNEBAGO</v>
      </c>
    </row>
    <row r="4" spans="1:2" x14ac:dyDescent="0.2">
      <c r="A4" t="s">
        <v>1007</v>
      </c>
      <c r="B4" s="138" t="str">
        <f>COVER!A17</f>
        <v>Career Educ Assoc of N Central IL</v>
      </c>
    </row>
    <row r="5" spans="1:2" x14ac:dyDescent="0.2">
      <c r="A5" t="s">
        <v>704</v>
      </c>
      <c r="B5" s="138" t="str">
        <f>COVER!A38</f>
        <v>Scott Bloomquist</v>
      </c>
    </row>
    <row r="6" spans="1:2" x14ac:dyDescent="0.2">
      <c r="A6" t="s">
        <v>709</v>
      </c>
      <c r="B6" s="138">
        <f>COVER!P35</f>
        <v>0</v>
      </c>
    </row>
    <row r="7" spans="1:2" x14ac:dyDescent="0.2">
      <c r="A7" t="s">
        <v>705</v>
      </c>
      <c r="B7" s="138">
        <f>COVER!I38</f>
        <v>0</v>
      </c>
    </row>
    <row r="8" spans="1:2" x14ac:dyDescent="0.2">
      <c r="A8" t="s">
        <v>706</v>
      </c>
      <c r="B8" s="138" t="str">
        <f>COVER!T38</f>
        <v>Scott Bloomquist</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822655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-1677</v>
      </c>
      <c r="D86" s="2" t="str">
        <f t="shared" si="0"/>
        <v>Error?</v>
      </c>
    </row>
    <row r="87" spans="1:4" x14ac:dyDescent="0.2">
      <c r="A87" s="10">
        <v>26</v>
      </c>
      <c r="D87" s="2" t="str">
        <f t="shared" si="0"/>
        <v>OK</v>
      </c>
    </row>
    <row r="88" spans="1:4" x14ac:dyDescent="0.2">
      <c r="A88" s="5">
        <v>27</v>
      </c>
      <c r="B88" s="138">
        <f>'Assets-Liab 5-6'!C32</f>
        <v>273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24165</v>
      </c>
      <c r="C91" s="2" t="s">
        <v>573</v>
      </c>
      <c r="D91" s="2" t="str">
        <f t="shared" si="0"/>
        <v>Error?</v>
      </c>
    </row>
    <row r="92" spans="1:4" x14ac:dyDescent="0.2">
      <c r="A92" s="5">
        <v>31</v>
      </c>
      <c r="B92" s="138">
        <f>'Assets-Liab 5-6'!C39</f>
        <v>612785</v>
      </c>
      <c r="D92" s="2" t="str">
        <f t="shared" si="0"/>
        <v>Error?</v>
      </c>
    </row>
    <row r="93" spans="1:4" x14ac:dyDescent="0.2">
      <c r="A93" s="5">
        <v>32</v>
      </c>
      <c r="B93" s="138">
        <f>'Assets-Liab 5-6'!C41</f>
        <v>822655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31830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31830</v>
      </c>
      <c r="C279" s="2" t="s">
        <v>573</v>
      </c>
      <c r="D279" s="2" t="str">
        <f t="shared" si="3"/>
        <v>Error?</v>
      </c>
    </row>
    <row r="280" spans="1:4" x14ac:dyDescent="0.2">
      <c r="A280" s="5">
        <v>219</v>
      </c>
      <c r="B280" s="138">
        <f>'Assets-Liab 5-6'!M40</f>
        <v>31830</v>
      </c>
      <c r="D280" s="2" t="str">
        <f t="shared" si="3"/>
        <v>Error?</v>
      </c>
    </row>
    <row r="281" spans="1:4" x14ac:dyDescent="0.2">
      <c r="A281" s="5">
        <v>220</v>
      </c>
      <c r="B281" s="138">
        <f>'Assets-Liab 5-6'!M41</f>
        <v>31830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113402</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113402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73761</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187163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187163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27801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27801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14359</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42160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42160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46546</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46546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31369</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31369</v>
      </c>
      <c r="C843" s="2" t="s">
        <v>573</v>
      </c>
      <c r="D843" s="2" t="str">
        <f t="shared" si="12"/>
        <v>Error?</v>
      </c>
    </row>
    <row r="844" spans="1:4" x14ac:dyDescent="0.2">
      <c r="A844" s="5">
        <v>783</v>
      </c>
      <c r="B844" s="138">
        <f>'Expenditures 15-22'!E44</f>
        <v>59474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12600</v>
      </c>
      <c r="D846" s="2" t="str">
        <f t="shared" si="12"/>
        <v>Error?</v>
      </c>
    </row>
    <row r="847" spans="1:4" x14ac:dyDescent="0.2">
      <c r="A847" s="5">
        <v>786</v>
      </c>
      <c r="B847" s="138">
        <f>'Expenditures 15-22'!E47</f>
        <v>72074</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36465</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315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315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140223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186769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345810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345810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7383</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7383</v>
      </c>
      <c r="C901" s="2" t="s">
        <v>573</v>
      </c>
      <c r="D901" s="2" t="str">
        <f t="shared" si="13"/>
        <v>Error?</v>
      </c>
    </row>
    <row r="902" spans="1:4" x14ac:dyDescent="0.2">
      <c r="A902" s="5">
        <v>841</v>
      </c>
      <c r="B902" s="138">
        <f>'Expenditures 15-22'!F44</f>
        <v>172</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172</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1999</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9554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355364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766477</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766477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1644</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1644</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1644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768121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168098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168098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1158833</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1158833</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40396</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40396</v>
      </c>
      <c r="C1115" s="2" t="s">
        <v>573</v>
      </c>
      <c r="D1115" s="2" t="str">
        <f t="shared" si="16"/>
        <v>Error?</v>
      </c>
    </row>
    <row r="1116" spans="1:4" x14ac:dyDescent="0.2">
      <c r="A1116" s="5">
        <v>1055</v>
      </c>
      <c r="B1116" s="138">
        <f>'Expenditures 15-22'!K44</f>
        <v>200849</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12600</v>
      </c>
      <c r="C1118" s="2" t="s">
        <v>573</v>
      </c>
      <c r="D1118" s="2" t="str">
        <f t="shared" si="16"/>
        <v>Error?</v>
      </c>
    </row>
    <row r="1119" spans="1:4" x14ac:dyDescent="0.2">
      <c r="A1119" s="5">
        <v>1058</v>
      </c>
      <c r="B1119" s="138">
        <f>'Expenditures 15-22'!K47</f>
        <v>213449</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126584</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315</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315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380744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168098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1707675</v>
      </c>
      <c r="C1152" s="2" t="s">
        <v>573</v>
      </c>
      <c r="D1152" s="2" t="str">
        <f t="shared" si="17"/>
        <v>Error?</v>
      </c>
    </row>
    <row r="1153" spans="1:4" x14ac:dyDescent="0.2">
      <c r="A1153" s="5">
        <v>1092</v>
      </c>
      <c r="B1153" s="138">
        <f>'Expenditures 15-22'!K115</f>
        <v>-71140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869630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798490</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14947</v>
      </c>
      <c r="D2011" s="2" t="str">
        <f t="shared" si="30"/>
        <v>Error?</v>
      </c>
    </row>
    <row r="2012" spans="1:4" x14ac:dyDescent="0.2">
      <c r="A2012" s="5">
        <v>1951</v>
      </c>
      <c r="B2012" s="138">
        <f>'Cap Outlay Deprec 26'!C13</f>
        <v>16883</v>
      </c>
      <c r="D2012" s="2" t="str">
        <f t="shared" si="30"/>
        <v>Error?</v>
      </c>
    </row>
    <row r="2013" spans="1:4" x14ac:dyDescent="0.2">
      <c r="A2013" s="5">
        <v>1952</v>
      </c>
      <c r="B2013" s="138">
        <f>'Cap Outlay Deprec 26'!C16</f>
        <v>31830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14947</v>
      </c>
      <c r="C2029" s="2" t="s">
        <v>573</v>
      </c>
      <c r="D2029" s="2" t="str">
        <f t="shared" si="30"/>
        <v>Error?</v>
      </c>
    </row>
    <row r="2030" spans="1:4" x14ac:dyDescent="0.2">
      <c r="A2030" s="5">
        <v>1969</v>
      </c>
      <c r="B2030" s="138">
        <f>'Cap Outlay Deprec 26'!F13</f>
        <v>16883</v>
      </c>
      <c r="C2030" s="2" t="s">
        <v>573</v>
      </c>
      <c r="D2030" s="2" t="str">
        <f t="shared" si="30"/>
        <v>Error?</v>
      </c>
    </row>
    <row r="2031" spans="1:4" x14ac:dyDescent="0.2">
      <c r="A2031" s="5">
        <v>1970</v>
      </c>
      <c r="B2031" s="138">
        <f>'Cap Outlay Deprec 26'!F16</f>
        <v>31830</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13071</v>
      </c>
      <c r="D2035" s="2" t="str">
        <f t="shared" si="30"/>
        <v>Error?</v>
      </c>
    </row>
    <row r="2036" spans="1:4" x14ac:dyDescent="0.2">
      <c r="A2036" s="5">
        <v>1975</v>
      </c>
      <c r="B2036" s="138">
        <f>'Cap Outlay Deprec 26'!H13</f>
        <v>14318</v>
      </c>
      <c r="D2036" s="2" t="str">
        <f t="shared" si="30"/>
        <v>Error?</v>
      </c>
    </row>
    <row r="2037" spans="1:4" x14ac:dyDescent="0.2">
      <c r="A2037" s="5">
        <v>1976</v>
      </c>
      <c r="B2037" s="138">
        <f>'Cap Outlay Deprec 26'!H16</f>
        <v>27389</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821</v>
      </c>
      <c r="D2041" s="2" t="str">
        <f t="shared" si="30"/>
        <v>Error?</v>
      </c>
    </row>
    <row r="2042" spans="1:4" x14ac:dyDescent="0.2">
      <c r="A2042" s="5">
        <v>1981</v>
      </c>
      <c r="B2042" s="138">
        <f>'Cap Outlay Deprec 26'!I13</f>
        <v>733</v>
      </c>
      <c r="D2042" s="2" t="str">
        <f t="shared" si="30"/>
        <v>Error?</v>
      </c>
    </row>
    <row r="2043" spans="1:4" x14ac:dyDescent="0.2">
      <c r="A2043" s="5">
        <v>1982</v>
      </c>
      <c r="B2043" s="138">
        <f>'Cap Outlay Deprec 26'!I16</f>
        <v>1554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13892</v>
      </c>
      <c r="C2053" s="2" t="s">
        <v>573</v>
      </c>
      <c r="D2053" s="2" t="str">
        <f t="shared" si="31"/>
        <v>Error?</v>
      </c>
    </row>
    <row r="2054" spans="1:4" x14ac:dyDescent="0.2">
      <c r="A2054" s="5">
        <v>1993</v>
      </c>
      <c r="B2054" s="138">
        <f>'Cap Outlay Deprec 26'!K13</f>
        <v>15051</v>
      </c>
      <c r="C2054" s="2" t="s">
        <v>573</v>
      </c>
      <c r="D2054" s="2" t="str">
        <f t="shared" si="31"/>
        <v>Error?</v>
      </c>
    </row>
    <row r="2055" spans="1:4" x14ac:dyDescent="0.2">
      <c r="A2055" s="5">
        <v>1994</v>
      </c>
      <c r="B2055" s="138">
        <f>'Cap Outlay Deprec 26'!K16</f>
        <v>28943</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1055</v>
      </c>
      <c r="C2059" s="2" t="s">
        <v>573</v>
      </c>
      <c r="D2059" s="2" t="str">
        <f t="shared" si="31"/>
        <v>Error?</v>
      </c>
    </row>
    <row r="2060" spans="1:4" x14ac:dyDescent="0.2">
      <c r="A2060" s="5">
        <v>1999</v>
      </c>
      <c r="B2060" s="138">
        <f>'Cap Outlay Deprec 26'!L13</f>
        <v>1832</v>
      </c>
      <c r="C2060" s="2" t="s">
        <v>573</v>
      </c>
      <c r="D2060" s="2" t="str">
        <f t="shared" si="31"/>
        <v>Error?</v>
      </c>
    </row>
    <row r="2061" spans="1:4" x14ac:dyDescent="0.2">
      <c r="A2061" s="5">
        <v>2000</v>
      </c>
      <c r="B2061" s="138">
        <f>'Cap Outlay Deprec 26'!L16</f>
        <v>2887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69866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185705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85149</v>
      </c>
      <c r="C2551" s="2" t="s">
        <v>573</v>
      </c>
      <c r="D2551" s="2" t="str">
        <f t="shared" si="38"/>
        <v>Error?</v>
      </c>
    </row>
    <row r="2552" spans="1:4" x14ac:dyDescent="0.2">
      <c r="A2552" s="10">
        <v>2491</v>
      </c>
      <c r="D2552" s="2" t="str">
        <f t="shared" si="38"/>
        <v>OK</v>
      </c>
    </row>
    <row r="2553" spans="1:4" x14ac:dyDescent="0.2">
      <c r="A2553" s="5">
        <v>2492</v>
      </c>
      <c r="B2553" s="138">
        <f>'Acct Summary 7-8'!C6</f>
        <v>725822</v>
      </c>
      <c r="C2553" s="2" t="s">
        <v>573</v>
      </c>
      <c r="D2553" s="2" t="str">
        <f t="shared" si="38"/>
        <v>Error?</v>
      </c>
    </row>
    <row r="2554" spans="1:4" x14ac:dyDescent="0.2">
      <c r="A2554" s="5">
        <v>2493</v>
      </c>
      <c r="B2554" s="138">
        <f>'Acct Summary 7-8'!C7</f>
        <v>720138</v>
      </c>
      <c r="C2554" s="2" t="s">
        <v>573</v>
      </c>
      <c r="D2554" s="2" t="str">
        <f t="shared" si="38"/>
        <v>Error?</v>
      </c>
    </row>
    <row r="2555" spans="1:4" x14ac:dyDescent="0.2">
      <c r="A2555" s="5">
        <v>2494</v>
      </c>
      <c r="B2555" s="138">
        <f>'Acct Summary 7-8'!C8</f>
        <v>1636535</v>
      </c>
      <c r="C2555" s="2" t="s">
        <v>573</v>
      </c>
      <c r="D2555" s="2" t="str">
        <f t="shared" si="38"/>
        <v>Error?</v>
      </c>
    </row>
    <row r="2556" spans="1:4" x14ac:dyDescent="0.2">
      <c r="A2556" s="5">
        <v>2495</v>
      </c>
      <c r="B2556" s="138">
        <f>'Acct Summary 7-8'!C12</f>
        <v>1158833</v>
      </c>
      <c r="C2556" s="2" t="s">
        <v>573</v>
      </c>
      <c r="D2556" s="2" t="str">
        <f t="shared" si="38"/>
        <v>Error?</v>
      </c>
    </row>
    <row r="2557" spans="1:4" x14ac:dyDescent="0.2">
      <c r="A2557" s="5">
        <v>2496</v>
      </c>
      <c r="B2557" s="138">
        <f>'Acct Summary 7-8'!C13</f>
        <v>380744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168098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1707675</v>
      </c>
      <c r="C2561" s="2" t="s">
        <v>573</v>
      </c>
      <c r="D2561" s="2" t="str">
        <f t="shared" si="39"/>
        <v>Error?</v>
      </c>
    </row>
    <row r="2562" spans="1:4" x14ac:dyDescent="0.2">
      <c r="A2562" s="5">
        <v>2501</v>
      </c>
      <c r="B2562" s="138">
        <f>'Acct Summary 7-8'!C20</f>
        <v>-71140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73761</v>
      </c>
      <c r="D2718" s="2" t="str">
        <f t="shared" si="41"/>
        <v>Error?</v>
      </c>
    </row>
    <row r="2719" spans="1:4" x14ac:dyDescent="0.2">
      <c r="A2719" s="5">
        <v>2658</v>
      </c>
      <c r="B2719" s="138">
        <f>'Expenditures 15-22'!D51</f>
        <v>14359</v>
      </c>
      <c r="D2719" s="2" t="str">
        <f t="shared" si="41"/>
        <v>Error?</v>
      </c>
    </row>
    <row r="2720" spans="1:4" x14ac:dyDescent="0.2">
      <c r="A2720" s="5">
        <v>2659</v>
      </c>
      <c r="B2720" s="138">
        <f>'Expenditures 15-22'!E51</f>
        <v>36465</v>
      </c>
      <c r="D2720" s="2" t="str">
        <f t="shared" si="41"/>
        <v>Error?</v>
      </c>
    </row>
    <row r="2721" spans="1:4" x14ac:dyDescent="0.2">
      <c r="A2721" s="5">
        <v>2660</v>
      </c>
      <c r="B2721" s="138">
        <f>'Expenditures 15-22'!F51</f>
        <v>1999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126584</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-71140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105426</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611197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124270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1760805</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124270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1831945</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798490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720138</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67866</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67866</v>
      </c>
      <c r="C5087" s="2" t="s">
        <v>573</v>
      </c>
      <c r="D5087" s="2" t="str">
        <f t="shared" si="78"/>
        <v>Error?</v>
      </c>
    </row>
    <row r="5088" spans="1:4" x14ac:dyDescent="0.2">
      <c r="A5088" s="5">
        <v>5027</v>
      </c>
      <c r="B5088" s="138">
        <f>'Revenues 9-14'!C65</f>
        <v>1738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1738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2600</v>
      </c>
      <c r="D5114" s="2" t="str">
        <f t="shared" si="78"/>
        <v>Error?</v>
      </c>
    </row>
    <row r="5115" spans="1:4" x14ac:dyDescent="0.2">
      <c r="A5115" s="5">
        <v>5054</v>
      </c>
      <c r="B5115" s="138">
        <f>'Revenues 9-14'!C98</f>
        <v>11235</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1710</v>
      </c>
      <c r="D5119" s="2" t="str">
        <f t="shared" ref="D5119:D5182" si="79">IF(ISBLANK(B5119),"OK",IF(A5119-B5119=0,"OK","Error?"))</f>
        <v>Error?</v>
      </c>
    </row>
    <row r="5120" spans="1:4" x14ac:dyDescent="0.2">
      <c r="A5120" s="5">
        <v>5059</v>
      </c>
      <c r="B5120" s="138">
        <f>'Revenues 9-14'!C108</f>
        <v>15545</v>
      </c>
      <c r="C5120" s="2" t="s">
        <v>573</v>
      </c>
      <c r="D5120" s="2" t="str">
        <f t="shared" si="79"/>
        <v>Error?</v>
      </c>
    </row>
    <row r="5121" spans="1:4" x14ac:dyDescent="0.2">
      <c r="A5121" s="5">
        <v>5060</v>
      </c>
      <c r="B5121" s="138">
        <f>'Revenues 9-14'!C109</f>
        <v>85149</v>
      </c>
      <c r="C5121" s="2" t="s">
        <v>573</v>
      </c>
      <c r="D5121" s="2" t="str">
        <f t="shared" si="79"/>
        <v>Error?</v>
      </c>
    </row>
    <row r="5122" spans="1:4" x14ac:dyDescent="0.2">
      <c r="A5122" s="5">
        <v>5061</v>
      </c>
      <c r="B5122" s="138">
        <f>'Revenues 9-14'!C111</f>
        <v>94014</v>
      </c>
      <c r="D5122" s="2" t="str">
        <f t="shared" si="79"/>
        <v>Error?</v>
      </c>
    </row>
    <row r="5123" spans="1:4" x14ac:dyDescent="0.2">
      <c r="A5123" s="5">
        <v>5062</v>
      </c>
      <c r="B5123" s="138">
        <f>'Revenues 9-14'!C112</f>
        <v>11412</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105426</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725822</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725822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725822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725822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720138</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720138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720138</v>
      </c>
      <c r="C5326" s="2" t="s">
        <v>573</v>
      </c>
      <c r="D5326" s="2" t="str">
        <f t="shared" si="82"/>
        <v>Error?</v>
      </c>
    </row>
    <row r="5327" spans="1:5" x14ac:dyDescent="0.2">
      <c r="A5327" s="5">
        <v>5266</v>
      </c>
      <c r="B5327" s="138">
        <f>'Revenues 9-14'!C268</f>
        <v>1636535</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2335</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169792</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144</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39187</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-137</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21014</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4692</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-71140</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-8.9093163345815227E-2</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69866</v>
      </c>
      <c r="D6987" s="2" t="str">
        <f t="shared" si="108"/>
        <v>Error?</v>
      </c>
    </row>
    <row r="6988" spans="1:4" x14ac:dyDescent="0.2">
      <c r="A6988">
        <v>6927</v>
      </c>
      <c r="B6988" s="138">
        <f>'Expenditures 15-22'!K88</f>
        <v>69866</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69866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98232</v>
      </c>
      <c r="D7002" s="2" t="str">
        <f t="shared" si="108"/>
        <v>Error?</v>
      </c>
    </row>
    <row r="7003" spans="1:4" x14ac:dyDescent="0.2">
      <c r="A7003">
        <v>6942</v>
      </c>
      <c r="B7003" s="138">
        <f>'Expenditures 15-22'!K96</f>
        <v>98232</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98232</v>
      </c>
      <c r="D7012" s="2" t="str">
        <f t="shared" si="108"/>
        <v>Error?</v>
      </c>
    </row>
    <row r="7013" spans="1:4" x14ac:dyDescent="0.2">
      <c r="A7013">
        <v>6952</v>
      </c>
      <c r="B7013" s="138">
        <f>'Expenditures 15-22'!K100</f>
        <v>98232</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1554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1E-4</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2" t="s">
        <v>1191</v>
      </c>
      <c r="B2" s="2382"/>
      <c r="C2" s="2382"/>
      <c r="D2" s="2382"/>
      <c r="E2" s="2382"/>
      <c r="F2" s="2382"/>
      <c r="G2" s="2382"/>
      <c r="H2" s="2382"/>
      <c r="I2" s="2382"/>
      <c r="J2" s="2382"/>
      <c r="K2" s="2382"/>
      <c r="L2" s="2382"/>
    </row>
    <row r="3" spans="1:29" ht="13.5" customHeight="1" x14ac:dyDescent="0.2">
      <c r="A3" s="2413" t="s">
        <v>1190</v>
      </c>
      <c r="B3" s="2413"/>
      <c r="C3" s="2413"/>
      <c r="D3" s="2413"/>
      <c r="E3" s="2413"/>
      <c r="F3" s="2413"/>
      <c r="G3" s="2413"/>
      <c r="H3" s="2413"/>
      <c r="I3" s="2413"/>
      <c r="J3" s="2413"/>
      <c r="K3" s="2413"/>
      <c r="L3" s="2413"/>
    </row>
    <row r="4" spans="1:29" ht="13.5" customHeight="1" x14ac:dyDescent="0.2">
      <c r="A4" s="2382" t="s">
        <v>1989</v>
      </c>
      <c r="B4" s="2403"/>
      <c r="C4" s="2403"/>
      <c r="D4" s="2403"/>
      <c r="E4" s="2403"/>
      <c r="F4" s="2403"/>
      <c r="G4" s="2403"/>
      <c r="H4" s="2403"/>
      <c r="I4" s="2403"/>
      <c r="J4" s="2403"/>
      <c r="K4" s="2403"/>
      <c r="L4" s="240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4" t="str">
        <f>COVER!A17</f>
        <v>Career Educ Assoc of N Central IL</v>
      </c>
      <c r="B7" s="2405"/>
      <c r="C7" s="2405"/>
      <c r="D7" s="2406"/>
      <c r="E7" s="2407">
        <f>COVER!A13</f>
        <v>4000000046</v>
      </c>
      <c r="F7" s="2408"/>
      <c r="G7" s="2414" t="str">
        <f>COVER!T23</f>
        <v>066-004238</v>
      </c>
      <c r="H7" s="2415"/>
      <c r="I7" s="2415"/>
      <c r="J7" s="2415"/>
      <c r="K7" s="2415"/>
      <c r="L7" s="2416"/>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7"/>
      <c r="B9" s="2418"/>
      <c r="C9" s="2418"/>
      <c r="D9" s="2418"/>
      <c r="E9" s="2418"/>
      <c r="F9" s="2419"/>
      <c r="G9" s="2388" t="str">
        <f>COVER!T13</f>
        <v>BENNING GROUP, LLC</v>
      </c>
      <c r="H9" s="2420"/>
      <c r="I9" s="2420"/>
      <c r="J9" s="2420"/>
      <c r="K9" s="2420"/>
      <c r="L9" s="2421"/>
    </row>
    <row r="10" spans="1:29" ht="13.5" customHeight="1" x14ac:dyDescent="0.2">
      <c r="A10" s="2394" t="str">
        <f>COVER!A38</f>
        <v>Scott Bloomquist</v>
      </c>
      <c r="B10" s="2395"/>
      <c r="C10" s="2395"/>
      <c r="D10" s="2395"/>
      <c r="E10" s="2395"/>
      <c r="F10" s="2396"/>
      <c r="G10" s="2388" t="str">
        <f>COVER!T17</f>
        <v>50 W. DOUGLAS STREET, SUITE 801</v>
      </c>
      <c r="H10" s="2389"/>
      <c r="I10" s="2389"/>
      <c r="J10" s="2389"/>
      <c r="K10" s="2389"/>
      <c r="L10" s="2390"/>
    </row>
    <row r="11" spans="1:29" ht="13.5" customHeight="1" x14ac:dyDescent="0.2">
      <c r="A11" s="1184" t="s">
        <v>1519</v>
      </c>
      <c r="B11" s="1185"/>
      <c r="C11" s="1186"/>
      <c r="D11" s="1191"/>
      <c r="E11" s="1186"/>
      <c r="F11" s="1190"/>
      <c r="G11" s="2388" t="str">
        <f>COVER!T19</f>
        <v>FREEPORT</v>
      </c>
      <c r="H11" s="2389"/>
      <c r="I11" s="2389"/>
      <c r="J11" s="2389"/>
      <c r="K11" s="2389"/>
      <c r="L11" s="2390"/>
    </row>
    <row r="12" spans="1:29" ht="13.5" customHeight="1" x14ac:dyDescent="0.2">
      <c r="A12" s="2397" t="s">
        <v>1518</v>
      </c>
      <c r="B12" s="2398"/>
      <c r="C12" s="2398"/>
      <c r="D12" s="2398"/>
      <c r="E12" s="2398"/>
      <c r="F12" s="2399"/>
      <c r="G12" s="2391"/>
      <c r="H12" s="2392"/>
      <c r="I12" s="2392"/>
      <c r="J12" s="2392"/>
      <c r="K12" s="2392"/>
      <c r="L12" s="2393"/>
    </row>
    <row r="13" spans="1:29" ht="13.5" customHeight="1" x14ac:dyDescent="0.2">
      <c r="A13" s="2388"/>
      <c r="B13" s="2389"/>
      <c r="C13" s="2389"/>
      <c r="D13" s="2389"/>
      <c r="E13" s="2389"/>
      <c r="F13" s="2390"/>
      <c r="G13" s="2383" t="s">
        <v>1520</v>
      </c>
      <c r="H13" s="2384"/>
      <c r="I13" s="2400" t="str">
        <f>COVER!T25</f>
        <v>jblocker@benninggroup.com</v>
      </c>
      <c r="J13" s="2401"/>
      <c r="K13" s="2401"/>
      <c r="L13" s="2402"/>
    </row>
    <row r="14" spans="1:29" ht="13.5" customHeight="1" x14ac:dyDescent="0.2">
      <c r="A14" s="2388" t="str">
        <f>COVER!A19</f>
        <v>300 HEART BLVD</v>
      </c>
      <c r="B14" s="2389"/>
      <c r="C14" s="2389"/>
      <c r="D14" s="2389"/>
      <c r="E14" s="2389"/>
      <c r="F14" s="2390"/>
      <c r="G14" s="1195" t="s">
        <v>1185</v>
      </c>
      <c r="H14" s="1193"/>
      <c r="I14" s="1193"/>
      <c r="J14" s="1193"/>
      <c r="K14" s="1193"/>
      <c r="L14" s="1194"/>
    </row>
    <row r="15" spans="1:29" ht="13.5" customHeight="1" x14ac:dyDescent="0.2">
      <c r="A15" s="2388" t="str">
        <f>COVER!A21</f>
        <v>LOVES PARK</v>
      </c>
      <c r="B15" s="2389"/>
      <c r="C15" s="2389"/>
      <c r="D15" s="2389"/>
      <c r="E15" s="2389"/>
      <c r="F15" s="2390"/>
      <c r="G15" s="2385" t="str">
        <f>COVER!T15</f>
        <v>JENNY L. BLOCKER</v>
      </c>
      <c r="H15" s="2386"/>
      <c r="I15" s="2386"/>
      <c r="J15" s="2386"/>
      <c r="K15" s="2386"/>
      <c r="L15" s="2387"/>
    </row>
    <row r="16" spans="1:29" ht="12.2" customHeight="1" x14ac:dyDescent="0.2">
      <c r="A16" s="2410">
        <f>COVER!A25</f>
        <v>61111</v>
      </c>
      <c r="B16" s="2411"/>
      <c r="C16" s="2411"/>
      <c r="D16" s="2411"/>
      <c r="E16" s="2411"/>
      <c r="F16" s="2412"/>
      <c r="G16" s="2422"/>
      <c r="H16" s="2423"/>
      <c r="I16" s="2423"/>
      <c r="J16" s="2423"/>
      <c r="K16" s="2423"/>
      <c r="L16" s="2424"/>
    </row>
    <row r="17" spans="1:13" ht="12.2" customHeight="1" x14ac:dyDescent="0.2">
      <c r="A17" s="2425"/>
      <c r="B17" s="2411"/>
      <c r="C17" s="2411"/>
      <c r="D17" s="2411"/>
      <c r="E17" s="2411"/>
      <c r="F17" s="2412"/>
      <c r="G17" s="1195" t="s">
        <v>1184</v>
      </c>
      <c r="H17" s="1193"/>
      <c r="I17" s="1193"/>
      <c r="J17" s="1193"/>
      <c r="K17" s="1197" t="s">
        <v>1183</v>
      </c>
      <c r="L17" s="1190"/>
      <c r="M17" s="1183"/>
    </row>
    <row r="18" spans="1:13" ht="12.2" customHeight="1" x14ac:dyDescent="0.2">
      <c r="A18" s="2394"/>
      <c r="B18" s="2395"/>
      <c r="C18" s="2395"/>
      <c r="D18" s="2395"/>
      <c r="E18" s="2395"/>
      <c r="F18" s="2396"/>
      <c r="G18" s="2404" t="str">
        <f>COVER!T21</f>
        <v>815/235-3157</v>
      </c>
      <c r="H18" s="2405"/>
      <c r="I18" s="2405"/>
      <c r="J18" s="2405"/>
      <c r="K18" s="2404" t="str">
        <f>COVER!X21</f>
        <v>815/235-3158</v>
      </c>
      <c r="L18" s="240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Career Educ Assoc of N Central IL</v>
      </c>
      <c r="B1" s="2403"/>
      <c r="C1" s="2403"/>
      <c r="D1" s="2403"/>
    </row>
    <row r="2" spans="1:11" s="1212" customFormat="1" ht="12.75" x14ac:dyDescent="0.2">
      <c r="A2" s="2427">
        <f>'Single Audit Cover'!E7</f>
        <v>4000000046</v>
      </c>
      <c r="B2" s="2428"/>
      <c r="C2" s="2428"/>
      <c r="D2" s="2428"/>
    </row>
    <row r="3" spans="1:11" s="1212" customFormat="1" ht="12.75" x14ac:dyDescent="0.2">
      <c r="A3" s="2426" t="s">
        <v>1513</v>
      </c>
      <c r="B3" s="2403"/>
      <c r="C3" s="2403"/>
      <c r="D3" s="240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Career Educ Assoc of N Central IL</v>
      </c>
      <c r="B1" s="2430"/>
      <c r="C1" s="2430"/>
      <c r="D1" s="2430"/>
      <c r="E1" s="2430"/>
    </row>
    <row r="2" spans="1:5" x14ac:dyDescent="0.2">
      <c r="A2" s="2431">
        <f>'Single Audit Cover'!E7</f>
        <v>4000000046</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720138</v>
      </c>
    </row>
    <row r="11" spans="1:5" ht="18" customHeight="1" x14ac:dyDescent="0.2">
      <c r="A11" s="1258" t="s">
        <v>1240</v>
      </c>
      <c r="B11" s="1259"/>
      <c r="C11" s="1259"/>
    </row>
    <row r="12" spans="1:5" x14ac:dyDescent="0.2">
      <c r="A12" s="1258" t="s">
        <v>1239</v>
      </c>
      <c r="B12" s="1259" t="s">
        <v>1238</v>
      </c>
      <c r="C12" s="1259"/>
      <c r="D12" s="1261">
        <f>SUM('Revenues 9-14'!C112:D112,'Revenues 9-14'!F112:G112)</f>
        <v>11412</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731550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731550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731550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3" t="str">
        <f>'Single Audit Cover'!A7</f>
        <v>Career Educ Assoc of N Central IL</v>
      </c>
      <c r="C1" s="2434"/>
      <c r="D1" s="2434"/>
      <c r="E1" s="2434"/>
      <c r="F1" s="2434"/>
      <c r="G1" s="2434"/>
      <c r="H1" s="2434"/>
      <c r="I1" s="2434"/>
      <c r="J1" s="2434"/>
      <c r="K1" s="2434"/>
      <c r="L1" s="2434"/>
      <c r="M1" s="2434"/>
    </row>
    <row r="2" spans="2:14" ht="15" x14ac:dyDescent="0.2">
      <c r="B2" s="2435">
        <f>'Single Audit Cover'!E7</f>
        <v>4000000046</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2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Career Educ Assoc of N Central IL</v>
      </c>
      <c r="B1" s="2447"/>
      <c r="C1" s="2447"/>
      <c r="D1" s="2447"/>
      <c r="E1" s="2447"/>
      <c r="F1" s="2447"/>
    </row>
    <row r="2" spans="1:7" ht="13.5" customHeight="1" x14ac:dyDescent="0.2">
      <c r="A2" s="2435">
        <f>'Single Audit Cover'!E7</f>
        <v>4000000046</v>
      </c>
      <c r="B2" s="2435"/>
      <c r="C2" s="2435"/>
      <c r="D2" s="2435"/>
      <c r="E2" s="2435"/>
      <c r="F2" s="2435"/>
      <c r="G2" s="1272"/>
    </row>
    <row r="3" spans="1:7" ht="15.75" customHeight="1" x14ac:dyDescent="0.2">
      <c r="A3" s="2448" t="s">
        <v>1271</v>
      </c>
      <c r="B3" s="2448"/>
      <c r="C3" s="2448"/>
      <c r="D3" s="2448"/>
      <c r="E3" s="2448"/>
      <c r="F3" s="2448"/>
    </row>
    <row r="4" spans="1:7" ht="13.5" customHeight="1" x14ac:dyDescent="0.2">
      <c r="A4" s="2449" t="str">
        <f>'Single Audit Cover'!A4</f>
        <v>Year Ending June 30, 2019</v>
      </c>
      <c r="B4" s="2449"/>
      <c r="C4" s="2449"/>
      <c r="D4" s="2449"/>
      <c r="E4" s="2449"/>
      <c r="F4" s="2449"/>
    </row>
    <row r="5" spans="1:7" ht="8.25" customHeight="1" x14ac:dyDescent="0.2">
      <c r="C5" s="317"/>
      <c r="D5" s="317"/>
    </row>
    <row r="6" spans="1:7" ht="13.5" customHeight="1" x14ac:dyDescent="0.2">
      <c r="A6" s="1273" t="s">
        <v>1728</v>
      </c>
      <c r="C6" s="317"/>
      <c r="D6" s="317"/>
    </row>
    <row r="7" spans="1:7" ht="60.95" customHeight="1" x14ac:dyDescent="0.2">
      <c r="A7" s="2446" t="s">
        <v>1729</v>
      </c>
      <c r="B7" s="2446"/>
      <c r="C7" s="2446"/>
      <c r="D7" s="2446"/>
      <c r="E7" s="2446"/>
      <c r="F7" s="244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6" t="s">
        <v>1731</v>
      </c>
      <c r="B13" s="2446"/>
      <c r="C13" s="2446"/>
      <c r="D13" s="2446"/>
      <c r="E13" s="2446"/>
      <c r="F13" s="2446"/>
    </row>
    <row r="14" spans="1:7" ht="9.75" customHeight="1" x14ac:dyDescent="0.2">
      <c r="C14" s="1257"/>
      <c r="D14" s="1257"/>
    </row>
    <row r="15" spans="1:7" ht="13.5" customHeight="1" x14ac:dyDescent="0.2">
      <c r="C15" s="1846" t="s">
        <v>1270</v>
      </c>
      <c r="D15" s="2444" t="s">
        <v>1269</v>
      </c>
      <c r="E15" s="2444"/>
      <c r="F15" s="2444"/>
    </row>
    <row r="16" spans="1:7" ht="13.5" customHeight="1" x14ac:dyDescent="0.2">
      <c r="A16" s="1279"/>
      <c r="B16" s="1273" t="s">
        <v>1268</v>
      </c>
      <c r="C16" s="1846" t="s">
        <v>1267</v>
      </c>
      <c r="D16" s="2445" t="s">
        <v>1588</v>
      </c>
      <c r="E16" s="2445"/>
      <c r="F16" s="2445"/>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0" t="s">
        <v>1732</v>
      </c>
      <c r="B32" s="2440"/>
      <c r="C32" s="2440"/>
      <c r="D32" s="2440"/>
      <c r="E32" s="2440"/>
      <c r="F32" s="2440"/>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1">
        <f>+C33+C34</f>
        <v>0</v>
      </c>
      <c r="F34" s="2442"/>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3" t="s">
        <v>1590</v>
      </c>
      <c r="C49" s="2443"/>
      <c r="D49" s="2443"/>
      <c r="E49" s="1396"/>
    </row>
    <row r="50" spans="1:5" s="1297" customFormat="1" ht="3.75" customHeight="1" x14ac:dyDescent="0.2">
      <c r="A50" s="1296"/>
      <c r="B50" s="1845"/>
      <c r="C50" s="1845"/>
      <c r="D50" s="1845"/>
      <c r="E50" s="1396"/>
    </row>
    <row r="51" spans="1:5" s="1297" customFormat="1" ht="20.25" customHeight="1" x14ac:dyDescent="0.2">
      <c r="A51" s="1298">
        <v>6</v>
      </c>
      <c r="B51" s="2438" t="s">
        <v>1551</v>
      </c>
      <c r="C51" s="2438"/>
      <c r="D51" s="2438"/>
    </row>
    <row r="52" spans="1:5" ht="14.25" customHeight="1" x14ac:dyDescent="0.2">
      <c r="A52" s="1298"/>
      <c r="B52" s="2438"/>
      <c r="C52" s="2438"/>
      <c r="D52" s="2438"/>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2094</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Career Educ Assoc of N Central IL</v>
      </c>
      <c r="C1" s="2462"/>
      <c r="D1" s="2462"/>
      <c r="E1" s="2462"/>
      <c r="F1" s="2462"/>
      <c r="G1" s="2462"/>
      <c r="H1" s="2462"/>
      <c r="I1" s="2462"/>
      <c r="J1" s="1406"/>
    </row>
    <row r="2" spans="2:10" s="317" customFormat="1" ht="12.75" customHeight="1" x14ac:dyDescent="0.2">
      <c r="B2" s="2463">
        <f>'Single Audit Cover'!E7</f>
        <v>4000000046</v>
      </c>
      <c r="C2" s="2464"/>
      <c r="D2" s="2464"/>
      <c r="E2" s="2464"/>
      <c r="F2" s="2464"/>
      <c r="G2" s="2464"/>
      <c r="H2" s="2464"/>
      <c r="I2" s="2464"/>
      <c r="J2" s="1406"/>
    </row>
    <row r="3" spans="2:10" s="317" customFormat="1" ht="12.75" customHeight="1" x14ac:dyDescent="0.2">
      <c r="B3" s="2465" t="s">
        <v>1285</v>
      </c>
      <c r="C3" s="2466"/>
      <c r="D3" s="2466"/>
      <c r="E3" s="2466"/>
      <c r="F3" s="2466"/>
      <c r="G3" s="2466"/>
      <c r="H3" s="2466"/>
      <c r="I3" s="2466"/>
      <c r="J3" s="1407"/>
    </row>
    <row r="4" spans="2:10" s="317" customFormat="1" ht="12.75" customHeight="1" x14ac:dyDescent="0.2">
      <c r="B4" s="2465" t="str">
        <f>'Single Audit Cover'!A4</f>
        <v>Year Ending June 30, 2019</v>
      </c>
      <c r="C4" s="2466"/>
      <c r="D4" s="2466"/>
      <c r="E4" s="2466"/>
      <c r="F4" s="2466"/>
      <c r="G4" s="2466"/>
      <c r="H4" s="2466"/>
      <c r="I4" s="246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5" t="s">
        <v>1284</v>
      </c>
      <c r="C7" s="2466"/>
      <c r="D7" s="2466"/>
      <c r="E7" s="2466"/>
      <c r="F7" s="2466"/>
      <c r="G7" s="2466"/>
      <c r="H7" s="2466"/>
      <c r="I7" s="246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7"/>
      <c r="D11" s="246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8"/>
      <c r="E29" s="2468"/>
      <c r="F29" s="2468"/>
      <c r="G29" s="2468"/>
      <c r="H29" s="2468"/>
      <c r="I29" s="246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9" t="s">
        <v>1751</v>
      </c>
      <c r="D37" s="2470"/>
      <c r="E37" s="2470"/>
      <c r="F37" s="2471"/>
      <c r="G37" s="2469" t="s">
        <v>1592</v>
      </c>
      <c r="H37" s="2470"/>
      <c r="I37" s="2471"/>
    </row>
    <row r="38" spans="2:9" ht="16.5" customHeight="1" x14ac:dyDescent="0.2">
      <c r="B38" s="1428"/>
      <c r="C38" s="2457"/>
      <c r="D38" s="2458"/>
      <c r="E38" s="2458"/>
      <c r="F38" s="2459"/>
      <c r="G38" s="2472"/>
      <c r="H38" s="2473"/>
      <c r="I38" s="2474"/>
    </row>
    <row r="39" spans="2:9" ht="16.5" customHeight="1" x14ac:dyDescent="0.2">
      <c r="B39" s="1428"/>
      <c r="C39" s="2457"/>
      <c r="D39" s="2458"/>
      <c r="E39" s="2458"/>
      <c r="F39" s="2459"/>
      <c r="G39" s="2460"/>
      <c r="H39" s="2460"/>
      <c r="I39" s="2460"/>
    </row>
    <row r="40" spans="2:9" ht="16.5" customHeight="1" x14ac:dyDescent="0.2">
      <c r="B40" s="1428"/>
      <c r="C40" s="2457"/>
      <c r="D40" s="2458"/>
      <c r="E40" s="2458"/>
      <c r="F40" s="2459"/>
      <c r="G40" s="2460"/>
      <c r="H40" s="2460"/>
      <c r="I40" s="2460"/>
    </row>
    <row r="41" spans="2:9" ht="16.5" customHeight="1" x14ac:dyDescent="0.2">
      <c r="B41" s="1428"/>
      <c r="C41" s="2457"/>
      <c r="D41" s="2458"/>
      <c r="E41" s="2458"/>
      <c r="F41" s="2459"/>
      <c r="G41" s="2460"/>
      <c r="H41" s="2460"/>
      <c r="I41" s="2460"/>
    </row>
    <row r="42" spans="2:9" ht="16.5" customHeight="1" x14ac:dyDescent="0.2">
      <c r="B42" s="1428"/>
      <c r="C42" s="2457"/>
      <c r="D42" s="2458"/>
      <c r="E42" s="2458"/>
      <c r="F42" s="2459"/>
      <c r="G42" s="2460"/>
      <c r="H42" s="2460"/>
      <c r="I42" s="2460"/>
    </row>
    <row r="43" spans="2:9" ht="16.5" customHeight="1" x14ac:dyDescent="0.2">
      <c r="B43" s="1428"/>
      <c r="C43" s="2450" t="s">
        <v>1593</v>
      </c>
      <c r="D43" s="2451"/>
      <c r="E43" s="2451"/>
      <c r="F43" s="2452"/>
      <c r="G43" s="2453">
        <f>SUM(G38:I42)</f>
        <v>0</v>
      </c>
      <c r="H43" s="2453"/>
      <c r="I43" s="2453"/>
    </row>
    <row r="44" spans="2:9" ht="12.75" customHeight="1" x14ac:dyDescent="0.2"/>
    <row r="45" spans="2:9" ht="12.75" customHeight="1" x14ac:dyDescent="0.2">
      <c r="B45" s="1419" t="s">
        <v>1841</v>
      </c>
      <c r="D45" s="2454">
        <v>0</v>
      </c>
      <c r="E45" s="2455"/>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6"/>
      <c r="F49" s="2456"/>
      <c r="G49" s="2456"/>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Career Educ Assoc of N Central IL</v>
      </c>
      <c r="C1" s="2461"/>
      <c r="D1" s="2461"/>
      <c r="E1" s="2461"/>
      <c r="F1" s="2461"/>
      <c r="G1" s="2461"/>
      <c r="H1" s="2461"/>
      <c r="I1" s="2461"/>
      <c r="J1" s="2461"/>
      <c r="K1" s="2461"/>
      <c r="L1" s="1371"/>
      <c r="M1" s="1371"/>
    </row>
    <row r="2" spans="1:13" ht="12" customHeight="1" x14ac:dyDescent="0.2">
      <c r="B2" s="2463">
        <f>'Single Audit Cover'!E7</f>
        <v>4000000046</v>
      </c>
      <c r="C2" s="2463"/>
      <c r="D2" s="2463"/>
      <c r="E2" s="2463"/>
      <c r="F2" s="2463"/>
      <c r="G2" s="2463"/>
      <c r="H2" s="2463"/>
      <c r="I2" s="2463"/>
      <c r="J2" s="2463"/>
      <c r="K2" s="2463"/>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Career Educ Assoc of N Central IL</v>
      </c>
      <c r="C1" s="2484"/>
      <c r="D1" s="2484"/>
      <c r="E1" s="2484"/>
      <c r="F1" s="2484"/>
      <c r="G1" s="2484"/>
      <c r="H1" s="2484"/>
      <c r="I1" s="2484"/>
      <c r="J1" s="2484"/>
      <c r="K1" s="2484"/>
      <c r="L1" s="1449"/>
    </row>
    <row r="2" spans="1:12" ht="12.75" customHeight="1" x14ac:dyDescent="0.2">
      <c r="B2" s="2485">
        <f>'Single Audit Cover'!E7</f>
        <v>4000000046</v>
      </c>
      <c r="C2" s="2485"/>
      <c r="D2" s="2485"/>
      <c r="E2" s="2485"/>
      <c r="F2" s="2485"/>
      <c r="G2" s="2485"/>
      <c r="H2" s="2485"/>
      <c r="I2" s="2485"/>
      <c r="J2" s="2485"/>
      <c r="K2" s="2485"/>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8"/>
      <c r="G12" s="2468"/>
      <c r="H12" s="2468"/>
      <c r="I12" s="2468"/>
      <c r="J12" s="2468"/>
      <c r="K12" s="246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1" t="str">
        <f>'Single Audit Cover'!A7</f>
        <v>Career Educ Assoc of N Central IL</v>
      </c>
      <c r="C1" s="2461"/>
      <c r="D1" s="2461"/>
      <c r="E1" s="1469"/>
    </row>
    <row r="2" spans="2:5" s="1279" customFormat="1" ht="12.75" customHeight="1" x14ac:dyDescent="0.2">
      <c r="B2" s="2463">
        <f>'Single Audit Cover'!E7</f>
        <v>4000000046</v>
      </c>
      <c r="C2" s="2463"/>
      <c r="D2" s="2463"/>
      <c r="E2" s="1470"/>
    </row>
    <row r="3" spans="2:5" ht="12.75" customHeight="1" x14ac:dyDescent="0.2">
      <c r="B3" s="2477" t="s">
        <v>1766</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1636535</v>
      </c>
      <c r="E16" s="356"/>
      <c r="F16" s="1733">
        <f>SUM('Acct Summary 7-8'!C17,'Acct Summary 7-8'!D17,'Acct Summary 7-8'!F17)</f>
        <v>1707675</v>
      </c>
      <c r="G16" s="356"/>
      <c r="H16" s="1733">
        <f>SUM(D16-F16)</f>
        <v>-71140</v>
      </c>
      <c r="I16" s="222"/>
      <c r="J16" s="1733">
        <f>SUM('Acct Summary 7-8'!C81,'Acct Summary 7-8'!D81,'Acct Summary 7-8'!F81,'Acct Summary 7-8'!I81)</f>
        <v>798490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Career Educ Assoc of N Central IL</v>
      </c>
      <c r="E7" s="391"/>
      <c r="G7" s="252"/>
      <c r="H7" s="387"/>
      <c r="I7" s="387"/>
      <c r="J7" s="387"/>
      <c r="K7" s="387"/>
      <c r="L7" s="329"/>
      <c r="M7" s="329"/>
      <c r="N7" s="329"/>
      <c r="O7" s="329"/>
      <c r="P7" s="329"/>
    </row>
    <row r="8" spans="1:18" ht="12.75" x14ac:dyDescent="0.2">
      <c r="A8" s="329"/>
      <c r="B8" s="329"/>
      <c r="C8" s="389" t="s">
        <v>1125</v>
      </c>
      <c r="D8" s="392">
        <f>COVER!A13</f>
        <v>4000000046</v>
      </c>
      <c r="E8" s="393"/>
      <c r="G8" s="329"/>
      <c r="H8" s="329"/>
      <c r="I8" s="329"/>
      <c r="J8" s="329"/>
      <c r="K8" s="329"/>
      <c r="L8" s="329"/>
      <c r="M8" s="329"/>
      <c r="N8" s="329"/>
      <c r="O8" s="329"/>
      <c r="P8" s="329"/>
    </row>
    <row r="9" spans="1:18" ht="12.75" x14ac:dyDescent="0.2">
      <c r="A9" s="329"/>
      <c r="B9" s="329"/>
      <c r="C9" s="389" t="s">
        <v>713</v>
      </c>
      <c r="D9" s="394" t="str">
        <f>COVER!A15</f>
        <v>WINNEBAGO</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798490</v>
      </c>
      <c r="I12" s="404"/>
      <c r="J12" s="404"/>
      <c r="K12" s="405">
        <f>TRUNC((H12/H13*100000),5)/100000</f>
        <v>0.48791501549999999</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1636535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1707675</v>
      </c>
      <c r="I17" s="404"/>
      <c r="J17" s="416"/>
      <c r="K17" s="405">
        <f>TRUNC((H17/H18*100000),5)/100000</f>
        <v>1.0434698921000001</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1636535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8.923763000000001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611197</v>
      </c>
      <c r="I24" s="422"/>
      <c r="J24" s="422"/>
      <c r="K24" s="423">
        <f>TRUNC(((H24/H25*100000)/100000),2)</f>
        <v>128.84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4743.5416699999996</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pane="bottomLeft" activeCell="C40" sqref="C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611197</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v>2335</v>
      </c>
      <c r="D7" s="467"/>
      <c r="E7" s="467"/>
      <c r="F7" s="467"/>
      <c r="G7" s="467"/>
      <c r="H7" s="467"/>
      <c r="I7" s="467"/>
      <c r="J7" s="467"/>
      <c r="K7" s="467"/>
      <c r="L7" s="477"/>
      <c r="M7" s="468"/>
      <c r="N7" s="469"/>
    </row>
    <row r="8" spans="1:14" ht="13.5" customHeight="1" x14ac:dyDescent="0.2">
      <c r="A8" s="473" t="s">
        <v>269</v>
      </c>
      <c r="B8" s="470">
        <v>150</v>
      </c>
      <c r="C8" s="476">
        <v>169792</v>
      </c>
      <c r="D8" s="467"/>
      <c r="E8" s="467"/>
      <c r="F8" s="467"/>
      <c r="G8" s="478"/>
      <c r="H8" s="467"/>
      <c r="I8" s="474"/>
      <c r="J8" s="474"/>
      <c r="K8" s="479"/>
      <c r="L8" s="480"/>
      <c r="M8" s="468"/>
      <c r="N8" s="469"/>
    </row>
    <row r="9" spans="1:14" ht="13.5" customHeight="1" x14ac:dyDescent="0.2">
      <c r="A9" s="473" t="s">
        <v>270</v>
      </c>
      <c r="B9" s="470">
        <v>160</v>
      </c>
      <c r="C9" s="476">
        <v>144</v>
      </c>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v>39187</v>
      </c>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822655</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31830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31830</v>
      </c>
      <c r="N23" s="1688">
        <f>SUM(N21:N22)</f>
        <v>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v>-137</v>
      </c>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21014</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4692</v>
      </c>
      <c r="D30" s="474"/>
      <c r="E30" s="467"/>
      <c r="F30" s="467"/>
      <c r="G30" s="467"/>
      <c r="H30" s="467"/>
      <c r="I30" s="467"/>
      <c r="J30" s="467"/>
      <c r="K30" s="478"/>
      <c r="L30" s="468"/>
      <c r="M30" s="468"/>
      <c r="N30" s="468"/>
    </row>
    <row r="31" spans="1:14" ht="13.5" customHeight="1" x14ac:dyDescent="0.2">
      <c r="A31" s="473" t="s">
        <v>651</v>
      </c>
      <c r="B31" s="470">
        <v>480</v>
      </c>
      <c r="C31" s="466">
        <v>-1677</v>
      </c>
      <c r="D31" s="467"/>
      <c r="E31" s="467"/>
      <c r="F31" s="466"/>
      <c r="G31" s="467"/>
      <c r="H31" s="467"/>
      <c r="I31" s="467"/>
      <c r="J31" s="467"/>
      <c r="K31" s="467"/>
      <c r="L31" s="468"/>
      <c r="M31" s="468"/>
      <c r="N31" s="468"/>
    </row>
    <row r="32" spans="1:14" ht="13.5" customHeight="1" x14ac:dyDescent="0.2">
      <c r="A32" s="490" t="s">
        <v>652</v>
      </c>
      <c r="B32" s="491">
        <v>490</v>
      </c>
      <c r="C32" s="492">
        <v>273</v>
      </c>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24165</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v>185705</v>
      </c>
      <c r="D38" s="466"/>
      <c r="E38" s="466"/>
      <c r="F38" s="466"/>
      <c r="G38" s="466"/>
      <c r="H38" s="466"/>
      <c r="I38" s="466"/>
      <c r="J38" s="467"/>
      <c r="K38" s="466"/>
      <c r="L38" s="481"/>
      <c r="M38" s="497"/>
      <c r="N38" s="497"/>
    </row>
    <row r="39" spans="1:14" s="329" customFormat="1" ht="13.5" customHeight="1" x14ac:dyDescent="0.2">
      <c r="A39" s="496" t="s">
        <v>342</v>
      </c>
      <c r="B39" s="483">
        <v>730</v>
      </c>
      <c r="C39" s="466">
        <v>612785</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31830</v>
      </c>
      <c r="N40" s="497"/>
    </row>
    <row r="41" spans="1:14" ht="13.5" customHeight="1" thickBot="1" x14ac:dyDescent="0.25">
      <c r="A41" s="1736" t="s">
        <v>655</v>
      </c>
      <c r="B41" s="1706"/>
      <c r="C41" s="1688">
        <f>(SUM(C34,C37,C38,C39))</f>
        <v>822655</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31830</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9"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85149</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105426</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725822</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720138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1636535</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124270</v>
      </c>
      <c r="D9" s="516"/>
      <c r="E9" s="481"/>
      <c r="F9" s="481"/>
      <c r="G9" s="517"/>
      <c r="H9" s="481"/>
      <c r="I9" s="509" t="s">
        <v>1169</v>
      </c>
      <c r="J9" s="478"/>
      <c r="K9" s="481"/>
      <c r="L9" s="347"/>
    </row>
    <row r="10" spans="1:13" s="519" customFormat="1" ht="13.5" thickBot="1" x14ac:dyDescent="0.25">
      <c r="A10" s="1736" t="s">
        <v>1173</v>
      </c>
      <c r="B10" s="1709"/>
      <c r="C10" s="1688">
        <f>SUM(C8:C9)</f>
        <v>1760805</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1158833</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380744</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168098</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1707675</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124270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1831945</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6" t="s">
        <v>1655</v>
      </c>
      <c r="B20" s="2127"/>
      <c r="C20" s="1746">
        <f>C8-C17</f>
        <v>-71140</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8" t="s">
        <v>1177</v>
      </c>
      <c r="B77" s="2119"/>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2" t="s">
        <v>597</v>
      </c>
      <c r="B78" s="2123"/>
      <c r="C78" s="1702">
        <f t="shared" ref="C78:K78" si="9">C20+C77</f>
        <v>-71140</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1949</v>
      </c>
      <c r="B79" s="534"/>
      <c r="C79" s="478">
        <v>869630</v>
      </c>
      <c r="D79" s="535"/>
      <c r="E79" s="535"/>
      <c r="F79" s="535"/>
      <c r="G79" s="535"/>
      <c r="H79" s="535"/>
      <c r="I79" s="535"/>
      <c r="J79" s="535"/>
      <c r="K79" s="535"/>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1950</v>
      </c>
      <c r="B81" s="2121"/>
      <c r="C81" s="1688">
        <f>(SUM(C78:C80))</f>
        <v>798490</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-71140</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-8.9093163345815227E-2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35" activePane="bottomLeft" state="frozen"/>
      <selection pane="bottomLeft" activeCell="C135" sqref="C13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v>67866</v>
      </c>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67866</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1738</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1738</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2600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11235</v>
      </c>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1710</v>
      </c>
      <c r="D107" s="466"/>
      <c r="E107" s="466"/>
      <c r="F107" s="466"/>
      <c r="G107" s="466"/>
      <c r="H107" s="466"/>
      <c r="I107" s="466"/>
      <c r="J107" s="467"/>
      <c r="K107" s="466"/>
    </row>
    <row r="108" spans="1:12" ht="12.75" customHeight="1" thickBot="1" x14ac:dyDescent="0.25">
      <c r="A108" s="1708" t="s">
        <v>487</v>
      </c>
      <c r="B108" s="1712"/>
      <c r="C108" s="1707">
        <f>SUM(C95:C107)</f>
        <v>15545</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85149</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94014</v>
      </c>
      <c r="D111" s="481"/>
      <c r="E111" s="561"/>
      <c r="F111" s="481"/>
      <c r="G111" s="481"/>
      <c r="H111" s="561"/>
      <c r="I111" s="468"/>
      <c r="J111" s="468"/>
      <c r="K111" s="468"/>
    </row>
    <row r="112" spans="1:12" ht="12.75" customHeight="1" x14ac:dyDescent="0.2">
      <c r="A112" s="463" t="s">
        <v>824</v>
      </c>
      <c r="B112" s="470">
        <v>2200</v>
      </c>
      <c r="C112" s="551">
        <v>11412</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105426</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725822</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725822</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725822</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725822</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720138</v>
      </c>
      <c r="D220" s="466"/>
      <c r="E220" s="468"/>
      <c r="F220" s="468"/>
      <c r="G220" s="466"/>
      <c r="H220" s="468"/>
      <c r="I220" s="468"/>
      <c r="J220" s="468"/>
      <c r="K220" s="468"/>
    </row>
    <row r="221" spans="1:11" ht="12.75" customHeight="1" thickBot="1" x14ac:dyDescent="0.25">
      <c r="A221" s="1723" t="s">
        <v>1085</v>
      </c>
      <c r="B221" s="1724"/>
      <c r="C221" s="1707">
        <f>SUM(C219:C220)</f>
        <v>720138</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720138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720138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1636535</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 activePane="bottomLeft" state="frozen"/>
      <selection pane="bottomLeft" activeCell="F52" sqref="F5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v>0</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c r="D7" s="467"/>
      <c r="E7" s="467"/>
      <c r="F7" s="467"/>
      <c r="G7" s="467"/>
      <c r="H7" s="467"/>
      <c r="I7" s="467"/>
      <c r="J7" s="467"/>
      <c r="K7" s="1671">
        <f t="shared" ref="K7:K32" si="0">SUM(C7:J7)</f>
        <v>0</v>
      </c>
      <c r="L7" s="466">
        <v>0</v>
      </c>
    </row>
    <row r="8" spans="1:14" x14ac:dyDescent="0.2">
      <c r="A8" s="1504" t="s">
        <v>164</v>
      </c>
      <c r="B8" s="614">
        <v>1200</v>
      </c>
      <c r="C8" s="466"/>
      <c r="D8" s="466"/>
      <c r="E8" s="466"/>
      <c r="F8" s="466"/>
      <c r="G8" s="466"/>
      <c r="H8" s="466"/>
      <c r="I8" s="467"/>
      <c r="J8" s="467"/>
      <c r="K8" s="1671">
        <f t="shared" si="0"/>
        <v>0</v>
      </c>
      <c r="L8" s="466">
        <v>0</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c r="D10" s="466"/>
      <c r="E10" s="466"/>
      <c r="F10" s="466"/>
      <c r="G10" s="466"/>
      <c r="H10" s="466"/>
      <c r="I10" s="467"/>
      <c r="J10" s="467"/>
      <c r="K10" s="1671">
        <f t="shared" si="0"/>
        <v>0</v>
      </c>
      <c r="L10" s="466">
        <v>0</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c r="D13" s="466"/>
      <c r="E13" s="466">
        <v>46546</v>
      </c>
      <c r="F13" s="466">
        <v>345810</v>
      </c>
      <c r="G13" s="466">
        <v>766477</v>
      </c>
      <c r="H13" s="466"/>
      <c r="I13" s="467"/>
      <c r="J13" s="467"/>
      <c r="K13" s="1671">
        <f t="shared" si="0"/>
        <v>1158833</v>
      </c>
      <c r="L13" s="466">
        <v>1166219</v>
      </c>
    </row>
    <row r="14" spans="1:14" x14ac:dyDescent="0.2">
      <c r="A14" s="1504" t="s">
        <v>963</v>
      </c>
      <c r="B14" s="614">
        <v>1500</v>
      </c>
      <c r="C14" s="466"/>
      <c r="D14" s="466"/>
      <c r="E14" s="466"/>
      <c r="F14" s="466"/>
      <c r="G14" s="466"/>
      <c r="H14" s="466"/>
      <c r="I14" s="467"/>
      <c r="J14" s="467"/>
      <c r="K14" s="1671">
        <f t="shared" si="0"/>
        <v>0</v>
      </c>
      <c r="L14" s="466">
        <v>0</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c r="D17" s="467"/>
      <c r="E17" s="467"/>
      <c r="F17" s="467"/>
      <c r="G17" s="467"/>
      <c r="H17" s="467"/>
      <c r="I17" s="467"/>
      <c r="J17" s="467"/>
      <c r="K17" s="1671">
        <f t="shared" si="0"/>
        <v>0</v>
      </c>
      <c r="L17" s="466">
        <v>0</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0</v>
      </c>
      <c r="D33" s="1670">
        <f t="shared" ref="D33:L33" si="1">SUM(D5:D32)</f>
        <v>0</v>
      </c>
      <c r="E33" s="1670">
        <f t="shared" si="1"/>
        <v>46546</v>
      </c>
      <c r="F33" s="1670">
        <f t="shared" si="1"/>
        <v>345810</v>
      </c>
      <c r="G33" s="1670">
        <f t="shared" si="1"/>
        <v>766477</v>
      </c>
      <c r="H33" s="1670">
        <f t="shared" si="1"/>
        <v>0</v>
      </c>
      <c r="I33" s="1670">
        <f t="shared" si="1"/>
        <v>0</v>
      </c>
      <c r="J33" s="1670">
        <f t="shared" si="1"/>
        <v>0</v>
      </c>
      <c r="K33" s="1670">
        <f t="shared" si="1"/>
        <v>1158833</v>
      </c>
      <c r="L33" s="1670">
        <f t="shared" si="1"/>
        <v>1166219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v>0</v>
      </c>
    </row>
    <row r="37" spans="1:14" x14ac:dyDescent="0.2">
      <c r="A37" s="1504" t="s">
        <v>1090</v>
      </c>
      <c r="B37" s="614">
        <v>2120</v>
      </c>
      <c r="C37" s="466"/>
      <c r="D37" s="466"/>
      <c r="E37" s="466">
        <v>31369</v>
      </c>
      <c r="F37" s="466">
        <v>7383</v>
      </c>
      <c r="G37" s="466">
        <v>1644</v>
      </c>
      <c r="H37" s="466"/>
      <c r="I37" s="467"/>
      <c r="J37" s="467"/>
      <c r="K37" s="1671">
        <f t="shared" si="2"/>
        <v>40396</v>
      </c>
      <c r="L37" s="466">
        <v>53500</v>
      </c>
    </row>
    <row r="38" spans="1:14" x14ac:dyDescent="0.2">
      <c r="A38" s="1504" t="s">
        <v>198</v>
      </c>
      <c r="B38" s="614">
        <v>2130</v>
      </c>
      <c r="C38" s="466"/>
      <c r="D38" s="466"/>
      <c r="E38" s="466"/>
      <c r="F38" s="466"/>
      <c r="G38" s="466"/>
      <c r="H38" s="466"/>
      <c r="I38" s="467"/>
      <c r="J38" s="467"/>
      <c r="K38" s="1671">
        <f t="shared" si="2"/>
        <v>0</v>
      </c>
      <c r="L38" s="466">
        <v>0</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c r="D40" s="466"/>
      <c r="E40" s="466"/>
      <c r="F40" s="466"/>
      <c r="G40" s="466"/>
      <c r="H40" s="466"/>
      <c r="I40" s="467"/>
      <c r="J40" s="467"/>
      <c r="K40" s="1671">
        <f t="shared" si="2"/>
        <v>0</v>
      </c>
      <c r="L40" s="466">
        <v>0</v>
      </c>
    </row>
    <row r="41" spans="1:14" x14ac:dyDescent="0.2">
      <c r="A41" s="1504" t="s">
        <v>1669</v>
      </c>
      <c r="B41" s="614">
        <v>2190</v>
      </c>
      <c r="C41" s="466"/>
      <c r="D41" s="466"/>
      <c r="E41" s="466"/>
      <c r="F41" s="466"/>
      <c r="G41" s="466"/>
      <c r="H41" s="466"/>
      <c r="I41" s="467"/>
      <c r="J41" s="467"/>
      <c r="K41" s="1671">
        <f t="shared" si="2"/>
        <v>0</v>
      </c>
      <c r="L41" s="466">
        <v>0</v>
      </c>
    </row>
    <row r="42" spans="1:14" ht="12.75" customHeight="1" thickBot="1" x14ac:dyDescent="0.25">
      <c r="A42" s="1668" t="s">
        <v>560</v>
      </c>
      <c r="B42" s="1669" t="s">
        <v>716</v>
      </c>
      <c r="C42" s="1670">
        <f>SUM(C36:C41)</f>
        <v>0</v>
      </c>
      <c r="D42" s="1670">
        <f t="shared" ref="D42:L42" si="3">SUM(D36:D41)</f>
        <v>0</v>
      </c>
      <c r="E42" s="1670">
        <f t="shared" si="3"/>
        <v>31369</v>
      </c>
      <c r="F42" s="1670">
        <f t="shared" si="3"/>
        <v>7383</v>
      </c>
      <c r="G42" s="1670">
        <f t="shared" si="3"/>
        <v>1644</v>
      </c>
      <c r="H42" s="1670">
        <f t="shared" si="3"/>
        <v>0</v>
      </c>
      <c r="I42" s="1670">
        <f t="shared" si="3"/>
        <v>0</v>
      </c>
      <c r="J42" s="1670">
        <f t="shared" si="3"/>
        <v>0</v>
      </c>
      <c r="K42" s="1670">
        <f t="shared" si="3"/>
        <v>40396</v>
      </c>
      <c r="L42" s="1670">
        <f t="shared" si="3"/>
        <v>53500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113402</v>
      </c>
      <c r="D44" s="481">
        <v>27801</v>
      </c>
      <c r="E44" s="481">
        <v>59474</v>
      </c>
      <c r="F44" s="481">
        <v>172</v>
      </c>
      <c r="G44" s="481"/>
      <c r="H44" s="481"/>
      <c r="I44" s="467"/>
      <c r="J44" s="467"/>
      <c r="K44" s="1672">
        <f>SUM(C44:J44)</f>
        <v>200849</v>
      </c>
      <c r="L44" s="481">
        <v>219317</v>
      </c>
    </row>
    <row r="45" spans="1:14" x14ac:dyDescent="0.2">
      <c r="A45" s="1504" t="s">
        <v>815</v>
      </c>
      <c r="B45" s="614">
        <v>2220</v>
      </c>
      <c r="C45" s="466"/>
      <c r="D45" s="466"/>
      <c r="E45" s="466"/>
      <c r="F45" s="466"/>
      <c r="G45" s="466"/>
      <c r="H45" s="466"/>
      <c r="I45" s="467"/>
      <c r="J45" s="467"/>
      <c r="K45" s="1672">
        <f>SUM(C45:J45)</f>
        <v>0</v>
      </c>
      <c r="L45" s="466">
        <v>0</v>
      </c>
    </row>
    <row r="46" spans="1:14" x14ac:dyDescent="0.2">
      <c r="A46" s="1504" t="s">
        <v>816</v>
      </c>
      <c r="B46" s="614">
        <v>2230</v>
      </c>
      <c r="C46" s="466"/>
      <c r="D46" s="466"/>
      <c r="E46" s="466">
        <v>12600</v>
      </c>
      <c r="F46" s="466"/>
      <c r="G46" s="466"/>
      <c r="H46" s="466"/>
      <c r="I46" s="467"/>
      <c r="J46" s="467"/>
      <c r="K46" s="1672">
        <f>SUM(C46:J46)</f>
        <v>12600</v>
      </c>
      <c r="L46" s="466">
        <v>11700</v>
      </c>
    </row>
    <row r="47" spans="1:14" ht="12.75" customHeight="1" thickBot="1" x14ac:dyDescent="0.25">
      <c r="A47" s="1668" t="s">
        <v>561</v>
      </c>
      <c r="B47" s="1669" t="s">
        <v>32</v>
      </c>
      <c r="C47" s="1670">
        <f>SUM(C44:C46)</f>
        <v>113402</v>
      </c>
      <c r="D47" s="1670">
        <f t="shared" ref="D47:K47" si="4">SUM(D44:D46)</f>
        <v>27801</v>
      </c>
      <c r="E47" s="1670">
        <f t="shared" si="4"/>
        <v>72074</v>
      </c>
      <c r="F47" s="1670">
        <f t="shared" si="4"/>
        <v>172</v>
      </c>
      <c r="G47" s="1670">
        <f t="shared" si="4"/>
        <v>0</v>
      </c>
      <c r="H47" s="1670">
        <f t="shared" si="4"/>
        <v>0</v>
      </c>
      <c r="I47" s="1670">
        <f t="shared" si="4"/>
        <v>0</v>
      </c>
      <c r="J47" s="1670">
        <f t="shared" si="4"/>
        <v>0</v>
      </c>
      <c r="K47" s="1670">
        <f t="shared" si="4"/>
        <v>213449</v>
      </c>
      <c r="L47" s="1670">
        <f>SUM(L44:L46)</f>
        <v>231017</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v>0</v>
      </c>
    </row>
    <row r="50" spans="1:14" x14ac:dyDescent="0.2">
      <c r="A50" s="1504" t="s">
        <v>818</v>
      </c>
      <c r="B50" s="614">
        <v>2320</v>
      </c>
      <c r="C50" s="466"/>
      <c r="D50" s="466"/>
      <c r="E50" s="466"/>
      <c r="F50" s="466"/>
      <c r="G50" s="466"/>
      <c r="H50" s="466"/>
      <c r="I50" s="467"/>
      <c r="J50" s="467"/>
      <c r="K50" s="1672">
        <f>SUM(C50:J50)</f>
        <v>0</v>
      </c>
      <c r="L50" s="466">
        <v>0</v>
      </c>
    </row>
    <row r="51" spans="1:14" x14ac:dyDescent="0.2">
      <c r="A51" s="1504" t="s">
        <v>42</v>
      </c>
      <c r="B51" s="614">
        <v>2330</v>
      </c>
      <c r="C51" s="466">
        <v>73761</v>
      </c>
      <c r="D51" s="466">
        <v>14359</v>
      </c>
      <c r="E51" s="466">
        <v>36465</v>
      </c>
      <c r="F51" s="466">
        <v>1999</v>
      </c>
      <c r="G51" s="466"/>
      <c r="H51" s="466"/>
      <c r="I51" s="467"/>
      <c r="J51" s="467"/>
      <c r="K51" s="1672">
        <f>SUM(C51:J51)</f>
        <v>126584</v>
      </c>
      <c r="L51" s="466">
        <v>130450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73761</v>
      </c>
      <c r="D53" s="1670">
        <f t="shared" ref="D53:L53" si="5">SUM(D49:D52)</f>
        <v>14359</v>
      </c>
      <c r="E53" s="1670">
        <f t="shared" si="5"/>
        <v>36465</v>
      </c>
      <c r="F53" s="1670">
        <f t="shared" si="5"/>
        <v>1999</v>
      </c>
      <c r="G53" s="1670">
        <f t="shared" si="5"/>
        <v>0</v>
      </c>
      <c r="H53" s="1670">
        <f t="shared" si="5"/>
        <v>0</v>
      </c>
      <c r="I53" s="1670">
        <f t="shared" si="5"/>
        <v>0</v>
      </c>
      <c r="J53" s="1670">
        <f t="shared" si="5"/>
        <v>0</v>
      </c>
      <c r="K53" s="1670">
        <f t="shared" si="5"/>
        <v>126584</v>
      </c>
      <c r="L53" s="1670">
        <f t="shared" si="5"/>
        <v>130450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v>0</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c r="D60" s="466"/>
      <c r="E60" s="466">
        <v>315</v>
      </c>
      <c r="F60" s="466"/>
      <c r="G60" s="466"/>
      <c r="H60" s="466"/>
      <c r="I60" s="467"/>
      <c r="J60" s="467"/>
      <c r="K60" s="1672">
        <f t="shared" si="7"/>
        <v>315</v>
      </c>
      <c r="L60" s="466">
        <v>0</v>
      </c>
      <c r="M60" s="609"/>
      <c r="N60" s="609"/>
    </row>
    <row r="61" spans="1:14" s="343" customFormat="1" x14ac:dyDescent="0.2">
      <c r="A61" s="1504" t="s">
        <v>197</v>
      </c>
      <c r="B61" s="614">
        <v>2540</v>
      </c>
      <c r="C61" s="466"/>
      <c r="D61" s="466"/>
      <c r="E61" s="466"/>
      <c r="F61" s="466"/>
      <c r="G61" s="466"/>
      <c r="H61" s="466"/>
      <c r="I61" s="467"/>
      <c r="J61" s="467"/>
      <c r="K61" s="1672">
        <f t="shared" si="7"/>
        <v>0</v>
      </c>
      <c r="L61" s="466">
        <v>0</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c r="D63" s="466"/>
      <c r="E63" s="466"/>
      <c r="F63" s="466"/>
      <c r="G63" s="466"/>
      <c r="H63" s="466"/>
      <c r="I63" s="467"/>
      <c r="J63" s="467"/>
      <c r="K63" s="1672">
        <f t="shared" si="7"/>
        <v>0</v>
      </c>
      <c r="L63" s="466">
        <v>0</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0</v>
      </c>
      <c r="D65" s="1670">
        <f t="shared" ref="D65:L65" si="8">SUM(D59:D64)</f>
        <v>0</v>
      </c>
      <c r="E65" s="1670">
        <f t="shared" si="8"/>
        <v>315</v>
      </c>
      <c r="F65" s="1670">
        <f t="shared" si="8"/>
        <v>0</v>
      </c>
      <c r="G65" s="1670">
        <f t="shared" si="8"/>
        <v>0</v>
      </c>
      <c r="H65" s="1670">
        <f t="shared" si="8"/>
        <v>0</v>
      </c>
      <c r="I65" s="1670">
        <f t="shared" si="8"/>
        <v>0</v>
      </c>
      <c r="J65" s="1670">
        <f t="shared" si="8"/>
        <v>0</v>
      </c>
      <c r="K65" s="1670">
        <f t="shared" si="8"/>
        <v>315</v>
      </c>
      <c r="L65" s="1670">
        <f t="shared" si="8"/>
        <v>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0</v>
      </c>
      <c r="M73" s="609"/>
      <c r="N73" s="609"/>
    </row>
    <row r="74" spans="1:14" ht="12.75" customHeight="1" thickTop="1" thickBot="1" x14ac:dyDescent="0.25">
      <c r="A74" s="1668" t="s">
        <v>811</v>
      </c>
      <c r="B74" s="1676">
        <v>2000</v>
      </c>
      <c r="C74" s="1677">
        <f>SUM(C42,C47,C53,C57,C65,C72,C73)</f>
        <v>187163</v>
      </c>
      <c r="D74" s="1677">
        <f t="shared" ref="D74:K74" si="10">SUM(D42,D47,D53,D57,D65,D72,D73)</f>
        <v>42160</v>
      </c>
      <c r="E74" s="1677">
        <f t="shared" si="10"/>
        <v>140223</v>
      </c>
      <c r="F74" s="1677">
        <f t="shared" si="10"/>
        <v>9554</v>
      </c>
      <c r="G74" s="1677">
        <f t="shared" si="10"/>
        <v>1644</v>
      </c>
      <c r="H74" s="1677">
        <f t="shared" si="10"/>
        <v>0</v>
      </c>
      <c r="I74" s="1677">
        <f t="shared" si="10"/>
        <v>0</v>
      </c>
      <c r="J74" s="1677">
        <f t="shared" si="10"/>
        <v>0</v>
      </c>
      <c r="K74" s="1677">
        <f t="shared" si="10"/>
        <v>380744</v>
      </c>
      <c r="L74" s="1677">
        <f>SUM(L42,L47,L53,L57,L65,L72,L73)</f>
        <v>414967</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c r="F79" s="616"/>
      <c r="G79" s="616"/>
      <c r="H79" s="466"/>
      <c r="I79" s="477"/>
      <c r="J79" s="477"/>
      <c r="K79" s="1671">
        <f t="shared" si="11"/>
        <v>0</v>
      </c>
      <c r="L79" s="466">
        <v>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v>69866</v>
      </c>
      <c r="I88" s="477"/>
      <c r="J88" s="477"/>
      <c r="K88" s="1677">
        <f t="shared" si="12"/>
        <v>69866</v>
      </c>
      <c r="L88" s="530">
        <v>69866</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69866</v>
      </c>
      <c r="I92" s="477"/>
      <c r="J92" s="477"/>
      <c r="K92" s="1677">
        <f t="shared" si="12"/>
        <v>69866</v>
      </c>
      <c r="L92" s="1670">
        <f>SUM(L85:L91)</f>
        <v>69866</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v>98232</v>
      </c>
      <c r="I96" s="477"/>
      <c r="J96" s="477"/>
      <c r="K96" s="1677">
        <f t="shared" si="12"/>
        <v>98232</v>
      </c>
      <c r="L96" s="530">
        <v>246989</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98232</v>
      </c>
      <c r="I100" s="477"/>
      <c r="J100" s="477"/>
      <c r="K100" s="1677">
        <f>SUM(K93:K99)</f>
        <v>98232</v>
      </c>
      <c r="L100" s="1677">
        <f>SUM(L93:L99)</f>
        <v>246989</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0</v>
      </c>
      <c r="F102" s="616"/>
      <c r="G102" s="616"/>
      <c r="H102" s="1677">
        <f>SUM(H84,H92,H100,H101)</f>
        <v>168098</v>
      </c>
      <c r="I102" s="477"/>
      <c r="J102" s="477"/>
      <c r="K102" s="1677">
        <f>SUM(K84,K92,K100,K101)</f>
        <v>168098</v>
      </c>
      <c r="L102" s="1677">
        <f>SUM(L84,L92,L100,L101)</f>
        <v>316855</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187163</v>
      </c>
      <c r="D114" s="1670">
        <f t="shared" ref="D114:K114" si="13">SUM(D33,D74,D75,D102,D112,D113)</f>
        <v>42160</v>
      </c>
      <c r="E114" s="1670">
        <f t="shared" si="13"/>
        <v>186769</v>
      </c>
      <c r="F114" s="1670">
        <f t="shared" si="13"/>
        <v>355364</v>
      </c>
      <c r="G114" s="1670">
        <f t="shared" si="13"/>
        <v>768121</v>
      </c>
      <c r="H114" s="1670">
        <f>SUM(H33,H74,H75,H102,H112,H113)</f>
        <v>168098</v>
      </c>
      <c r="I114" s="1670">
        <f t="shared" si="13"/>
        <v>0</v>
      </c>
      <c r="J114" s="1670">
        <f t="shared" si="13"/>
        <v>0</v>
      </c>
      <c r="K114" s="1670">
        <f t="shared" si="13"/>
        <v>1707675</v>
      </c>
      <c r="L114" s="1670">
        <f>SUM(L33,L74,L75,L102,L112,L113)</f>
        <v>1898041</v>
      </c>
    </row>
    <row r="115" spans="1:14" ht="13.5" thickTop="1" x14ac:dyDescent="0.2">
      <c r="A115" s="2181" t="s">
        <v>996</v>
      </c>
      <c r="B115" s="2182"/>
      <c r="C115" s="618"/>
      <c r="D115" s="618"/>
      <c r="E115" s="618"/>
      <c r="F115" s="618"/>
      <c r="G115" s="618"/>
      <c r="H115" s="618"/>
      <c r="I115" s="618"/>
      <c r="J115" s="618"/>
      <c r="K115" s="1684">
        <f>'Revenues 9-14'!C268-'Expenditures 15-22'!K114</f>
        <v>-71140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0</v>
      </c>
    </row>
    <row r="124" spans="1:14" ht="14.25" thickTop="1" thickBot="1" x14ac:dyDescent="0.25">
      <c r="A124" s="1504" t="s">
        <v>197</v>
      </c>
      <c r="B124" s="614">
        <v>2540</v>
      </c>
      <c r="C124" s="466"/>
      <c r="D124" s="466"/>
      <c r="E124" s="466"/>
      <c r="F124" s="466"/>
      <c r="G124" s="466"/>
      <c r="H124" s="466"/>
      <c r="I124" s="467"/>
      <c r="J124" s="467"/>
      <c r="K124" s="1670">
        <f>SUM(C124:J124)</f>
        <v>0</v>
      </c>
      <c r="L124" s="466">
        <v>0</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1" t="s">
        <v>620</v>
      </c>
      <c r="B151" s="2153"/>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4" t="s">
        <v>1178</v>
      </c>
      <c r="B152" s="2175"/>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v>0</v>
      </c>
    </row>
    <row r="170" spans="1:14" ht="33.75" customHeight="1" x14ac:dyDescent="0.2">
      <c r="A170" s="669" t="s">
        <v>1670</v>
      </c>
      <c r="B170" s="671" t="s">
        <v>31</v>
      </c>
      <c r="C170" s="616"/>
      <c r="D170" s="616"/>
      <c r="E170" s="616"/>
      <c r="F170" s="616"/>
      <c r="G170" s="616"/>
      <c r="H170" s="569"/>
      <c r="I170" s="616"/>
      <c r="J170" s="616"/>
      <c r="K170" s="1671">
        <f>SUM(C170:J170)</f>
        <v>0</v>
      </c>
      <c r="L170" s="569">
        <v>0</v>
      </c>
    </row>
    <row r="171" spans="1:14" ht="15.75" customHeight="1" x14ac:dyDescent="0.2">
      <c r="A171" s="621" t="s">
        <v>766</v>
      </c>
      <c r="B171" s="672" t="s">
        <v>84</v>
      </c>
      <c r="C171" s="616"/>
      <c r="D171" s="616"/>
      <c r="E171" s="466"/>
      <c r="F171" s="616"/>
      <c r="G171" s="616"/>
      <c r="H171" s="569"/>
      <c r="I171" s="477"/>
      <c r="J171" s="616"/>
      <c r="K171" s="1671">
        <f>SUM(C171:J171)</f>
        <v>0</v>
      </c>
      <c r="L171" s="569">
        <v>0</v>
      </c>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81" t="s">
        <v>996</v>
      </c>
      <c r="B175" s="2182"/>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v>0</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81" t="s">
        <v>996</v>
      </c>
      <c r="B211" s="2182"/>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v>0</v>
      </c>
    </row>
    <row r="216" spans="1:14" x14ac:dyDescent="0.2">
      <c r="A216" s="1504" t="s">
        <v>163</v>
      </c>
      <c r="B216" s="614" t="s">
        <v>967</v>
      </c>
      <c r="C216" s="616"/>
      <c r="D216" s="467"/>
      <c r="E216" s="616"/>
      <c r="F216" s="616"/>
      <c r="G216" s="616"/>
      <c r="H216" s="616"/>
      <c r="I216" s="616"/>
      <c r="J216" s="616"/>
      <c r="K216" s="1671">
        <f t="shared" ref="K216:K228" si="19">D216</f>
        <v>0</v>
      </c>
      <c r="L216" s="466">
        <v>0</v>
      </c>
    </row>
    <row r="217" spans="1:14" x14ac:dyDescent="0.2">
      <c r="A217" s="1504" t="s">
        <v>164</v>
      </c>
      <c r="B217" s="614">
        <v>1200</v>
      </c>
      <c r="C217" s="616"/>
      <c r="D217" s="466"/>
      <c r="E217" s="616"/>
      <c r="F217" s="616"/>
      <c r="G217" s="616"/>
      <c r="H217" s="616"/>
      <c r="I217" s="616"/>
      <c r="J217" s="616"/>
      <c r="K217" s="1671">
        <f t="shared" si="19"/>
        <v>0</v>
      </c>
      <c r="L217" s="466">
        <v>0</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c r="E219" s="616"/>
      <c r="F219" s="616"/>
      <c r="G219" s="616"/>
      <c r="H219" s="616"/>
      <c r="I219" s="616"/>
      <c r="J219" s="616"/>
      <c r="K219" s="1671">
        <f t="shared" si="19"/>
        <v>0</v>
      </c>
      <c r="L219" s="466">
        <v>0</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c r="E222" s="616"/>
      <c r="F222" s="616"/>
      <c r="G222" s="616"/>
      <c r="H222" s="616"/>
      <c r="I222" s="616"/>
      <c r="J222" s="616"/>
      <c r="K222" s="1671">
        <f t="shared" si="19"/>
        <v>0</v>
      </c>
      <c r="L222" s="466">
        <v>0</v>
      </c>
    </row>
    <row r="223" spans="1:14" x14ac:dyDescent="0.2">
      <c r="A223" s="1504" t="s">
        <v>963</v>
      </c>
      <c r="B223" s="614">
        <v>1500</v>
      </c>
      <c r="C223" s="616"/>
      <c r="D223" s="466"/>
      <c r="E223" s="616"/>
      <c r="F223" s="616"/>
      <c r="G223" s="616"/>
      <c r="H223" s="616"/>
      <c r="I223" s="616"/>
      <c r="J223" s="616"/>
      <c r="K223" s="1671">
        <f t="shared" si="19"/>
        <v>0</v>
      </c>
      <c r="L223" s="466">
        <v>0</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0</v>
      </c>
    </row>
    <row r="233" spans="1:12" x14ac:dyDescent="0.2">
      <c r="A233" s="1504" t="s">
        <v>1090</v>
      </c>
      <c r="B233" s="614">
        <v>2120</v>
      </c>
      <c r="C233" s="616"/>
      <c r="D233" s="466"/>
      <c r="E233" s="616"/>
      <c r="F233" s="616"/>
      <c r="G233" s="616"/>
      <c r="H233" s="616"/>
      <c r="I233" s="616"/>
      <c r="J233" s="616"/>
      <c r="K233" s="1671">
        <f t="shared" si="20"/>
        <v>0</v>
      </c>
      <c r="L233" s="466">
        <v>0</v>
      </c>
    </row>
    <row r="234" spans="1:12" x14ac:dyDescent="0.2">
      <c r="A234" s="1504" t="s">
        <v>198</v>
      </c>
      <c r="B234" s="614">
        <v>2130</v>
      </c>
      <c r="C234" s="616"/>
      <c r="D234" s="466"/>
      <c r="E234" s="616"/>
      <c r="F234" s="616"/>
      <c r="G234" s="616"/>
      <c r="H234" s="616"/>
      <c r="I234" s="616"/>
      <c r="J234" s="616"/>
      <c r="K234" s="1671">
        <f t="shared" si="20"/>
        <v>0</v>
      </c>
      <c r="L234" s="466">
        <v>0</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c r="E236" s="616"/>
      <c r="F236" s="616"/>
      <c r="G236" s="616"/>
      <c r="H236" s="616"/>
      <c r="I236" s="616"/>
      <c r="J236" s="616"/>
      <c r="K236" s="1671">
        <f t="shared" si="20"/>
        <v>0</v>
      </c>
      <c r="L236" s="466">
        <v>0</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v>0</v>
      </c>
    </row>
    <row r="241" spans="1:12" x14ac:dyDescent="0.2">
      <c r="A241" s="1504" t="s">
        <v>815</v>
      </c>
      <c r="B241" s="614">
        <v>2220</v>
      </c>
      <c r="C241" s="616"/>
      <c r="D241" s="466"/>
      <c r="E241" s="616"/>
      <c r="F241" s="616"/>
      <c r="G241" s="616"/>
      <c r="H241" s="616"/>
      <c r="I241" s="616"/>
      <c r="J241" s="616"/>
      <c r="K241" s="1672">
        <f>D241</f>
        <v>0</v>
      </c>
      <c r="L241" s="466">
        <v>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v>0</v>
      </c>
    </row>
    <row r="246" spans="1:12" x14ac:dyDescent="0.2">
      <c r="A246" s="1504" t="s">
        <v>818</v>
      </c>
      <c r="B246" s="614">
        <v>2320</v>
      </c>
      <c r="C246" s="616"/>
      <c r="D246" s="466"/>
      <c r="E246" s="616"/>
      <c r="F246" s="616"/>
      <c r="G246" s="616"/>
      <c r="H246" s="616"/>
      <c r="I246" s="616"/>
      <c r="J246" s="616"/>
      <c r="K246" s="1672">
        <f t="shared" ref="K246:K256" si="21">D246</f>
        <v>0</v>
      </c>
      <c r="L246" s="466">
        <v>0</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1805</v>
      </c>
      <c r="B249" s="683" t="s">
        <v>282</v>
      </c>
      <c r="C249" s="616"/>
      <c r="D249" s="474"/>
      <c r="E249" s="616"/>
      <c r="F249" s="616"/>
      <c r="G249" s="616"/>
      <c r="H249" s="616"/>
      <c r="I249" s="616"/>
      <c r="J249" s="616"/>
      <c r="K249" s="1672">
        <f t="shared" si="21"/>
        <v>0</v>
      </c>
      <c r="L249" s="466">
        <v>0</v>
      </c>
    </row>
    <row r="250" spans="1:12" x14ac:dyDescent="0.2">
      <c r="A250" s="1505" t="s">
        <v>1806</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v>0</v>
      </c>
    </row>
    <row r="260" spans="1:14" s="597" customFormat="1" x14ac:dyDescent="0.2">
      <c r="A260" s="1522" t="s">
        <v>1804</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c r="E264" s="616"/>
      <c r="F264" s="616"/>
      <c r="G264" s="616"/>
      <c r="H264" s="616"/>
      <c r="I264" s="616"/>
      <c r="J264" s="616"/>
      <c r="K264" s="1672">
        <f t="shared" ref="K264:K269" si="22">D264</f>
        <v>0</v>
      </c>
      <c r="L264" s="466">
        <v>0</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c r="E266" s="616"/>
      <c r="F266" s="616"/>
      <c r="G266" s="616"/>
      <c r="H266" s="616"/>
      <c r="I266" s="616"/>
      <c r="J266" s="616"/>
      <c r="K266" s="1672">
        <f t="shared" si="22"/>
        <v>0</v>
      </c>
      <c r="L266" s="466">
        <v>0</v>
      </c>
    </row>
    <row r="267" spans="1:14" x14ac:dyDescent="0.2">
      <c r="A267" s="1504" t="s">
        <v>953</v>
      </c>
      <c r="B267" s="614">
        <v>2550</v>
      </c>
      <c r="C267" s="616"/>
      <c r="D267" s="466"/>
      <c r="E267" s="616"/>
      <c r="F267" s="616"/>
      <c r="G267" s="616"/>
      <c r="H267" s="616"/>
      <c r="I267" s="616"/>
      <c r="J267" s="616"/>
      <c r="K267" s="1672">
        <f t="shared" si="22"/>
        <v>0</v>
      </c>
      <c r="L267" s="466">
        <v>0</v>
      </c>
    </row>
    <row r="268" spans="1:14" x14ac:dyDescent="0.2">
      <c r="A268" s="1504" t="s">
        <v>100</v>
      </c>
      <c r="B268" s="614">
        <v>2560</v>
      </c>
      <c r="C268" s="616"/>
      <c r="D268" s="466"/>
      <c r="E268" s="616"/>
      <c r="F268" s="616"/>
      <c r="G268" s="616"/>
      <c r="H268" s="616"/>
      <c r="I268" s="616"/>
      <c r="J268" s="616"/>
      <c r="K268" s="1672">
        <f t="shared" si="22"/>
        <v>0</v>
      </c>
      <c r="L268" s="466">
        <v>0</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2" t="s">
        <v>505</v>
      </c>
      <c r="B295" s="2173"/>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81" t="s">
        <v>996</v>
      </c>
      <c r="B296" s="2182"/>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69" t="s">
        <v>277</v>
      </c>
      <c r="B312" s="2170"/>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v>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7" t="s">
        <v>996</v>
      </c>
      <c r="B343" s="2168"/>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0</v>
      </c>
    </row>
    <row r="349" spans="1:14" x14ac:dyDescent="0.2">
      <c r="A349" s="1504" t="s">
        <v>197</v>
      </c>
      <c r="B349" s="614">
        <v>2540</v>
      </c>
      <c r="C349" s="466"/>
      <c r="D349" s="466"/>
      <c r="E349" s="466"/>
      <c r="F349" s="466"/>
      <c r="G349" s="466"/>
      <c r="H349" s="466"/>
      <c r="I349" s="467"/>
      <c r="J349" s="467"/>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v>0</v>
      </c>
    </row>
    <row r="355" spans="1:14" ht="12.75" customHeight="1" x14ac:dyDescent="0.2">
      <c r="A355" s="1513" t="s">
        <v>1854</v>
      </c>
      <c r="B355" s="690" t="s">
        <v>1847</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1" t="s">
        <v>996</v>
      </c>
      <c r="B368" s="2182"/>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6ce3111e-7420-4802-b50a-75d4e9a0b980"/>
    <ds:schemaRef ds:uri="d21dc803-237d-4c68-8692-8d731fd29118"/>
    <ds:schemaRef ds:uri="http://purl.org/dc/dcmitype/"/>
    <ds:schemaRef ds:uri="http://purl.org/dc/elements/1.1/"/>
    <ds:schemaRef ds:uri="http://schemas.microsoft.com/office/2006/documentManagement/types"/>
    <ds:schemaRef ds:uri="http://schemas.microsoft.com/sharepoint/v3"/>
    <ds:schemaRef ds:uri="http://schemas.microsoft.com/office/2006/metadata/properties"/>
    <ds:schemaRef ds:uri="http://www.w3.org/XML/1998/namespace"/>
    <ds:schemaRef ds:uri="http://schemas.openxmlformats.org/package/2006/metadata/core-properties"/>
    <ds:schemaRef ds:uri="4d435f69-8686-490b-bd6d-b153bf22ab50"/>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2019-06-27T19:15:37Z</cp:lastPrinted>
  <dcterms:created xsi:type="dcterms:W3CDTF">2003-10-29T19:06:34Z</dcterms:created>
  <dcterms:modified xsi:type="dcterms:W3CDTF">2020-01-07T17:42:45Z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