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Joint Agreements 19\"/>
    </mc:Choice>
  </mc:AlternateContent>
  <bookViews>
    <workbookView xWindow="0" yWindow="0" windowWidth="13500" windowHeight="1176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16">'Shared Outsourced Services 31'!$A$1:$F$43</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3" i="181" l="1"/>
  <c r="F32" i="181"/>
  <c r="F31" i="181"/>
  <c r="F30" i="181"/>
  <c r="F29" i="181"/>
  <c r="F2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E33" i="181"/>
  <c r="G33" i="181" s="1"/>
  <c r="E32" i="181"/>
  <c r="G32" i="181" s="1"/>
  <c r="E31" i="181"/>
  <c r="G31" i="181" s="1"/>
  <c r="E30" i="181"/>
  <c r="E29" i="181"/>
  <c r="G29" i="181" s="1"/>
  <c r="E28" i="181"/>
  <c r="E27" i="181"/>
  <c r="F27" i="181" s="1"/>
  <c r="G27" i="181" s="1"/>
  <c r="E26" i="181"/>
  <c r="F26" i="181" s="1"/>
  <c r="E25" i="181"/>
  <c r="E24" i="181"/>
  <c r="E23" i="181"/>
  <c r="E22" i="181"/>
  <c r="E21" i="181"/>
  <c r="E20" i="181"/>
  <c r="F20" i="181" s="1"/>
  <c r="E19" i="181"/>
  <c r="F19" i="181" s="1"/>
  <c r="F23" i="181" l="1"/>
  <c r="G23" i="181" s="1"/>
  <c r="F22" i="181"/>
  <c r="G22" i="181" s="1"/>
  <c r="F24" i="181"/>
  <c r="G24" i="181" s="1"/>
  <c r="F21" i="181"/>
  <c r="G21" i="181" s="1"/>
  <c r="F25" i="181"/>
  <c r="G25" i="181" s="1"/>
  <c r="G30" i="181"/>
  <c r="G28" i="181"/>
  <c r="G26" i="181"/>
  <c r="G20" i="181"/>
  <c r="G19" i="181"/>
  <c r="D34" i="181"/>
  <c r="D80" i="36" l="1"/>
  <c r="B7797" i="106"/>
  <c r="E34" i="181"/>
  <c r="E18" i="181"/>
  <c r="F18" i="181" s="1"/>
  <c r="E17" i="181"/>
  <c r="F17" i="181" s="1"/>
  <c r="G17" i="181" l="1"/>
  <c r="G18" i="181"/>
  <c r="G34" i="181" s="1"/>
  <c r="G40" i="108" l="1"/>
  <c r="B7799" i="106"/>
  <c r="F34"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D7768" i="106" s="1"/>
  <c r="B7766" i="106"/>
  <c r="D7766" i="106" s="1"/>
  <c r="B7765" i="106"/>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6833" i="106" s="1"/>
  <c r="D6833" i="106" s="1"/>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K97" i="29"/>
  <c r="B7005" i="106" s="1"/>
  <c r="D7005" i="106" s="1"/>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F68" i="34" s="1"/>
  <c r="K219" i="29"/>
  <c r="B3065" i="106" s="1"/>
  <c r="D3065" i="106" s="1"/>
  <c r="K220" i="29"/>
  <c r="F69" i="34"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H44" i="4"/>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3" i="106"/>
  <c r="D7003" i="106" s="1"/>
  <c r="B7004" i="106"/>
  <c r="D7004"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8" i="106"/>
  <c r="D7078" i="106" s="1"/>
  <c r="B7079" i="106"/>
  <c r="D7079" i="106" s="1"/>
  <c r="B7081" i="106"/>
  <c r="D7081" i="106" s="1"/>
  <c r="B7083" i="106"/>
  <c r="D7083" i="106" s="1"/>
  <c r="B7084" i="106"/>
  <c r="D7084"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56" i="127"/>
  <c r="B57" i="127"/>
  <c r="E26" i="108"/>
  <c r="E27" i="108"/>
  <c r="F27" i="108"/>
  <c r="G27" i="108"/>
  <c r="F36"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C67" i="34"/>
  <c r="D67" i="34"/>
  <c r="C68" i="34"/>
  <c r="D68" i="34"/>
  <c r="C69" i="34"/>
  <c r="D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H28" i="118"/>
  <c r="D22" i="37"/>
  <c r="J22" i="37"/>
  <c r="J129" i="29" l="1"/>
  <c r="B7038" i="106" s="1"/>
  <c r="D7038" i="106" s="1"/>
  <c r="L22" i="37"/>
  <c r="D6103" i="106"/>
  <c r="D24" i="37"/>
  <c r="B4270" i="106" s="1"/>
  <c r="D4270" i="106" s="1"/>
  <c r="F67" i="34"/>
  <c r="F64" i="34"/>
  <c r="B2836" i="106"/>
  <c r="D2836" i="106" s="1"/>
  <c r="B2724" i="106"/>
  <c r="D2724" i="106" s="1"/>
  <c r="G14" i="4"/>
  <c r="B2609" i="106" s="1"/>
  <c r="D2609" i="106" s="1"/>
  <c r="F50" i="34"/>
  <c r="F34" i="34"/>
  <c r="L342" i="29"/>
  <c r="C352" i="29"/>
  <c r="G26" i="108"/>
  <c r="G35" i="108"/>
  <c r="F52" i="34"/>
  <c r="E34" i="108"/>
  <c r="F46" i="34"/>
  <c r="D36" i="108"/>
  <c r="F28" i="108"/>
  <c r="F72" i="34"/>
  <c r="F42" i="34"/>
  <c r="G39" i="108"/>
  <c r="E33" i="108"/>
  <c r="G30" i="108"/>
  <c r="J352" i="29"/>
  <c r="J367" i="29" s="1"/>
  <c r="B7245" i="106" s="1"/>
  <c r="D7245" i="106" s="1"/>
  <c r="F38" i="34"/>
  <c r="E38" i="108"/>
  <c r="H342" i="29"/>
  <c r="B7076" i="106"/>
  <c r="D7076" i="106" s="1"/>
  <c r="I210" i="29"/>
  <c r="B7071" i="106" s="1"/>
  <c r="D7071" i="106" s="1"/>
  <c r="H365" i="29"/>
  <c r="B7242" i="106" s="1"/>
  <c r="D7242" i="106" s="1"/>
  <c r="L5" i="11"/>
  <c r="B2056" i="106" s="1"/>
  <c r="D2056" i="106" s="1"/>
  <c r="D54" i="36"/>
  <c r="D69" i="36"/>
  <c r="D68" i="36"/>
  <c r="F19" i="7"/>
  <c r="B1807" i="106" s="1"/>
  <c r="D1807" i="106" s="1"/>
  <c r="L367" i="29"/>
  <c r="B3647" i="106"/>
  <c r="D3647" i="106" s="1"/>
  <c r="C342" i="29"/>
  <c r="B7216" i="106" s="1"/>
  <c r="D7216" i="106" s="1"/>
  <c r="F70" i="34"/>
  <c r="F71" i="34"/>
  <c r="K184" i="29"/>
  <c r="F13" i="4" s="1"/>
  <c r="B2596" i="106" s="1"/>
  <c r="D2596" i="106" s="1"/>
  <c r="G210" i="29"/>
  <c r="J210" i="29"/>
  <c r="B7072" i="106" s="1"/>
  <c r="D7072" i="106" s="1"/>
  <c r="B7047" i="106"/>
  <c r="D7047" i="106" s="1"/>
  <c r="C129" i="29"/>
  <c r="B1225" i="106" s="1"/>
  <c r="D1225" i="106" s="1"/>
  <c r="G15" i="145"/>
  <c r="H112" i="29"/>
  <c r="B7018" i="106" s="1"/>
  <c r="D7018" i="106" s="1"/>
  <c r="B6995" i="106"/>
  <c r="D6995" i="106" s="1"/>
  <c r="E35" i="108"/>
  <c r="F31" i="108"/>
  <c r="G29" i="108"/>
  <c r="E29" i="108"/>
  <c r="B1124" i="106"/>
  <c r="D1124" i="106" s="1"/>
  <c r="F36" i="34"/>
  <c r="F37" i="34"/>
  <c r="J77" i="4"/>
  <c r="B6262" i="106" s="1"/>
  <c r="D6262" i="106" s="1"/>
  <c r="F77" i="4"/>
  <c r="B3255" i="106" s="1"/>
  <c r="D3255" i="106" s="1"/>
  <c r="B6238" i="106"/>
  <c r="D6238" i="106" s="1"/>
  <c r="K76" i="4"/>
  <c r="B3586" i="106" s="1"/>
  <c r="D3586" i="106" s="1"/>
  <c r="H76" i="4"/>
  <c r="B3298" i="106" s="1"/>
  <c r="D3298" i="106" s="1"/>
  <c r="J41" i="3"/>
  <c r="B6216" i="106" s="1"/>
  <c r="D6216" i="106" s="1"/>
  <c r="H33" i="11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C367" i="29"/>
  <c r="F41" i="34"/>
  <c r="F35" i="34"/>
  <c r="D3583" i="106"/>
  <c r="B3635" i="106"/>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622" i="106"/>
  <c r="D3622"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B1266" i="106" l="1"/>
  <c r="D1266" i="106" s="1"/>
  <c r="D7256" i="106"/>
  <c r="D7251" i="106"/>
  <c r="D7250" i="106"/>
  <c r="B5527" i="106"/>
  <c r="D5527" i="106" s="1"/>
  <c r="K365" i="29"/>
  <c r="B1381" i="106"/>
  <c r="D1381" i="106" s="1"/>
  <c r="D51" i="36"/>
  <c r="I7" i="4"/>
  <c r="B4444" i="106" s="1"/>
  <c r="D4444" i="106" s="1"/>
  <c r="C151" i="29"/>
  <c r="B1226" i="106" s="1"/>
  <c r="D1226" i="106" s="1"/>
  <c r="K77" i="4"/>
  <c r="B3587" i="106" s="1"/>
  <c r="D3587" i="106" s="1"/>
  <c r="F66" i="34"/>
  <c r="B7235" i="106"/>
  <c r="D7235" i="106" s="1"/>
  <c r="F41" i="108"/>
  <c r="G43" i="108" s="1"/>
  <c r="L16" i="11"/>
  <c r="B2061" i="106" s="1"/>
  <c r="D2061" i="106" s="1"/>
  <c r="N23" i="3"/>
  <c r="B284" i="106" s="1"/>
  <c r="D284" i="106" s="1"/>
  <c r="K342" i="29"/>
  <c r="F13" i="34" s="1"/>
  <c r="D41" i="108"/>
  <c r="E43" i="108" s="1"/>
  <c r="B1365" i="106"/>
  <c r="D1365" i="106" s="1"/>
  <c r="F65" i="34"/>
  <c r="B1328" i="106"/>
  <c r="D1328" i="106" s="1"/>
  <c r="L114" i="29"/>
  <c r="C114" i="29"/>
  <c r="B757" i="106" s="1"/>
  <c r="D757" i="106" s="1"/>
  <c r="B5778" i="106"/>
  <c r="D5778" i="106" s="1"/>
  <c r="G6" i="4"/>
  <c r="B2604" i="106" s="1"/>
  <c r="D2604" i="106" s="1"/>
  <c r="B5770" i="106"/>
  <c r="D5770" i="106" s="1"/>
  <c r="H77" i="4"/>
  <c r="B3299" i="106" s="1"/>
  <c r="D3299"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24" i="106" l="1"/>
  <c r="D7224"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J19" i="4"/>
  <c r="B6229" i="106" s="1"/>
  <c r="D6229" i="106" s="1"/>
  <c r="J20" i="4"/>
  <c r="J78" i="4" s="1"/>
  <c r="J10" i="4"/>
  <c r="B6225" i="106" s="1"/>
  <c r="D6225"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<sst xmlns="http://schemas.openxmlformats.org/spreadsheetml/2006/main" count="5112" uniqueCount="2098">
  <si>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</si>
  <si>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</si>
  <si>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</si>
  <si>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</si>
  <si>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</si>
  <si>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</si>
  <si>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</si>
  <si>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</si>
  <si>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</si>
  <si>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</si>
  <si>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</si>
  <si>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</si>
  <si>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</si>
  <si>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</si>
  <si>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</si>
  <si>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</si>
  <si>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</si>
  <si>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</si>
  <si>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</si>
  <si>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</si>
  <si>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</si>
  <si>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</si>
  <si>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</si>
  <si>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</si>
  <si>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</si>
  <si>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</si>
  <si>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</si>
  <si>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</si>
  <si>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</si>
  <si>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</si>
  <si>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</si>
  <si>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</si>
  <si>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</si>
  <si>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</si>
  <si>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</si>
  <si>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</si>
  <si>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</si>
  <si>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</si>
  <si>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</si>
  <si>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</si>
  <si>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</si>
  <si>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</si>
  <si>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</si>
  <si>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</si>
  <si>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</si>
  <si>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</si>
  <si>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</si>
  <si>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</si>
  <si>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</si>
  <si>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</si>
  <si>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</si>
  <si>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</si>
  <si>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</si>
  <si>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</si>
  <si>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</si>
  <si>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</si>
  <si>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</si>
  <si>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</si>
  <si>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</si>
  <si>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</si>
  <si>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</si>
  <si>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</si>
  <si>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</si>
  <si>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</si>
  <si>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</si>
  <si>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</si>
  <si>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</si>
  <si>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</si>
  <si>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</si>
  <si>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</si>
  <si>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</si>
  <si>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</si>
  <si>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</si>
  <si>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</si>
  <si>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</si>
  <si>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</si>
  <si>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</si>
  <si>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</si>
  <si>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</si>
  <si>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</si>
  <si>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</si>
  <si>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</si>
  <si>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</si>
  <si>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</si>
  <si>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</si>
  <si>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</si>
  <si>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</si>
  <si>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</si>
  <si>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</si>
  <si>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</si>
  <si>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</si>
  <si>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</si>
  <si>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</si>
  <si>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</si>
  <si>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</si>
  <si>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</si>
  <si>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</si>
  <si>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</si>
  <si>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</si>
  <si>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</si>
  <si>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</si>
  <si>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</si>
  <si>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</si>
  <si>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</si>
  <si>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</si>
  <si>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</si>
  <si>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</si>
  <si>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</si>
  <si>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</si>
  <si>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</si>
  <si>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</si>
  <si>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</si>
  <si>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</si>
  <si>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</si>
  <si>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</si>
  <si>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</si>
  <si>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</si>
  <si>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</si>
  <si>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</si>
  <si>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</si>
  <si>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</si>
  <si>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</si>
  <si>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</si>
  <si>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</si>
  <si>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</si>
  <si>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</si>
  <si>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</si>
  <si>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</si>
  <si>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</si>
  <si>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</si>
  <si>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</si>
  <si>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</si>
  <si>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</si>
  <si>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</si>
  <si>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</si>
  <si>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</si>
  <si>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</si>
  <si>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</si>
  <si>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</si>
  <si>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</si>
  <si>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</si>
  <si>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</si>
  <si>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</si>
  <si>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</si>
  <si>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</si>
  <si>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</si>
  <si>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</si>
  <si>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</si>
  <si>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</si>
  <si>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</si>
  <si>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</si>
  <si>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</si>
  <si>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</si>
  <si>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</si>
  <si>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</si>
  <si>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</si>
  <si>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</si>
  <si>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</si>
  <si>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</si>
  <si>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</si>
  <si>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</si>
  <si>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</si>
  <si>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</si>
  <si>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</si>
  <si>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</si>
  <si>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</si>
  <si>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</si>
  <si>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</si>
  <si>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</si>
  <si>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</si>
  <si>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</si>
  <si>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</si>
  <si>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</si>
  <si>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</si>
  <si>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</si>
  <si>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</si>
  <si>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</si>
  <si>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</si>
  <si>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</si>
  <si>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</si>
  <si>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</si>
  <si>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</si>
  <si>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</si>
  <si>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</si>
  <si>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</si>
  <si>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</si>
  <si>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</si>
  <si>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</si>
  <si>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</si>
  <si>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</si>
  <si>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</si>
  <si>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</si>
  <si>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</si>
  <si>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</si>
  <si>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</si>
  <si>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</si>
  <si>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</si>
  <si>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</si>
  <si>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</si>
  <si>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</si>
  <si>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</si>
  <si>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</si>
  <si>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</si>
  <si>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</si>
  <si>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</si>
  <si>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</si>
  <si>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</si>
  <si>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</si>
  <si>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</si>
  <si>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</si>
  <si>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</si>
  <si>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</si>
  <si>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</si>
  <si>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</si>
  <si>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</si>
  <si>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</si>
  <si>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</si>
  <si>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</si>
  <si>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</si>
  <si>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</si>
  <si>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</si>
  <si>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</si>
  <si>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</si>
  <si>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</si>
  <si>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</si>
  <si>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</si>
  <si>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</si>
  <si>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</si>
  <si>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</si>
  <si>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</si>
  <si>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</si>
  <si>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</si>
  <si>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</si>
  <si>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</si>
  <si>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</si>
  <si>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</si>
  <si>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</si>
  <si>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</si>
  <si>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</si>
  <si>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</si>
  <si>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</si>
  <si>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</si>
  <si>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</si>
  <si>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</si>
  <si>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</si>
  <si>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</si>
  <si>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</si>
  <si>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</si>
  <si>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</si>
  <si>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</si>
  <si>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</si>
  <si>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</si>
  <si>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</si>
  <si>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</si>
  <si>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</si>
  <si>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</si>
  <si>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</si>
  <si>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</si>
  <si>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</si>
  <si>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</si>
  <si>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</si>
  <si>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</si>
  <si>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</si>
  <si>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</si>
  <si>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</si>
  <si>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</si>
  <si>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</si>
  <si>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</si>
  <si>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</si>
  <si>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</si>
  <si>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</si>
  <si>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</si>
  <si>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</si>
  <si>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</si>
  <si>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</si>
  <si>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</si>
  <si>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</si>
  <si>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</si>
  <si>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</si>
  <si>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</si>
  <si>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</si>
  <si>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</si>
  <si>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</si>
  <si>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</si>
  <si>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</si>
  <si>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</si>
  <si>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</si>
  <si>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</si>
  <si>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</si>
  <si>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</si>
  <si>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</si>
  <si>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</si>
  <si>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</si>
  <si>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</si>
  <si>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</si>
  <si>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</si>
  <si>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</si>
  <si>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</si>
  <si>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</si>
  <si>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</si>
  <si>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</si>
  <si>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</si>
  <si>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</si>
  <si>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</si>
  <si>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</si>
  <si>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</si>
  <si>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</si>
  <si>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</si>
  <si>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</si>
  <si>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</si>
  <si>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</si>
  <si>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</si>
  <si>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</si>
  <si>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</si>
  <si>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</si>
  <si>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</si>
  <si>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</si>
  <si>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</si>
  <si>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</si>
  <si>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</si>
  <si>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</si>
  <si>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</si>
  <si>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</si>
  <si>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</si>
  <si>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</si>
  <si>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</si>
  <si>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</si>
  <si>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</si>
  <si>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</si>
  <si>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</si>
  <si>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</si>
  <si>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</si>
  <si>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</si>
  <si>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</si>
  <si>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</si>
  <si>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</si>
  <si>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</si>
  <si>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</si>
  <si>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</si>
  <si>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</si>
  <si>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</si>
  <si>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</si>
  <si>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</si>
  <si>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</si>
  <si>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</si>
  <si>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</si>
  <si>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</si>
  <si>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</si>
  <si>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</si>
  <si>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</si>
  <si>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</si>
  <si>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</si>
  <si>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</si>
  <si>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</si>
  <si>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</si>
  <si>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</si>
  <si>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</si>
  <si>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</si>
  <si>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</si>
  <si>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</si>
  <si>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</si>
  <si>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</si>
  <si>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</si>
  <si>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</si>
  <si>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</si>
  <si>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</si>
  <si>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</si>
  <si>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</si>
  <si>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</si>
  <si>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</si>
  <si>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</si>
  <si>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</si>
  <si>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</si>
  <si>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</si>
  <si>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</si>
  <si>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</si>
  <si>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</si>
  <si>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</si>
  <si>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</si>
  <si>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</si>
  <si>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</si>
  <si>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</si>
  <si>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</si>
  <si>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</si>
  <si>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</si>
  <si>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</si>
  <si>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</si>
  <si>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</si>
  <si>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</si>
  <si>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</si>
  <si>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</si>
  <si>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</si>
  <si>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</si>
  <si>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</si>
  <si>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</si>
  <si>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</si>
  <si>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</si>
  <si>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</si>
  <si>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</si>
  <si>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</si>
  <si>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</si>
  <si>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</si>
  <si>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</si>
  <si>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</si>
  <si>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</si>
  <si>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</si>
  <si>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</si>
  <si>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</si>
  <si>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</si>
  <si>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</si>
  <si>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</si>
  <si>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</si>
  <si>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</si>
  <si>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</si>
  <si>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</si>
  <si>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</si>
  <si>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</si>
  <si>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</si>
  <si>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</si>
  <si>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</si>
  <si>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</si>
  <si>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</si>
  <si>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</si>
  <si>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</si>
  <si>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</si>
  <si>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</si>
  <si>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</si>
  <si>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</si>
  <si>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</si>
  <si>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</si>
  <si>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</si>
  <si>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</si>
  <si>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</si>
  <si>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</si>
  <si>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</si>
  <si>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</si>
  <si>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</si>
  <si>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</si>
  <si>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</si>
  <si>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</si>
  <si>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</si>
  <si>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</si>
  <si>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</si>
  <si>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</si>
  <si>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</si>
  <si>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</si>
  <si>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</si>
  <si>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</si>
  <si>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</si>
  <si>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</si>
  <si>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</si>
  <si>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</si>
  <si>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</si>
  <si>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</si>
  <si>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</si>
  <si>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</si>
  <si>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</si>
  <si>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</si>
  <si>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</si>
  <si>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</si>
  <si>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</si>
  <si>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</si>
  <si>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</si>
  <si>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</si>
  <si>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</si>
  <si>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</si>
  <si>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</si>
  <si>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</si>
  <si>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</si>
  <si>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</si>
  <si>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</si>
  <si>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</si>
  <si>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</si>
  <si>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</si>
  <si>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</si>
  <si>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</si>
  <si>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</si>
  <si>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</si>
  <si>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</si>
  <si>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</si>
  <si>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</si>
  <si>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</si>
  <si>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</si>
  <si>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</si>
  <si>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</si>
  <si>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</si>
  <si>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</si>
  <si>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</si>
  <si>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</si>
  <si>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</si>
  <si>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</si>
  <si>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</si>
  <si>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</si>
  <si>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</si>
  <si>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</si>
  <si>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</si>
  <si>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</si>
  <si>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</si>
  <si>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</si>
  <si>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</si>
  <si>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</si>
  <si>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</si>
  <si>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</si>
  <si>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</si>
  <si>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</si>
  <si>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</si>
  <si>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</si>
  <si>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</si>
  <si>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</si>
  <si>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</si>
  <si>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</si>
  <si>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</si>
  <si>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</si>
  <si>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</si>
  <si>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</si>
  <si>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</si>
  <si>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</si>
  <si>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</si>
  <si>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</si>
  <si>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</si>
  <si>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</si>
  <si>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</si>
  <si>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</si>
  <si>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</si>
  <si>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</si>
  <si>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</si>
  <si>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</si>
  <si>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</si>
  <si>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</si>
  <si>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</si>
  <si>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</si>
  <si>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</si>
  <si>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</si>
  <si>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</si>
  <si>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</si>
  <si>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</si>
  <si>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</si>
  <si>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</si>
  <si>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</si>
  <si>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</si>
  <si>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</si>
  <si>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</si>
  <si>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</si>
  <si>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</si>
  <si>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</si>
  <si>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</si>
  <si>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</si>
  <si>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</si>
  <si>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</si>
  <si>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</si>
  <si>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</si>
  <si>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</si>
  <si>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</si>
  <si>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</si>
  <si>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</si>
  <si>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</si>
  <si>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</si>
  <si>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</si>
  <si>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</si>
  <si>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</si>
  <si>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</si>
  <si>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</si>
  <si>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</si>
  <si>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</si>
  <si>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</si>
  <si>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</si>
  <si>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</si>
  <si>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</si>
  <si>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</si>
  <si>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</si>
  <si>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</si>
  <si>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</si>
  <si>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</si>
  <si>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</si>
  <si>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</si>
  <si>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</si>
  <si>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</si>
  <si>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</si>
  <si>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</si>
  <si>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</si>
  <si>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</si>
  <si>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</si>
  <si>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</si>
  <si>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</si>
  <si>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</si>
  <si>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</si>
  <si>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</si>
  <si>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</si>
  <si>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</si>
  <si>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</si>
  <si>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</si>
  <si>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</si>
  <si>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</si>
  <si>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</si>
  <si>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</si>
  <si>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</si>
  <si>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</si>
  <si>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</si>
  <si>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</si>
  <si>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</si>
  <si>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</si>
  <si>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</si>
  <si>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</si>
  <si>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</si>
  <si>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</si>
  <si>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</si>
  <si>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</si>
  <si>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</si>
  <si>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</si>
  <si>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</si>
  <si>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</si>
  <si>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</si>
  <si>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</si>
  <si>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</si>
  <si>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</si>
  <si>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</si>
  <si>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</si>
  <si>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</si>
  <si>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</si>
  <si>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</si>
  <si>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</si>
  <si>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</si>
  <si>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</si>
  <si>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</si>
  <si>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</si>
  <si>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</si>
  <si>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</si>
  <si>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</si>
  <si>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</si>
  <si>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</si>
  <si>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</si>
  <si>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</si>
  <si>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</si>
  <si>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</si>
  <si>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</si>
  <si>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</si>
  <si>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</si>
  <si>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</si>
  <si>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</si>
  <si>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</si>
  <si>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</si>
  <si>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</si>
  <si>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</si>
  <si>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</si>
  <si>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</si>
  <si>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</si>
  <si>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</si>
  <si>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</si>
  <si>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</si>
  <si>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</si>
  <si>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</si>
  <si>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</si>
  <si>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</si>
  <si>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</si>
  <si>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</si>
  <si>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</si>
  <si>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</si>
  <si>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</si>
  <si>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</si>
  <si>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</si>
  <si>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</si>
  <si>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</si>
  <si>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</si>
  <si>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</si>
  <si>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</si>
  <si>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</si>
  <si>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</si>
  <si>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</si>
  <si>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</si>
  <si>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</si>
  <si>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</si>
  <si>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</si>
  <si>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</si>
  <si>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</si>
  <si>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</si>
  <si>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</si>
  <si>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</si>
  <si>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</si>
  <si>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</si>
  <si>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</si>
  <si>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</si>
  <si>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</si>
  <si>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</si>
  <si>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</si>
  <si>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</si>
  <si>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</si>
  <si>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</si>
  <si>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</si>
  <si>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</si>
  <si>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</si>
  <si>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</si>
  <si>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</si>
  <si>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</si>
  <si>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</si>
  <si>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</si>
  <si>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</si>
  <si>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</si>
  <si>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</si>
  <si>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</si>
  <si>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</si>
  <si>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</si>
  <si>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</si>
  <si>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</si>
  <si>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</si>
  <si>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</si>
  <si>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</si>
  <si>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</si>
  <si>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</si>
  <si>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</si>
  <si>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</si>
  <si>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</si>
  <si>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</si>
  <si>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</si>
  <si>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</si>
  <si>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</si>
  <si>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</si>
  <si>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</si>
  <si>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</si>
  <si>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</si>
  <si>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</si>
  <si>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</si>
  <si>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</si>
  <si>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</si>
  <si>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</si>
  <si>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</si>
  <si>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</si>
  <si>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</si>
  <si>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</si>
  <si>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</si>
  <si>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</si>
  <si>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</si>
  <si>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</si>
  <si>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</si>
  <si>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</si>
  <si>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</si>
  <si>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</si>
  <si>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</si>
  <si>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</si>
  <si>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</si>
  <si>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</si>
  <si>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</si>
  <si>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</si>
  <si>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</si>
  <si>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</si>
  <si>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</si>
  <si>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</si>
  <si>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</si>
  <si>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</si>
  <si>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</si>
  <si>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</si>
  <si>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</si>
  <si>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</si>
  <si>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</si>
  <si>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</si>
  <si>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</si>
  <si>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</si>
  <si>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</si>
  <si>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</si>
  <si>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</si>
  <si>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</si>
  <si>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</si>
  <si>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</si>
  <si>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</si>
  <si>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</si>
  <si>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</si>
  <si>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</si>
  <si>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</si>
  <si>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</si>
  <si>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</si>
  <si>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</si>
  <si>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</si>
  <si>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</si>
  <si>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</si>
  <si>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</si>
  <si>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</si>
  <si>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</si>
  <si>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</si>
  <si>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</si>
  <si>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</si>
  <si>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</si>
  <si>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</si>
  <si>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</si>
  <si>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</si>
  <si>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</si>
  <si>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</si>
  <si>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</si>
  <si>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</si>
  <si>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</si>
  <si>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</si>
  <si>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</si>
  <si>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</si>
  <si>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</si>
  <si>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</si>
  <si>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</si>
  <si>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</si>
  <si>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</si>
  <si>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</si>
  <si>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</si>
  <si>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</si>
  <si>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</si>
  <si>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</si>
  <si>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</si>
  <si>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</si>
  <si>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</si>
  <si>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</si>
  <si>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</si>
  <si>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</si>
  <si>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</si>
  <si>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</si>
  <si>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</si>
  <si>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</si>
  <si>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</si>
  <si>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</si>
  <si>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</si>
  <si>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</si>
  <si>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</si>
  <si>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</si>
  <si>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</si>
  <si>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</si>
  <si>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</si>
  <si>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</si>
  <si>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</si>
  <si>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</si>
  <si>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</si>
  <si>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</si>
  <si>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</si>
  <si>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</si>
  <si>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</si>
  <si>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</si>
  <si>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</si>
  <si>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</si>
  <si>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</si>
  <si>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</si>
  <si>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</si>
  <si>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</si>
  <si>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</si>
  <si>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</si>
  <si>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</si>
  <si>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</si>
  <si>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</si>
  <si>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</si>
  <si>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</si>
  <si>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</si>
  <si>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</si>
  <si>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</si>
  <si>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</si>
  <si>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</si>
  <si>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</si>
  <si>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</si>
  <si>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</si>
  <si>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</si>
  <si>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</si>
  <si>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</si>
  <si>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</si>
  <si>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</si>
  <si>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</si>
  <si>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</si>
  <si>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</si>
  <si>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</si>
  <si>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</si>
  <si>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</si>
  <si>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</si>
  <si>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</si>
  <si>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</si>
  <si>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</si>
  <si>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</si>
  <si>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</si>
  <si>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</si>
  <si>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</si>
  <si>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</si>
  <si>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</si>
  <si>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</si>
  <si>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</si>
  <si>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</si>
  <si>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</si>
  <si>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</si>
  <si>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</si>
  <si>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</si>
  <si>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</si>
  <si>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</si>
  <si>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</si>
  <si>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</si>
  <si>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</si>
  <si>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</si>
  <si>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</si>
  <si>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</si>
  <si>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</si>
  <si>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</si>
  <si>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</si>
  <si>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</si>
  <si>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</si>
  <si>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</si>
  <si>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</si>
  <si>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</si>
  <si>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</si>
  <si>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</si>
  <si>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</si>
  <si>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</si>
  <si>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</si>
  <si>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</si>
  <si>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</si>
  <si>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</si>
  <si>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</si>
  <si>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</si>
  <si>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</si>
  <si>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</si>
  <si>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</si>
  <si>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</si>
  <si>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</si>
  <si>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</si>
  <si>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</si>
  <si>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</si>
  <si>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</si>
  <si>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</si>
  <si>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</si>
  <si>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</si>
  <si>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</si>
  <si>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</si>
  <si>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</si>
  <si>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</si>
  <si>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</si>
  <si>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</si>
  <si>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</si>
  <si>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</si>
  <si>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</si>
  <si>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</si>
  <si>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</si>
  <si>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</si>
  <si>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</si>
  <si>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</si>
  <si>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</si>
  <si>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</si>
  <si>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</si>
  <si>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</si>
  <si>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</si>
  <si>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</si>
  <si>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</si>
  <si>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</si>
  <si>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</si>
  <si>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</si>
  <si>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</si>
  <si>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</si>
  <si>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</si>
  <si>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</si>
  <si>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</si>
  <si>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</si>
  <si>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</si>
  <si>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</si>
  <si>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</si>
  <si>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</si>
  <si>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</si>
  <si>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</si>
  <si>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</si>
  <si>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</si>
  <si>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</si>
  <si>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</si>
  <si>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</si>
  <si>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</si>
  <si>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</si>
  <si>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</si>
  <si>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</si>
  <si>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</si>
  <si>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</si>
  <si>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</si>
  <si>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</si>
  <si>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</si>
  <si>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</si>
  <si>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</si>
  <si>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</si>
  <si>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</si>
  <si>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</si>
  <si>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</si>
  <si>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</si>
  <si>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</si>
  <si>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</si>
  <si>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</si>
  <si>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</si>
  <si>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</si>
  <si>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</si>
  <si>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</si>
  <si>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</si>
  <si>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</si>
  <si>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</si>
  <si>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</si>
  <si>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</si>
  <si>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</si>
  <si>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</si>
  <si>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</si>
  <si>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</si>
  <si>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</si>
  <si>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</si>
  <si>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</si>
  <si>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</si>
  <si>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</si>
  <si>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</si>
  <si>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</si>
  <si>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</si>
  <si>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</si>
  <si>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</si>
  <si>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</si>
  <si>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</si>
  <si>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</si>
  <si>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</si>
  <si>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</si>
  <si>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</si>
  <si>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</si>
  <si>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</si>
  <si>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</si>
  <si>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</si>
  <si>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</si>
  <si>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</si>
  <si>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</si>
  <si>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</si>
  <si>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</si>
  <si>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</si>
  <si>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</si>
  <si>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</si>
  <si>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</si>
  <si>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</si>
  <si>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</si>
  <si>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</si>
  <si>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</si>
  <si>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</si>
  <si>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</si>
  <si>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</si>
  <si>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</si>
  <si>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</si>
  <si>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</si>
  <si>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</si>
  <si>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</si>
  <si>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</si>
  <si>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</si>
  <si>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</si>
  <si>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</si>
  <si>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</si>
  <si>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</si>
  <si>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</si>
  <si>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</si>
  <si>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</si>
  <si>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</si>
  <si>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</si>
  <si>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</si>
  <si>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</si>
  <si>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</si>
  <si>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</si>
  <si>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</si>
  <si>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</si>
  <si>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</si>
  <si>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</si>
  <si>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</si>
  <si>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</si>
  <si>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</si>
  <si>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</si>
  <si>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</si>
  <si>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</si>
  <si>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</si>
  <si>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</si>
  <si>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</si>
  <si>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</si>
  <si>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</si>
  <si>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</si>
  <si>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</si>
  <si>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</si>
  <si>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</si>
  <si>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</si>
  <si>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</si>
  <si>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</si>
  <si>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</si>
  <si>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</si>
  <si>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</si>
  <si>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</si>
  <si>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</si>
  <si>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</si>
  <si>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</si>
  <si>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</si>
  <si>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</si>
  <si>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</si>
  <si>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</si>
  <si>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</si>
  <si>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</si>
  <si>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</si>
  <si>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</si>
  <si>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</si>
  <si>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</si>
  <si>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</si>
  <si>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</si>
  <si>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</si>
  <si>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</si>
  <si>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</si>
  <si>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</si>
  <si>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</si>
  <si>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</si>
  <si>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</si>
  <si>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</si>
  <si>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</si>
  <si>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</si>
  <si>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</si>
  <si>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</si>
  <si>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</si>
  <si>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</si>
  <si>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</si>
  <si>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</si>
  <si>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</si>
  <si>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</si>
  <si>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</si>
  <si>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</si>
  <si>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</si>
  <si>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</si>
  <si>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</si>
  <si>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</si>
  <si>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</si>
  <si>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</si>
  <si>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</si>
  <si>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</si>
  <si>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</si>
  <si>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</si>
  <si>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</si>
  <si>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</si>
  <si>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</si>
  <si>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</si>
  <si>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</si>
  <si>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</si>
  <si>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</si>
  <si>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</si>
  <si>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</si>
  <si>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</si>
  <si>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</si>
  <si>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</si>
  <si>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</si>
  <si>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</si>
  <si>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</si>
  <si>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</si>
  <si>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</si>
  <si>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</si>
  <si>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</si>
  <si>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</si>
  <si>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</si>
  <si>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</si>
  <si>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</si>
  <si>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</si>
  <si>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</si>
  <si>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</si>
  <si>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</si>
  <si>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</si>
  <si>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</si>
  <si>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</si>
  <si>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</si>
  <si>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</si>
  <si>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</si>
  <si>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</si>
  <si>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</si>
  <si>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</si>
  <si>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</si>
  <si>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</si>
  <si>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</si>
  <si>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</si>
  <si>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</si>
  <si>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</si>
  <si>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</si>
  <si>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</si>
  <si>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</si>
  <si>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</si>
  <si>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</si>
  <si>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</si>
  <si>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</si>
  <si>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</si>
  <si>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</si>
  <si>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</si>
  <si>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</si>
  <si>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</si>
  <si>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</si>
  <si>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</si>
  <si>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</si>
  <si>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</si>
  <si>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</si>
  <si>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</si>
  <si>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</si>
  <si>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</si>
  <si>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</si>
  <si>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</si>
  <si>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</si>
  <si>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</si>
  <si>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</si>
  <si>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</si>
  <si>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</si>
  <si>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</si>
  <si>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</si>
  <si>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</si>
  <si>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</si>
  <si>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</si>
  <si>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</si>
  <si>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</si>
  <si>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</si>
  <si>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</si>
  <si>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</si>
  <si>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</si>
  <si>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</si>
  <si>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</si>
  <si>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</si>
  <si>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</si>
  <si>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</si>
  <si>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</si>
  <si>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</si>
  <si>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</si>
  <si>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</si>
  <si>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</si>
  <si>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</si>
  <si>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</si>
  <si>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</si>
  <si>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</si>
  <si>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</si>
  <si>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</si>
  <si>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</si>
  <si>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</si>
  <si>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</si>
  <si>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</si>
  <si>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</si>
  <si>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</si>
  <si>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</si>
  <si>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</si>
  <si>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</si>
  <si>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</si>
  <si>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</si>
  <si>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</si>
  <si>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</si>
  <si>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</si>
  <si>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</si>
  <si>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</si>
  <si>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</si>
  <si>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</si>
  <si>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</si>
  <si>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</si>
  <si>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</si>
  <si>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</si>
  <si>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</si>
  <si>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</si>
  <si>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</si>
  <si>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</si>
  <si>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</si>
  <si>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</si>
  <si>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</si>
  <si>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</si>
  <si>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</si>
  <si>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</si>
  <si>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</si>
  <si>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</si>
  <si>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</si>
  <si>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</si>
  <si>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</si>
  <si>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</si>
  <si>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</si>
  <si>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</si>
  <si>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</si>
  <si>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</si>
  <si>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</si>
  <si>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</si>
  <si>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</si>
  <si>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</si>
  <si>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</si>
  <si>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</si>
  <si>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</si>
  <si>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</si>
  <si>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</si>
  <si>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</si>
  <si>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</si>
  <si>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</si>
  <si>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</si>
  <si>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</si>
  <si>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</si>
  <si>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</si>
  <si>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</si>
  <si>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</si>
  <si>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</si>
  <si>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</si>
  <si>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</si>
  <si>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</si>
  <si>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</si>
  <si>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</si>
  <si>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</si>
  <si>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</si>
  <si>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</si>
  <si>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</si>
  <si>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</si>
  <si>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</si>
  <si>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</si>
  <si>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</si>
  <si>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</si>
  <si>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</si>
  <si>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</si>
  <si>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</si>
  <si>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</si>
  <si>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</si>
  <si>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</si>
  <si>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</si>
  <si>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</si>
  <si>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</si>
  <si>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</si>
  <si>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</si>
  <si>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</si>
  <si>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</si>
  <si>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</si>
  <si>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</si>
  <si>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</si>
  <si>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</si>
  <si>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</si>
  <si>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</si>
  <si>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</si>
  <si>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</si>
  <si>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</si>
  <si>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</si>
  <si>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</si>
  <si>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</si>
  <si>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</si>
  <si>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</si>
  <si>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</si>
  <si>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</si>
  <si>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</si>
  <si>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</si>
  <si>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</si>
  <si>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</si>
  <si>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</si>
  <si>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</si>
  <si>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</si>
  <si>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</si>
  <si>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</si>
  <si>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</si>
  <si>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</si>
  <si>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</si>
  <si>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</si>
  <si>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</si>
  <si>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</si>
  <si>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</si>
  <si>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</si>
  <si>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</si>
  <si>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</si>
  <si>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</si>
  <si>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</si>
  <si>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</si>
  <si>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</si>
  <si>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</si>
  <si>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</si>
  <si>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</si>
  <si>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</si>
  <si>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</si>
  <si>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</si>
  <si>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</si>
  <si>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</si>
  <si>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</si>
  <si>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</si>
  <si>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</si>
  <si>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</si>
  <si>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</si>
  <si>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</si>
  <si>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</si>
  <si>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</si>
  <si>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</si>
  <si>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</si>
  <si>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</si>
  <si>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</si>
  <si>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</si>
  <si>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</si>
  <si>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</si>
  <si>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</si>
  <si>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</si>
  <si>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</si>
  <si>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</si>
  <si>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</si>
  <si>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</si>
  <si>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</si>
  <si>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</si>
  <si>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</si>
  <si>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</si>
  <si>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</si>
  <si>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</si>
  <si>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</si>
  <si>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</si>
  <si>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</si>
  <si>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</si>
  <si>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</si>
  <si>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</si>
  <si>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</si>
  <si>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</si>
  <si>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</si>
  <si>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</si>
  <si>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</si>
  <si>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</si>
  <si>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</si>
  <si>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</si>
  <si>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</si>
  <si>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</si>
  <si>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</si>
  <si>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</si>
  <si>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</si>
  <si>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</si>
  <si>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</si>
  <si>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</si>
  <si>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</si>
  <si>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</si>
  <si>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</si>
  <si>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</si>
  <si>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</si>
  <si>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</si>
  <si>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</si>
  <si>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</si>
  <si>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</si>
  <si>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</si>
  <si>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</si>
  <si>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</si>
  <si>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</si>
  <si>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</si>
  <si>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</si>
  <si>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</si>
  <si>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</si>
  <si>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</si>
  <si>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</si>
  <si>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</si>
  <si>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</si>
  <si>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</si>
  <si>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</si>
  <si>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</si>
  <si>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</si>
  <si>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</si>
  <si>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</si>
  <si>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</si>
  <si>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</si>
  <si>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</si>
  <si>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</si>
  <si>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</si>
  <si>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</si>
  <si>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</si>
  <si>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</si>
  <si>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</si>
  <si>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</si>
  <si>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</si>
  <si>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</si>
  <si>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</si>
  <si>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</si>
  <si>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</si>
  <si>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</si>
  <si>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</si>
  <si>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</si>
  <si>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</si>
  <si>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</si>
  <si>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</si>
  <si>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</si>
  <si>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</si>
  <si>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</si>
  <si>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</si>
  <si>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</si>
  <si>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</si>
  <si>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</si>
  <si>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</si>
  <si>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</si>
  <si>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</si>
  <si>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</si>
  <si>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</si>
  <si>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</si>
  <si>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</si>
  <si>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</si>
  <si>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</si>
  <si>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</si>
  <si>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</si>
  <si>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</si>
  <si>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</si>
  <si>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</si>
  <si>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</si>
  <si>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</si>
  <si>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</si>
  <si>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</si>
  <si>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</si>
  <si>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</si>
  <si>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</si>
  <si>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</si>
  <si>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</si>
  <si>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</si>
  <si>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</si>
  <si>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</si>
  <si>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</si>
  <si>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</si>
  <si>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</si>
  <si>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</si>
  <si>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</si>
  <si>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</si>
  <si>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</si>
  <si>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</si>
  <si>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</si>
  <si>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</si>
  <si>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</si>
  <si>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</si>
  <si>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</si>
  <si>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</si>
  <si>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</si>
  <si>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</si>
  <si>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</si>
  <si>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</si>
  <si>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</si>
  <si>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</si>
  <si>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</si>
  <si>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</si>
  <si>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</si>
  <si>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</si>
  <si>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</si>
  <si>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</si>
  <si>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</si>
  <si>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</si>
  <si>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</si>
  <si>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</si>
  <si>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</si>
  <si>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</si>
  <si>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</si>
  <si>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</si>
  <si>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</si>
  <si>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</si>
  <si>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</si>
  <si>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</si>
  <si>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</si>
  <si>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</si>
  <si>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</si>
  <si>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</si>
  <si>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</si>
  <si>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</si>
  <si>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</si>
  <si>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</si>
  <si>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</si>
  <si>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</si>
  <si>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</si>
  <si>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</si>
  <si>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</si>
  <si>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</si>
  <si>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</si>
  <si>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</si>
  <si>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</si>
  <si>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</si>
  <si>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</si>
  <si>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</si>
  <si>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</si>
  <si>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</si>
  <si>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</si>
  <si>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</si>
  <si>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</si>
  <si>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</si>
  <si>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</si>
  <si>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</si>
  <si>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</si>
  <si>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</si>
  <si>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</si>
  <si>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</si>
  <si>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</si>
  <si>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</si>
  <si>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</si>
  <si>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</si>
  <si>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</si>
  <si>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</si>
  <si>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</si>
  <si>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</si>
  <si>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</si>
  <si>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</si>
  <si>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</si>
  <si>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</si>
  <si>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</si>
  <si>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</si>
  <si>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</si>
  <si>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</si>
  <si>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</si>
  <si>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</si>
  <si>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</si>
  <si>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</si>
  <si>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</si>
  <si>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</si>
  <si>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</si>
  <si>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</si>
  <si>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</si>
  <si>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</si>
  <si>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</si>
  <si>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</si>
  <si>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</si>
  <si>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</si>
  <si>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</si>
  <si>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</si>
  <si>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</si>
  <si>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</si>
  <si>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</si>
  <si>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</si>
  <si>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</si>
  <si>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</si>
  <si>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</si>
  <si>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</si>
  <si>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</si>
  <si>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</si>
  <si>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</si>
  <si>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</si>
  <si>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</si>
  <si>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</si>
  <si>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</si>
  <si>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</si>
  <si>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</si>
  <si>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</si>
  <si>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</si>
  <si>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</si>
  <si>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</si>
  <si>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</si>
  <si>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</si>
  <si>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</si>
  <si>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</si>
  <si>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</si>
  <si>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</si>
  <si>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</si>
  <si>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</si>
  <si>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</si>
  <si>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</si>
  <si>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</si>
  <si>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</si>
  <si>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</si>
  <si>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</si>
  <si>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</si>
  <si>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</si>
  <si>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</si>
  <si>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</si>
  <si>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</si>
  <si>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</si>
  <si>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</si>
  <si>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</si>
  <si>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</si>
  <si>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</si>
  <si>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</si>
  <si>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</si>
  <si>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</si>
  <si>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</si>
  <si>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</si>
  <si>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</si>
  <si>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</si>
  <si>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</si>
  <si>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</si>
  <si>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</si>
  <si>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</si>
  <si>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</si>
  <si>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</si>
  <si>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</si>
  <si>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</si>
  <si>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</si>
  <si>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</si>
  <si>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</si>
  <si>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</si>
  <si>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</si>
  <si>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</si>
  <si>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</si>
  <si>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</si>
  <si>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</si>
  <si>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</si>
  <si>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</si>
  <si>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</si>
  <si>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</si>
  <si>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</si>
  <si>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</si>
  <si>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</si>
  <si>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</si>
  <si>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</si>
  <si>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</si>
  <si>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</si>
  <si>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</si>
  <si>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</si>
  <si>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</si>
  <si>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</si>
  <si>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</si>
  <si>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</si>
  <si>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</si>
  <si>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</si>
  <si>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</si>
  <si>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</si>
  <si>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</si>
  <si>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</si>
  <si>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</si>
  <si>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</si>
  <si>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</si>
  <si>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</si>
  <si>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</si>
  <si>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</si>
  <si>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</si>
  <si>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</si>
  <si>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</si>
  <si>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</si>
  <si>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</si>
  <si>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</si>
  <si>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</si>
  <si>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</si>
  <si>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</si>
  <si>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</si>
  <si>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</si>
  <si>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</si>
  <si>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</si>
  <si>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</si>
  <si>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</si>
  <si>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</si>
  <si>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</si>
  <si>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</si>
  <si>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</si>
  <si>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</si>
  <si>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</si>
  <si>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</si>
  <si>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</si>
  <si>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</si>
  <si>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</si>
  <si>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</si>
  <si>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</si>
  <si>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</si>
  <si>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</si>
  <si>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</si>
  <si>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</si>
  <si>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</si>
  <si>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</si>
  <si>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</si>
  <si>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</si>
  <si>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</si>
  <si>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</si>
  <si>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</si>
  <si>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</si>
  <si>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</si>
  <si>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</si>
  <si>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</si>
  <si>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</si>
  <si>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</si>
  <si>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</si>
  <si>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</si>
  <si>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</si>
  <si>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</si>
  <si>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</si>
  <si>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</si>
  <si>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</si>
  <si>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</si>
  <si>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</si>
  <si>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</si>
  <si>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</si>
  <si>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</si>
  <si>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</si>
  <si>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</si>
  <si>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</si>
  <si>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</si>
  <si>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</si>
  <si>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</si>
  <si>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</si>
  <si>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</si>
  <si>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</si>
  <si>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</si>
  <si>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</si>
  <si>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</si>
  <si>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</si>
  <si>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</si>
  <si>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</si>
  <si>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</si>
  <si>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</si>
  <si>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</si>
  <si>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</si>
  <si>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</si>
  <si>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</si>
  <si>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</si>
  <si>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</si>
  <si>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</si>
  <si>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</si>
  <si>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</si>
  <si>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</si>
  <si>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</si>
  <si>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</si>
  <si>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</si>
  <si>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</si>
  <si>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</si>
  <si>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</si>
  <si>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</si>
  <si>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</si>
  <si>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</si>
  <si>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</si>
  <si>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</si>
  <si>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</si>
  <si>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</si>
  <si>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</si>
  <si>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</si>
  <si>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</si>
  <si>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</si>
  <si>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</si>
  <si>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</si>
  <si>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</si>
  <si>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</si>
  <si>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</si>
  <si>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</si>
  <si>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</si>
  <si>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</si>
  <si>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</si>
  <si>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</si>
  <si>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</si>
  <si>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</si>
  <si>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</si>
  <si>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</si>
  <si>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</si>
  <si>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</si>
  <si>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</si>
  <si>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</si>
  <si>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</si>
  <si>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</si>
  <si>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</si>
  <si>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</si>
  <si>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</si>
  <si>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</si>
  <si>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</si>
  <si>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</si>
  <si>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</si>
  <si>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</si>
  <si>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</si>
  <si>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</si>
  <si>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</si>
  <si>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</si>
  <si>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</si>
  <si>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</si>
  <si>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</si>
  <si>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</si>
  <si>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</si>
  <si>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</si>
  <si>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</si>
  <si>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</si>
  <si>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</si>
  <si>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</si>
  <si>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</si>
  <si>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</si>
  <si>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</si>
  <si>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</si>
  <si>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</si>
  <si>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</si>
  <si>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</si>
  <si>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</si>
  <si>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</si>
  <si>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</si>
  <si>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</si>
  <si>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</si>
  <si>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</si>
  <si>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</si>
  <si>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</si>
  <si>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</si>
  <si>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</si>
  <si>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</si>
  <si>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</si>
  <si>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</si>
  <si>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</si>
  <si>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</si>
  <si>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</si>
  <si>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</si>
  <si>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</si>
  <si>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</si>
  <si>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</si>
  <si>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</si>
  <si>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</si>
  <si>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</si>
  <si>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</si>
  <si>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</si>
  <si>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</si>
  <si>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</si>
  <si>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</si>
  <si>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</si>
  <si>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</si>
  <si>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</si>
  <si>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</si>
  <si>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</si>
  <si>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</si>
  <si>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</si>
  <si>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</si>
  <si>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</si>
  <si>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</si>
  <si>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</si>
  <si>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</si>
  <si>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</si>
  <si>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</si>
  <si>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</si>
  <si>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</si>
  <si>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</si>
  <si>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</si>
  <si>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</si>
  <si>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</si>
  <si>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</si>
  <si>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</si>
  <si>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</si>
  <si>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</si>
  <si>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</si>
  <si>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</si>
  <si>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</si>
  <si>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</si>
  <si>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</si>
  <si>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</si>
  <si>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</si>
  <si>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</si>
  <si>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</si>
  <si>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</si>
  <si>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</si>
  <si>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</si>
  <si>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</si>
  <si>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</si>
  <si>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</si>
  <si>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</si>
  <si>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</si>
  <si>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</si>
  <si>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</si>
  <si>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</si>
  <si>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</si>
  <si>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</si>
  <si>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</si>
  <si>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</si>
  <si>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</si>
  <si>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</si>
  <si>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</si>
  <si>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</si>
  <si>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</si>
  <si>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</si>
  <si>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</si>
  <si>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</si>
  <si>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</si>
  <si>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</si>
  <si>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</si>
  <si>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</si>
  <si>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</si>
  <si>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</si>
  <si>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</si>
  <si>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</si>
  <si>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</si>
  <si>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</si>
  <si>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</si>
  <si>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</si>
  <si>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</si>
  <si>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</si>
  <si>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</si>
  <si>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</si>
  <si>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</si>
  <si>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</si>
  <si>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</si>
  <si>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</si>
  <si>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</si>
  <si>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</si>
  <si>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</si>
  <si>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</si>
  <si>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</si>
  <si>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</si>
  <si>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</si>
  <si>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</si>
  <si>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</si>
  <si>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</si>
  <si>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</si>
  <si>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</si>
  <si>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</si>
  <si>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</si>
  <si>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</si>
  <si>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</si>
  <si>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</si>
  <si>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</si>
  <si>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</si>
  <si>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</si>
  <si>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</si>
  <si>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</si>
  <si>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</si>
  <si>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</si>
  <si>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</si>
  <si>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</si>
  <si>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</si>
  <si>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</si>
  <si>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</si>
  <si>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</si>
  <si>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</si>
  <si>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</si>
  <si>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</si>
  <si>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</si>
  <si>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</si>
  <si>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</si>
  <si>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</si>
  <si>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</si>
  <si>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</si>
  <si>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</si>
  <si>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</si>
  <si>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</si>
  <si>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</si>
  <si>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</si>
  <si>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</si>
  <si>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</si>
  <si>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</si>
  <si>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</si>
  <si>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</si>
  <si>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</si>
  <si>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</si>
  <si>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</si>
  <si>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</si>
  <si>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</si>
  <si>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</si>
  <si>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</si>
  <si>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</si>
  <si>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</si>
  <si>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</si>
  <si>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</si>
  <si>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</si>
  <si>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</si>
  <si>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</si>
  <si>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</si>
  <si>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</si>
  <si>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</si>
  <si>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</si>
  <si>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</si>
  <si>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</si>
  <si>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</si>
  <si>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</si>
  <si>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</si>
  <si>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</si>
  <si>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</si>
  <si>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</si>
  <si>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</si>
  <si>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</si>
  <si>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</si>
  <si>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</si>
  <si>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</si>
  <si>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</si>
  <si>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</si>
  <si>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</si>
  <si>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</si>
  <si>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</si>
  <si>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</si>
  <si>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</si>
  <si>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</si>
  <si>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</si>
  <si>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</si>
  <si>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</si>
  <si>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</si>
  <si>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</si>
  <si>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</si>
  <si>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</si>
  <si>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</si>
  <si>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</si>
  <si>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</si>
  <si>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</si>
  <si>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</si>
  <si>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</si>
  <si>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</si>
  <si>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</si>
  <si>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</si>
  <si>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</si>
  <si>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</si>
  <si>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</si>
  <si>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</si>
  <si>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</si>
  <si>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</si>
  <si>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</si>
  <si>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</si>
  <si>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</si>
  <si>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</si>
  <si>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</si>
  <si>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</si>
  <si>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</si>
  <si>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</si>
  <si>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</si>
  <si>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</si>
  <si>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</si>
  <si>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</si>
  <si>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</si>
  <si>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</si>
  <si>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</si>
  <si>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</si>
  <si>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</si>
  <si>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</si>
  <si>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</si>
  <si>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</si>
  <si>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</si>
  <si>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</si>
  <si>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</si>
  <si>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</si>
  <si>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</si>
  <si>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</si>
  <si>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MOSE, YOCKEY, BROWN &amp; KULL, LLC</t>
  </si>
  <si>
    <t>ROBIN R. YOCKEY</t>
  </si>
  <si>
    <t>230 N MORGAN, PO BOX 317</t>
  </si>
  <si>
    <t>SHELBYVILLE</t>
  </si>
  <si>
    <t>IL</t>
  </si>
  <si>
    <t>217-774-9587</t>
  </si>
  <si>
    <t>217-774-9589</t>
  </si>
  <si>
    <t>066-003845</t>
  </si>
  <si>
    <t>mybkcpas@consolidated.net</t>
  </si>
  <si>
    <t>23.  Opinion is adverse due to regulatory basis presentation.</t>
  </si>
  <si>
    <t>FAYETTE</t>
  </si>
  <si>
    <t>1109 NORTH EIGHTH ST</t>
  </si>
  <si>
    <t>VANDALIA</t>
  </si>
  <si>
    <t>jgarrison@vandals203.org</t>
  </si>
  <si>
    <t>DR. JENNIFER GARRISON</t>
  </si>
  <si>
    <t>618-283-4525</t>
  </si>
  <si>
    <t>618-283-4107</t>
  </si>
  <si>
    <t>JULIE WOLLERMAN</t>
  </si>
  <si>
    <t>julifewollerman@roe3.org</t>
  </si>
  <si>
    <t>618-283-5011</t>
  </si>
  <si>
    <t>618-283-5013</t>
  </si>
  <si>
    <t>Vandalia CUSD 203 Administrative District</t>
  </si>
  <si>
    <t>20.  See Schedule of Findings and Questioned Costs.</t>
  </si>
  <si>
    <t>105 ILCS 5/17-1 requires joint agreements to adopt annual budgets by September 1 of each fiscal year.  The budgets are required to be available for public inspection for 30 days prior to approval.  Notice of availability of the budget for inspection and the public hearing must be given by publication in a newspaper published in the administrative district at least 30 days prior to the hearing.</t>
  </si>
  <si>
    <t>No notice of availability for inspection or notice of the public hearing was published.</t>
  </si>
  <si>
    <t>The finding applies to the original budget.</t>
  </si>
  <si>
    <t>The joint agreement is not in compliance with 105 ILCS 5/17-1.</t>
  </si>
  <si>
    <t>The responsibility for filing the notice of availability of the budget for inspection and the public hearing has not been assigned to either the administrative district or the joint agreement.</t>
  </si>
  <si>
    <t>The joint agreement complied with 105 ILCS 5/17-1 in connection with the adoption of the fiscal year 2020 budget.</t>
  </si>
  <si>
    <t>Notice of the availability of the budget for inspection and the public hearing should be given by publication in a newspaper in the administrative district at least 30 days prior to the hearing and responsibility for this publication should be assigned.</t>
  </si>
  <si>
    <t>None</t>
  </si>
  <si>
    <t>Okaw Area Vocational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</si>
</sst>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3">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38" fontId="55" fillId="0" borderId="125" xfId="0" applyNumberFormat="1" applyFont="1" applyBorder="1" applyAlignment="1" applyProtection="1">
      <alignment horizontal="right"/>
      <protection locked="0"/>
    </xf>
    <xf numFmtId="38" fontId="55" fillId="0" borderId="125" xfId="0" applyNumberFormat="1" applyFont="1" applyFill="1" applyBorder="1" applyAlignment="1" applyProtection="1">
      <alignment horizontal="right"/>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0" fontId="2" fillId="0" borderId="157" xfId="17" applyFont="1" applyBorder="1" applyAlignment="1" applyProtection="1">
      <alignment vertical="top" wrapText="1"/>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3" fillId="0" borderId="125" xfId="12" applyNumberFormat="1" applyFont="1" applyFill="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25" xfId="2" applyNumberFormat="1" applyBorder="1" applyAlignment="1" applyProtection="1">
      <alignment horizontal="left" vertical="center" indent="1"/>
      <protection locked="0"/>
    </xf>
    <xf numFmtId="0" fontId="44" fillId="0" borderId="128" xfId="2" applyNumberFormat="1" applyFont="1" applyBorder="1" applyAlignment="1" applyProtection="1">
      <alignment horizontal="left" vertical="center" indent="1"/>
      <protection locked="0"/>
    </xf>
    <xf numFmtId="0" fontId="44" fillId="0" borderId="128" xfId="2" applyFont="1" applyBorder="1" applyAlignment="1" applyProtection="1">
      <alignment horizontal="left" vertical="center" indent="1"/>
      <protection locked="0"/>
    </xf>
    <xf numFmtId="0" fontId="20" fillId="0" borderId="128" xfId="0" applyFont="1" applyBorder="1" applyAlignment="1" applyProtection="1">
      <alignment horizontal="left" vertical="center" indent="1"/>
      <protection locked="0"/>
    </xf>
    <xf numFmtId="0" fontId="20" fillId="0" borderId="126"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indent="1"/>
      <protection locked="0"/>
    </xf>
    <xf numFmtId="180" fontId="13" fillId="0" borderId="128" xfId="0" applyNumberFormat="1" applyFont="1" applyBorder="1" applyAlignment="1" applyProtection="1">
      <alignment horizontal="left" vertical="center" indent="1"/>
      <protection locked="0"/>
    </xf>
    <xf numFmtId="180" fontId="13" fillId="0" borderId="126"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25"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25" xfId="2" applyNumberFormat="1" applyFill="1" applyBorder="1" applyAlignment="1" applyProtection="1">
      <alignment horizontal="left" vertical="center" indent="1"/>
      <protection locked="0"/>
    </xf>
    <xf numFmtId="49" fontId="37" fillId="0" borderId="128" xfId="0" applyNumberFormat="1" applyFont="1" applyBorder="1" applyAlignment="1" applyProtection="1">
      <alignment horizontal="left" vertical="center" indent="1"/>
      <protection locked="0"/>
    </xf>
    <xf numFmtId="49" fontId="37" fillId="0" borderId="126"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25" xfId="12" applyNumberFormat="1" applyFont="1" applyBorder="1" applyAlignment="1" applyProtection="1">
      <alignment horizontal="left" vertical="center" indent="1"/>
      <protection locked="0"/>
    </xf>
    <xf numFmtId="0" fontId="13" fillId="0" borderId="128"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readingOrder="1"/>
      <protection locked="0"/>
    </xf>
    <xf numFmtId="0" fontId="13" fillId="0" borderId="128" xfId="0" applyNumberFormat="1" applyFont="1" applyBorder="1" applyAlignment="1" applyProtection="1">
      <alignment horizontal="left" vertical="center" readingOrder="1"/>
      <protection locked="0"/>
    </xf>
    <xf numFmtId="0" fontId="10" fillId="0" borderId="128" xfId="0" applyFont="1" applyBorder="1" applyAlignment="1" applyProtection="1">
      <alignment vertical="center" readingOrder="1"/>
      <protection locked="0"/>
    </xf>
    <xf numFmtId="0" fontId="10" fillId="0" borderId="126" xfId="0" applyFont="1" applyBorder="1" applyAlignment="1" applyProtection="1">
      <alignment vertical="center" readingOrder="1"/>
      <protection locked="0"/>
    </xf>
    <xf numFmtId="0" fontId="13" fillId="0" borderId="125" xfId="12" applyNumberFormat="1" applyFont="1" applyBorder="1" applyAlignment="1" applyProtection="1">
      <alignment horizontal="left" vertical="center"/>
      <protection locked="0"/>
    </xf>
    <xf numFmtId="0" fontId="13" fillId="0" borderId="128" xfId="0" applyNumberFormat="1" applyFont="1" applyBorder="1" applyAlignment="1" applyProtection="1">
      <alignment horizontal="left" vertical="center"/>
      <protection locked="0"/>
    </xf>
    <xf numFmtId="0" fontId="10" fillId="0" borderId="128" xfId="0" applyFont="1" applyBorder="1" applyAlignment="1" applyProtection="1">
      <alignment vertical="center"/>
      <protection locked="0"/>
    </xf>
    <xf numFmtId="0" fontId="10" fillId="0" borderId="126"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25" xfId="12" applyNumberFormat="1" applyFont="1"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126" xfId="0" applyBorder="1" applyAlignment="1" applyProtection="1">
      <alignment horizontal="left" vertical="center"/>
      <protection locked="0"/>
    </xf>
    <xf numFmtId="0" fontId="33" fillId="0" borderId="125" xfId="2" applyBorder="1" applyAlignment="1" applyProtection="1">
      <protection locked="0"/>
    </xf>
    <xf numFmtId="0" fontId="16" fillId="0" borderId="128" xfId="0" applyFont="1" applyBorder="1" applyProtection="1">
      <protection locked="0"/>
    </xf>
    <xf numFmtId="0" fontId="16" fillId="0" borderId="126"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protection locked="0"/>
    </xf>
    <xf numFmtId="180" fontId="13" fillId="0" borderId="128" xfId="0" applyNumberFormat="1" applyFont="1" applyBorder="1" applyAlignment="1" applyProtection="1">
      <alignment horizontal="left" vertical="center"/>
      <protection locked="0"/>
    </xf>
    <xf numFmtId="180" fontId="13" fillId="0" borderId="126"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protection locked="0"/>
    </xf>
    <xf numFmtId="0" fontId="13" fillId="0" borderId="128" xfId="0" applyFont="1" applyBorder="1" applyAlignment="1" applyProtection="1">
      <alignment horizontal="left" vertical="center"/>
      <protection locked="0"/>
    </xf>
    <xf numFmtId="0" fontId="13" fillId="0" borderId="126" xfId="0" applyFont="1" applyBorder="1" applyAlignment="1" applyProtection="1">
      <alignment horizontal="left" vertical="center"/>
      <protection locked="0"/>
    </xf>
    <xf numFmtId="0" fontId="44" fillId="0" borderId="125" xfId="2" applyNumberFormat="1" applyFont="1" applyBorder="1" applyAlignment="1" applyProtection="1">
      <alignment horizontal="left" vertical="center"/>
      <protection locked="0"/>
    </xf>
    <xf numFmtId="0" fontId="44" fillId="0" borderId="128" xfId="2" applyNumberFormat="1" applyFont="1" applyBorder="1" applyAlignment="1" applyProtection="1">
      <alignment horizontal="left" vertical="center"/>
      <protection locked="0"/>
    </xf>
    <xf numFmtId="0" fontId="44" fillId="0" borderId="128" xfId="2" applyFont="1" applyBorder="1" applyAlignment="1" applyProtection="1">
      <alignment horizontal="left" vertical="center"/>
      <protection locked="0"/>
    </xf>
    <xf numFmtId="0" fontId="44" fillId="0" borderId="126"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66675</xdr:rowOff>
        </xdr:from>
        <xdr:to>
          <xdr:col>1</xdr:col>
          <xdr:colOff>838200</xdr:colOff>
          <xdr:row>4</xdr:row>
          <xdr:rowOff>104775</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0</xdr:row>
          <xdr:rowOff>76200</xdr:rowOff>
        </xdr:from>
        <xdr:to>
          <xdr:col>1</xdr:col>
          <xdr:colOff>1857375</xdr:colOff>
          <xdr:row>4</xdr:row>
          <xdr:rowOff>104775</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1914525</xdr:colOff>
          <xdr:row>0</xdr:row>
          <xdr:rowOff>85725</xdr:rowOff>
        </xdr:from>
        <xdr:to>
          <xdr:col>1</xdr:col>
          <xdr:colOff>2828925</xdr:colOff>
          <xdr:row>4</xdr:row>
          <xdr:rowOff>123825</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828675</xdr:colOff>
          <xdr:row>9</xdr:row>
          <xdr:rowOff>38100</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5</xdr:row>
          <xdr:rowOff>0</xdr:rowOff>
        </xdr:from>
        <xdr:to>
          <xdr:col>1</xdr:col>
          <xdr:colOff>1847850</xdr:colOff>
          <xdr:row>9</xdr:row>
          <xdr:rowOff>38100</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T17" sqref="T17:AA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3" t="s">
        <v>405</v>
      </c>
      <c r="J1" s="1984"/>
      <c r="K1" s="1984"/>
      <c r="L1" s="1984"/>
      <c r="M1" s="1984"/>
      <c r="N1" s="1984"/>
      <c r="O1" s="1984"/>
      <c r="P1" s="1984"/>
      <c r="Q1" s="1984"/>
      <c r="R1" s="1984"/>
      <c r="S1" s="1984"/>
    </row>
    <row r="2" spans="1:28" ht="12" customHeight="1" x14ac:dyDescent="0.2">
      <c r="A2" s="47" t="s">
        <v>1991</v>
      </c>
      <c r="D2" s="48"/>
      <c r="I2" s="1985" t="s">
        <v>979</v>
      </c>
      <c r="J2" s="1984"/>
      <c r="K2" s="1984"/>
      <c r="L2" s="1984"/>
      <c r="M2" s="1984"/>
      <c r="N2" s="1984"/>
      <c r="O2" s="1984"/>
      <c r="P2" s="1984"/>
      <c r="Q2" s="1984"/>
      <c r="R2" s="1984"/>
      <c r="S2" s="1984"/>
    </row>
    <row r="3" spans="1:28" ht="12" customHeight="1" x14ac:dyDescent="0.2">
      <c r="A3" s="155" t="s">
        <v>1943</v>
      </c>
      <c r="B3" s="156"/>
      <c r="C3" s="156"/>
      <c r="D3" s="157"/>
      <c r="I3" s="1985" t="s">
        <v>52</v>
      </c>
      <c r="J3" s="1984"/>
      <c r="K3" s="1984"/>
      <c r="L3" s="1984"/>
      <c r="M3" s="1984"/>
      <c r="N3" s="1984"/>
      <c r="O3" s="1984"/>
      <c r="P3" s="1984"/>
      <c r="Q3" s="1984"/>
      <c r="R3" s="1984"/>
      <c r="S3" s="1984"/>
    </row>
    <row r="4" spans="1:28" ht="12" customHeight="1" x14ac:dyDescent="0.2">
      <c r="A4" s="37"/>
      <c r="I4" s="1985" t="s">
        <v>524</v>
      </c>
      <c r="J4" s="1984"/>
      <c r="K4" s="1984"/>
      <c r="L4" s="1984"/>
      <c r="M4" s="1984"/>
      <c r="N4" s="1984"/>
      <c r="O4" s="1984"/>
      <c r="P4" s="1984"/>
      <c r="Q4" s="1984"/>
      <c r="R4" s="1984"/>
      <c r="S4" s="1984"/>
    </row>
    <row r="5" spans="1:28" ht="14.1" customHeight="1" x14ac:dyDescent="0.2">
      <c r="B5" s="104"/>
      <c r="C5" s="26" t="s">
        <v>910</v>
      </c>
      <c r="D5" s="84"/>
      <c r="E5" s="84"/>
      <c r="H5" s="38"/>
      <c r="I5" s="1993" t="s">
        <v>680</v>
      </c>
      <c r="J5" s="1992"/>
      <c r="K5" s="1992"/>
      <c r="L5" s="1992"/>
      <c r="M5" s="1992"/>
      <c r="N5" s="1992"/>
      <c r="O5" s="1992"/>
      <c r="P5" s="1992"/>
      <c r="Q5" s="1992"/>
      <c r="R5" s="1992"/>
      <c r="S5" s="1992"/>
    </row>
    <row r="6" spans="1:28" ht="14.1" customHeight="1" x14ac:dyDescent="0.2">
      <c r="B6" s="104" t="s">
        <v>2065</v>
      </c>
      <c r="C6" s="26" t="s">
        <v>911</v>
      </c>
      <c r="D6" s="84"/>
      <c r="E6" s="84"/>
      <c r="I6" s="1991" t="s">
        <v>883</v>
      </c>
      <c r="J6" s="1992"/>
      <c r="K6" s="1992"/>
      <c r="L6" s="1992"/>
      <c r="M6" s="1992"/>
      <c r="N6" s="1992"/>
      <c r="O6" s="1992"/>
      <c r="P6" s="1992"/>
      <c r="Q6" s="1992"/>
      <c r="R6" s="1992"/>
      <c r="S6" s="1992"/>
    </row>
    <row r="7" spans="1:28" ht="12.2" customHeight="1" x14ac:dyDescent="0.2">
      <c r="I7" s="1986">
        <v>43646</v>
      </c>
      <c r="J7" s="1987"/>
      <c r="K7" s="1987"/>
      <c r="L7" s="1987"/>
      <c r="M7" s="1987"/>
      <c r="N7" s="1987"/>
      <c r="O7" s="1987"/>
      <c r="P7" s="1987"/>
      <c r="Q7" s="1987"/>
      <c r="R7" s="1987"/>
      <c r="S7" s="198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8" t="s">
        <v>674</v>
      </c>
      <c r="J9" s="1989"/>
      <c r="K9" s="1989"/>
      <c r="L9" s="1989"/>
      <c r="M9" s="1989"/>
      <c r="N9" s="1989"/>
      <c r="O9" s="1989"/>
      <c r="P9" s="1989"/>
      <c r="Q9" s="1989"/>
      <c r="R9" s="1989"/>
      <c r="S9" s="1990"/>
      <c r="T9" s="2004" t="s">
        <v>533</v>
      </c>
      <c r="U9" s="2005"/>
      <c r="V9" s="2005"/>
      <c r="W9" s="2005"/>
      <c r="X9" s="2005"/>
      <c r="Y9" s="2005"/>
      <c r="Z9" s="2005"/>
      <c r="AA9" s="2006"/>
    </row>
    <row r="10" spans="1:28" ht="13.5" customHeight="1" x14ac:dyDescent="0.2">
      <c r="A10" s="2011" t="s">
        <v>675</v>
      </c>
      <c r="B10" s="2012"/>
      <c r="C10" s="2012"/>
      <c r="D10" s="2012"/>
      <c r="E10" s="2012"/>
      <c r="F10" s="2012"/>
      <c r="G10" s="2012"/>
      <c r="H10" s="2013"/>
      <c r="I10" s="29"/>
      <c r="J10" s="30"/>
      <c r="K10" s="28"/>
      <c r="R10" s="30"/>
      <c r="S10" s="30"/>
      <c r="T10" s="2007"/>
      <c r="U10" s="1992"/>
      <c r="V10" s="1992"/>
      <c r="W10" s="1992"/>
      <c r="X10" s="1992"/>
      <c r="Y10" s="1992"/>
      <c r="Z10" s="1992"/>
      <c r="AA10" s="1998"/>
    </row>
    <row r="11" spans="1:28" ht="14.25" customHeight="1" x14ac:dyDescent="0.2">
      <c r="A11" s="2014" t="s">
        <v>955</v>
      </c>
      <c r="B11" s="2015"/>
      <c r="C11" s="2015"/>
      <c r="D11" s="2015"/>
      <c r="E11" s="2015"/>
      <c r="F11" s="2015"/>
      <c r="G11" s="2015"/>
      <c r="H11" s="2016"/>
      <c r="I11" s="27"/>
      <c r="J11" s="74"/>
      <c r="K11" s="27"/>
      <c r="O11" s="148" t="s">
        <v>2065</v>
      </c>
      <c r="P11" s="100" t="s">
        <v>201</v>
      </c>
      <c r="Q11" s="30"/>
      <c r="R11" s="28"/>
      <c r="S11" s="27"/>
      <c r="T11" s="2008"/>
      <c r="U11" s="2009"/>
      <c r="V11" s="2009"/>
      <c r="W11" s="2009"/>
      <c r="X11" s="2009"/>
      <c r="Y11" s="2009"/>
      <c r="Z11" s="2009"/>
      <c r="AA11" s="2010"/>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9">
        <v>3026203041</v>
      </c>
      <c r="B13" s="2020"/>
      <c r="C13" s="2020"/>
      <c r="D13" s="2020"/>
      <c r="E13" s="2020"/>
      <c r="F13" s="2020"/>
      <c r="G13" s="2020"/>
      <c r="H13" s="2021"/>
      <c r="I13" s="31"/>
      <c r="J13" s="30"/>
      <c r="K13" s="28"/>
      <c r="L13" s="30"/>
      <c r="M13" s="30"/>
      <c r="N13" s="30"/>
      <c r="O13" s="30"/>
      <c r="P13" s="30"/>
      <c r="Q13" s="30"/>
      <c r="R13" s="30"/>
      <c r="S13" s="30"/>
      <c r="T13" s="2024" t="s">
        <v>2066</v>
      </c>
      <c r="U13" s="2025"/>
      <c r="V13" s="2025"/>
      <c r="W13" s="2025"/>
      <c r="X13" s="2025"/>
      <c r="Y13" s="2026"/>
      <c r="Z13" s="2026"/>
      <c r="AA13" s="202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7" t="s">
        <v>2076</v>
      </c>
      <c r="B15" s="2022"/>
      <c r="C15" s="2022"/>
      <c r="D15" s="2022"/>
      <c r="E15" s="2022"/>
      <c r="F15" s="2022"/>
      <c r="G15" s="2022"/>
      <c r="H15" s="2023"/>
      <c r="T15" s="2028" t="s">
        <v>2067</v>
      </c>
      <c r="U15" s="2029"/>
      <c r="V15" s="2029"/>
      <c r="W15" s="2029"/>
      <c r="X15" s="2029"/>
      <c r="Y15" s="2030"/>
      <c r="Z15" s="2030"/>
      <c r="AA15" s="203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7" t="s">
        <v>2097</v>
      </c>
      <c r="B17" s="1978"/>
      <c r="C17" s="1978"/>
      <c r="D17" s="1978"/>
      <c r="E17" s="1978"/>
      <c r="F17" s="1978"/>
      <c r="G17" s="1978"/>
      <c r="H17" s="2003"/>
      <c r="T17" s="2034" t="s">
        <v>2068</v>
      </c>
      <c r="U17" s="2035"/>
      <c r="V17" s="2035"/>
      <c r="W17" s="2035"/>
      <c r="X17" s="2035"/>
      <c r="Y17" s="2035"/>
      <c r="Z17" s="2035"/>
      <c r="AA17" s="2036"/>
    </row>
    <row r="18" spans="1:27" ht="13.5" customHeight="1" x14ac:dyDescent="0.2">
      <c r="A18" s="85" t="s">
        <v>530</v>
      </c>
      <c r="B18" s="76"/>
      <c r="C18" s="72"/>
      <c r="D18" s="76"/>
      <c r="E18" s="76"/>
      <c r="F18" s="76"/>
      <c r="G18" s="76"/>
      <c r="H18" s="56"/>
      <c r="I18" s="2002" t="s">
        <v>676</v>
      </c>
      <c r="J18" s="1952"/>
      <c r="K18" s="1952"/>
      <c r="L18" s="1952"/>
      <c r="M18" s="1952"/>
      <c r="N18" s="1952"/>
      <c r="O18" s="1952"/>
      <c r="P18" s="1952"/>
      <c r="Q18" s="1952"/>
      <c r="R18" s="1952"/>
      <c r="S18" s="1953"/>
      <c r="T18" s="85" t="s">
        <v>711</v>
      </c>
      <c r="U18" s="51"/>
      <c r="V18" s="72"/>
      <c r="W18" s="50"/>
      <c r="X18" s="85" t="s">
        <v>266</v>
      </c>
      <c r="Y18" s="81"/>
      <c r="Z18" s="159" t="s">
        <v>677</v>
      </c>
      <c r="AA18" s="46"/>
    </row>
    <row r="19" spans="1:27" ht="13.5" customHeight="1" x14ac:dyDescent="0.2">
      <c r="A19" s="2017" t="s">
        <v>2077</v>
      </c>
      <c r="B19" s="2018"/>
      <c r="C19" s="2018"/>
      <c r="D19" s="2018"/>
      <c r="E19" s="2018"/>
      <c r="F19" s="2018"/>
      <c r="G19" s="2018"/>
      <c r="H19" s="1942"/>
      <c r="I19" s="30"/>
      <c r="J19" s="99"/>
      <c r="K19" s="40"/>
      <c r="L19" s="38"/>
      <c r="M19" s="112" t="s">
        <v>315</v>
      </c>
      <c r="P19" s="27"/>
      <c r="Q19" s="27"/>
      <c r="R19" s="27"/>
      <c r="S19" s="31"/>
      <c r="T19" s="2017" t="s">
        <v>2069</v>
      </c>
      <c r="U19" s="1941"/>
      <c r="V19" s="1941"/>
      <c r="W19" s="1942"/>
      <c r="X19" s="2033" t="s">
        <v>2070</v>
      </c>
      <c r="Y19" s="1941"/>
      <c r="Z19" s="2032">
        <v>62565</v>
      </c>
      <c r="AA19" s="194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0" t="s">
        <v>2078</v>
      </c>
      <c r="B21" s="1941"/>
      <c r="C21" s="1941"/>
      <c r="D21" s="1941"/>
      <c r="E21" s="1941"/>
      <c r="F21" s="1941"/>
      <c r="G21" s="1941"/>
      <c r="H21" s="1942"/>
      <c r="I21" s="1997" t="s">
        <v>678</v>
      </c>
      <c r="J21" s="1992"/>
      <c r="K21" s="1992"/>
      <c r="L21" s="1992"/>
      <c r="M21" s="1992"/>
      <c r="N21" s="1992"/>
      <c r="O21" s="1992"/>
      <c r="P21" s="1992"/>
      <c r="Q21" s="1992"/>
      <c r="R21" s="1992"/>
      <c r="S21" s="1998"/>
      <c r="T21" s="2044" t="s">
        <v>2071</v>
      </c>
      <c r="U21" s="2045"/>
      <c r="V21" s="2045"/>
      <c r="W21" s="2045"/>
      <c r="X21" s="1969" t="s">
        <v>2072</v>
      </c>
      <c r="Y21" s="2054"/>
      <c r="Z21" s="2054"/>
      <c r="AA21" s="2055"/>
    </row>
    <row r="22" spans="1:27" ht="13.5" customHeight="1" x14ac:dyDescent="0.2">
      <c r="A22" s="87" t="s">
        <v>531</v>
      </c>
      <c r="B22" s="59"/>
      <c r="C22" s="59"/>
      <c r="D22" s="59"/>
      <c r="E22" s="59"/>
      <c r="F22" s="59"/>
      <c r="G22" s="59"/>
      <c r="H22" s="60"/>
      <c r="I22" s="1999" t="s">
        <v>1429</v>
      </c>
      <c r="J22" s="2000"/>
      <c r="K22" s="2000"/>
      <c r="L22" s="2000"/>
      <c r="M22" s="2000"/>
      <c r="N22" s="2000"/>
      <c r="O22" s="2000"/>
      <c r="P22" s="2000"/>
      <c r="Q22" s="2000"/>
      <c r="R22" s="2000"/>
      <c r="S22" s="2001"/>
      <c r="T22" s="85" t="s">
        <v>1516</v>
      </c>
      <c r="U22" s="51"/>
      <c r="V22" s="72"/>
      <c r="W22" s="51"/>
      <c r="X22" s="160" t="s">
        <v>1318</v>
      </c>
      <c r="Z22" s="45"/>
      <c r="AA22" s="46"/>
    </row>
    <row r="23" spans="1:27" ht="13.5" customHeight="1" x14ac:dyDescent="0.2">
      <c r="A23" s="1994" t="s">
        <v>2079</v>
      </c>
      <c r="B23" s="1995"/>
      <c r="C23" s="1995"/>
      <c r="D23" s="1995"/>
      <c r="E23" s="1995"/>
      <c r="F23" s="1995"/>
      <c r="G23" s="1995"/>
      <c r="H23" s="1996"/>
      <c r="T23" s="1977" t="s">
        <v>2073</v>
      </c>
      <c r="U23" s="2040"/>
      <c r="V23" s="2040"/>
      <c r="W23" s="2040"/>
      <c r="X23" s="2053">
        <v>44530</v>
      </c>
      <c r="Y23" s="2022"/>
      <c r="Z23" s="2022"/>
      <c r="AA23" s="2023"/>
    </row>
    <row r="24" spans="1:27" ht="14.1" customHeight="1" x14ac:dyDescent="0.2">
      <c r="A24" s="88" t="s">
        <v>677</v>
      </c>
      <c r="B24" s="49"/>
      <c r="C24" s="49"/>
      <c r="D24" s="49"/>
      <c r="E24" s="49"/>
      <c r="F24" s="49"/>
      <c r="G24" s="49"/>
      <c r="H24" s="61"/>
      <c r="J24" s="1964" t="str">
        <f>IF(B5="x",IF(AUDITCHECK!D29="AFR form Incomplete.","",IF(AUDITCHECK!D29="Deficit reduction plan is required.","School District must complete a deficit reduction plan in the 2019-2020 Budget",)),"")</f>
        <v/>
      </c>
      <c r="K24" s="1964"/>
      <c r="L24" s="1964"/>
      <c r="M24" s="1964"/>
      <c r="N24" s="1964"/>
      <c r="O24" s="1964"/>
      <c r="P24" s="1964"/>
      <c r="Q24" s="1964"/>
      <c r="R24" s="1964"/>
      <c r="S24" s="1965"/>
      <c r="T24" s="105" t="s">
        <v>531</v>
      </c>
      <c r="U24" s="106"/>
      <c r="V24" s="106"/>
      <c r="W24" s="106"/>
      <c r="X24" s="107"/>
      <c r="Y24" s="107"/>
      <c r="Z24" s="107"/>
      <c r="AA24" s="108"/>
    </row>
    <row r="25" spans="1:27" ht="14.1" customHeight="1" x14ac:dyDescent="0.2">
      <c r="A25" s="1940">
        <v>62471</v>
      </c>
      <c r="B25" s="1941"/>
      <c r="C25" s="1941"/>
      <c r="D25" s="1941"/>
      <c r="E25" s="1941"/>
      <c r="F25" s="1941"/>
      <c r="G25" s="1941"/>
      <c r="H25" s="1942"/>
      <c r="I25" s="113"/>
      <c r="J25" s="1966"/>
      <c r="K25" s="1966"/>
      <c r="L25" s="1966"/>
      <c r="M25" s="1966"/>
      <c r="N25" s="1966"/>
      <c r="O25" s="1966"/>
      <c r="P25" s="1966"/>
      <c r="Q25" s="1966"/>
      <c r="R25" s="1966"/>
      <c r="S25" s="1967"/>
      <c r="T25" s="2037" t="s">
        <v>2074</v>
      </c>
      <c r="U25" s="2038"/>
      <c r="V25" s="2038"/>
      <c r="W25" s="2038"/>
      <c r="X25" s="2038"/>
      <c r="Y25" s="2038"/>
      <c r="Z25" s="2038"/>
      <c r="AA25" s="203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1" t="s">
        <v>1511</v>
      </c>
      <c r="J27" s="1952"/>
      <c r="K27" s="1952"/>
      <c r="L27" s="1952"/>
      <c r="M27" s="1952"/>
      <c r="N27" s="1952"/>
      <c r="O27" s="1952"/>
      <c r="P27" s="1952"/>
      <c r="Q27" s="1952"/>
      <c r="R27" s="1952"/>
      <c r="S27" s="1953"/>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t="s">
        <v>2065</v>
      </c>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2065</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2"/>
      <c r="Q35" s="1963"/>
      <c r="R35" s="196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7" t="s">
        <v>2080</v>
      </c>
      <c r="B38" s="1978"/>
      <c r="C38" s="1978"/>
      <c r="D38" s="1978"/>
      <c r="E38" s="1978"/>
      <c r="F38" s="1941"/>
      <c r="G38" s="1941"/>
      <c r="H38" s="1942"/>
      <c r="I38" s="1970"/>
      <c r="J38" s="1971"/>
      <c r="K38" s="1971"/>
      <c r="L38" s="1971"/>
      <c r="M38" s="1971"/>
      <c r="N38" s="1971"/>
      <c r="O38" s="1971"/>
      <c r="P38" s="1972"/>
      <c r="Q38" s="1972"/>
      <c r="R38" s="1972"/>
      <c r="S38" s="1973"/>
      <c r="T38" s="2028" t="s">
        <v>2083</v>
      </c>
      <c r="U38" s="2029"/>
      <c r="V38" s="2029"/>
      <c r="W38" s="2029"/>
      <c r="X38" s="2047"/>
      <c r="Y38" s="2047"/>
      <c r="Z38" s="2047"/>
      <c r="AA38" s="2048"/>
    </row>
    <row r="39" spans="1:27" ht="12" customHeight="1" x14ac:dyDescent="0.2">
      <c r="A39" s="1946" t="s">
        <v>531</v>
      </c>
      <c r="B39" s="1947"/>
      <c r="C39" s="72"/>
      <c r="D39" s="69"/>
      <c r="E39" s="69"/>
      <c r="F39" s="79"/>
      <c r="G39" s="69"/>
      <c r="H39" s="56"/>
      <c r="I39" s="1946" t="s">
        <v>531</v>
      </c>
      <c r="J39" s="1947"/>
      <c r="K39" s="1947"/>
      <c r="L39" s="1947"/>
      <c r="M39" s="1947"/>
      <c r="N39" s="67"/>
      <c r="O39" s="72"/>
      <c r="P39" s="72"/>
      <c r="Q39" s="78"/>
      <c r="R39" s="72"/>
      <c r="S39" s="56"/>
      <c r="T39" s="72" t="s">
        <v>531</v>
      </c>
      <c r="U39" s="51"/>
      <c r="V39" s="72"/>
      <c r="W39" s="50"/>
      <c r="X39" s="78"/>
      <c r="Y39" s="45"/>
      <c r="Z39" s="45"/>
      <c r="AA39" s="46"/>
    </row>
    <row r="40" spans="1:27" ht="13.5" customHeight="1" x14ac:dyDescent="0.2">
      <c r="A40" s="1954" t="s">
        <v>2079</v>
      </c>
      <c r="B40" s="1955"/>
      <c r="C40" s="1956"/>
      <c r="D40" s="1956"/>
      <c r="E40" s="1956"/>
      <c r="F40" s="1957"/>
      <c r="G40" s="1957"/>
      <c r="H40" s="1958"/>
      <c r="I40" s="1980"/>
      <c r="J40" s="1981"/>
      <c r="K40" s="1981"/>
      <c r="L40" s="1981"/>
      <c r="M40" s="1981"/>
      <c r="N40" s="1981"/>
      <c r="O40" s="1981"/>
      <c r="P40" s="1981"/>
      <c r="Q40" s="1981"/>
      <c r="R40" s="1981"/>
      <c r="S40" s="1982"/>
      <c r="T40" s="2049" t="s">
        <v>2084</v>
      </c>
      <c r="U40" s="2050"/>
      <c r="V40" s="2051"/>
      <c r="W40" s="2051"/>
      <c r="X40" s="2051"/>
      <c r="Y40" s="2051"/>
      <c r="Z40" s="2051"/>
      <c r="AA40" s="205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9" t="s">
        <v>2081</v>
      </c>
      <c r="B42" s="1960"/>
      <c r="C42" s="1961"/>
      <c r="D42" s="1959" t="s">
        <v>2082</v>
      </c>
      <c r="E42" s="1960"/>
      <c r="F42" s="1960"/>
      <c r="G42" s="1960"/>
      <c r="H42" s="1961"/>
      <c r="I42" s="1943"/>
      <c r="J42" s="1944"/>
      <c r="K42" s="1944"/>
      <c r="L42" s="1944"/>
      <c r="M42" s="1944"/>
      <c r="N42" s="1944"/>
      <c r="O42" s="1945"/>
      <c r="P42" s="1979"/>
      <c r="Q42" s="1944"/>
      <c r="R42" s="1944"/>
      <c r="S42" s="1945"/>
      <c r="T42" s="2046" t="s">
        <v>2085</v>
      </c>
      <c r="U42" s="2042"/>
      <c r="V42" s="2042"/>
      <c r="W42" s="2043"/>
      <c r="X42" s="2041" t="s">
        <v>2086</v>
      </c>
      <c r="Y42" s="2042"/>
      <c r="Z42" s="2042"/>
      <c r="AA42" s="2043"/>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4"/>
      <c r="B44" s="1975"/>
      <c r="C44" s="1975"/>
      <c r="D44" s="1975"/>
      <c r="E44" s="1975"/>
      <c r="F44" s="1975"/>
      <c r="G44" s="1975"/>
      <c r="H44" s="1976"/>
      <c r="I44" s="1948"/>
      <c r="J44" s="1949"/>
      <c r="K44" s="1949"/>
      <c r="L44" s="1949"/>
      <c r="M44" s="1949"/>
      <c r="N44" s="1949"/>
      <c r="O44" s="1949"/>
      <c r="P44" s="1949"/>
      <c r="Q44" s="1949"/>
      <c r="R44" s="1949"/>
      <c r="S44" s="1950"/>
      <c r="T44" s="1948"/>
      <c r="U44" s="1968"/>
      <c r="V44" s="1968"/>
      <c r="W44" s="1968"/>
      <c r="X44" s="1968"/>
      <c r="Y44" s="1968"/>
      <c r="Z44" s="1949"/>
      <c r="AA44" s="1950"/>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11" sqref="C11"/>
    </sheetView>
  </sheetViews>
  <sheetFormatPr defaultColWidth="9.140625" defaultRowHeight="12.75" x14ac:dyDescent="0.2"/>
  <cols>
    <col min="1" max="1" width="41.42578125" style="252" customWidth="1"/>
    <col min="2" max="3" width="17.7109375" style="710" customWidth="1"/>
    <col min="4" max="5" width="17.7109375" style="711"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6" t="s">
        <v>104</v>
      </c>
    </row>
    <row r="2" spans="1:6" ht="39.75" customHeight="1" x14ac:dyDescent="0.2">
      <c r="A2" s="2189" t="s">
        <v>1802</v>
      </c>
      <c r="B2" s="1526" t="s">
        <v>1949</v>
      </c>
      <c r="C2" s="712" t="s">
        <v>1950</v>
      </c>
      <c r="D2" s="712" t="s">
        <v>1951</v>
      </c>
      <c r="E2" s="712" t="s">
        <v>1952</v>
      </c>
      <c r="F2" s="712" t="s">
        <v>1953</v>
      </c>
    </row>
    <row r="3" spans="1:6" ht="12" customHeight="1" x14ac:dyDescent="0.2">
      <c r="A3" s="2190"/>
      <c r="B3" s="1523"/>
      <c r="C3" s="1524"/>
      <c r="D3" s="1525" t="s">
        <v>256</v>
      </c>
      <c r="E3" s="1524"/>
      <c r="F3" s="1525" t="s">
        <v>257</v>
      </c>
    </row>
    <row r="4" spans="1:6" ht="13.7" customHeight="1" x14ac:dyDescent="0.2">
      <c r="A4" s="713" t="s">
        <v>1155</v>
      </c>
      <c r="B4" s="1743">
        <f>'Revenues 9-14'!C5</f>
        <v>0</v>
      </c>
      <c r="C4" s="1522"/>
      <c r="D4" s="1746">
        <f>B4-C4</f>
        <v>0</v>
      </c>
      <c r="E4" s="1522"/>
      <c r="F4" s="1746">
        <f>E4-C4</f>
        <v>0</v>
      </c>
    </row>
    <row r="5" spans="1:6" ht="13.7" customHeight="1" x14ac:dyDescent="0.2">
      <c r="A5" s="713" t="s">
        <v>870</v>
      </c>
      <c r="B5" s="1744">
        <f>'Revenues 9-14'!D5</f>
        <v>0</v>
      </c>
      <c r="C5" s="584"/>
      <c r="D5" s="1747">
        <f t="shared" ref="D5:D18" si="0">B5-C5</f>
        <v>0</v>
      </c>
      <c r="E5" s="584"/>
      <c r="F5" s="1747">
        <f>E5-C5</f>
        <v>0</v>
      </c>
    </row>
    <row r="6" spans="1:6" ht="13.7" customHeight="1" x14ac:dyDescent="0.2">
      <c r="A6" s="713" t="s">
        <v>411</v>
      </c>
      <c r="B6" s="1744">
        <f>'Revenues 9-14'!E5</f>
        <v>0</v>
      </c>
      <c r="C6" s="584"/>
      <c r="D6" s="1747">
        <f t="shared" si="0"/>
        <v>0</v>
      </c>
      <c r="E6" s="584"/>
      <c r="F6" s="1747">
        <f t="shared" ref="F6:F18" si="1">E6-C6</f>
        <v>0</v>
      </c>
    </row>
    <row r="7" spans="1:6" ht="13.7" customHeight="1" x14ac:dyDescent="0.2">
      <c r="A7" s="713" t="s">
        <v>155</v>
      </c>
      <c r="B7" s="1744">
        <f>'Revenues 9-14'!F5</f>
        <v>0</v>
      </c>
      <c r="C7" s="584"/>
      <c r="D7" s="1747">
        <f t="shared" si="0"/>
        <v>0</v>
      </c>
      <c r="E7" s="584"/>
      <c r="F7" s="1747">
        <f t="shared" si="1"/>
        <v>0</v>
      </c>
    </row>
    <row r="8" spans="1:6" ht="13.7" customHeight="1" x14ac:dyDescent="0.2">
      <c r="A8" s="713" t="s">
        <v>1179</v>
      </c>
      <c r="B8" s="1744">
        <f>'Revenues 9-14'!G5</f>
        <v>0</v>
      </c>
      <c r="C8" s="584"/>
      <c r="D8" s="1747">
        <f t="shared" si="0"/>
        <v>0</v>
      </c>
      <c r="E8" s="584"/>
      <c r="F8" s="1747">
        <f t="shared" si="1"/>
        <v>0</v>
      </c>
    </row>
    <row r="9" spans="1:6" ht="13.7" customHeight="1" x14ac:dyDescent="0.2">
      <c r="A9" s="713" t="s">
        <v>408</v>
      </c>
      <c r="B9" s="1744">
        <f>'Revenues 9-14'!H5</f>
        <v>0</v>
      </c>
      <c r="C9" s="584"/>
      <c r="D9" s="1747">
        <f t="shared" si="0"/>
        <v>0</v>
      </c>
      <c r="E9" s="584"/>
      <c r="F9" s="1747">
        <f t="shared" si="1"/>
        <v>0</v>
      </c>
    </row>
    <row r="10" spans="1:6" ht="13.7" customHeight="1" x14ac:dyDescent="0.2">
      <c r="A10" s="713" t="s">
        <v>407</v>
      </c>
      <c r="B10" s="1744">
        <f>'Revenues 9-14'!I5</f>
        <v>0</v>
      </c>
      <c r="C10" s="584"/>
      <c r="D10" s="1747">
        <f t="shared" si="0"/>
        <v>0</v>
      </c>
      <c r="E10" s="584"/>
      <c r="F10" s="1747">
        <f t="shared" si="1"/>
        <v>0</v>
      </c>
    </row>
    <row r="11" spans="1:6" x14ac:dyDescent="0.2">
      <c r="A11" s="713" t="s">
        <v>409</v>
      </c>
      <c r="B11" s="1744">
        <f>'Revenues 9-14'!J5</f>
        <v>0</v>
      </c>
      <c r="C11" s="584"/>
      <c r="D11" s="1747">
        <f t="shared" si="0"/>
        <v>0</v>
      </c>
      <c r="E11" s="584"/>
      <c r="F11" s="1747">
        <f t="shared" si="1"/>
        <v>0</v>
      </c>
    </row>
    <row r="12" spans="1:6" ht="13.7" customHeight="1" x14ac:dyDescent="0.2">
      <c r="A12" s="713" t="s">
        <v>157</v>
      </c>
      <c r="B12" s="1744">
        <f>'Revenues 9-14'!K5</f>
        <v>0</v>
      </c>
      <c r="C12" s="584"/>
      <c r="D12" s="1747">
        <f t="shared" si="0"/>
        <v>0</v>
      </c>
      <c r="E12" s="584"/>
      <c r="F12" s="1747">
        <f t="shared" si="1"/>
        <v>0</v>
      </c>
    </row>
    <row r="13" spans="1:6" ht="13.7" customHeight="1" x14ac:dyDescent="0.2">
      <c r="A13" s="713" t="s">
        <v>936</v>
      </c>
      <c r="B13" s="1744">
        <f>SUM('Revenues 9-14'!C6:D6)</f>
        <v>0</v>
      </c>
      <c r="C13" s="584"/>
      <c r="D13" s="1747">
        <f t="shared" si="0"/>
        <v>0</v>
      </c>
      <c r="E13" s="584"/>
      <c r="F13" s="1747">
        <f t="shared" si="1"/>
        <v>0</v>
      </c>
    </row>
    <row r="14" spans="1:6" ht="13.7" customHeight="1" x14ac:dyDescent="0.2">
      <c r="A14" s="713" t="s">
        <v>410</v>
      </c>
      <c r="B14" s="1744">
        <f>SUM('Revenues 9-14'!C7:D7,'Revenues 9-14'!F7:H7)</f>
        <v>0</v>
      </c>
      <c r="C14" s="584"/>
      <c r="D14" s="1747">
        <f t="shared" si="0"/>
        <v>0</v>
      </c>
      <c r="E14" s="584"/>
      <c r="F14" s="1747">
        <f t="shared" si="1"/>
        <v>0</v>
      </c>
    </row>
    <row r="15" spans="1:6" ht="13.7" customHeight="1" x14ac:dyDescent="0.2">
      <c r="A15" s="713" t="s">
        <v>1158</v>
      </c>
      <c r="B15" s="1744">
        <f>SUM('Revenues 9-14'!D9:E9,'Revenues 9-14'!H9)</f>
        <v>0</v>
      </c>
      <c r="C15" s="584"/>
      <c r="D15" s="1747">
        <f t="shared" si="0"/>
        <v>0</v>
      </c>
      <c r="E15" s="584"/>
      <c r="F15" s="1747">
        <f t="shared" si="1"/>
        <v>0</v>
      </c>
    </row>
    <row r="16" spans="1:6" ht="13.7" customHeight="1" x14ac:dyDescent="0.2">
      <c r="A16" s="713" t="s">
        <v>1159</v>
      </c>
      <c r="B16" s="1744">
        <f>'Revenues 9-14'!G8</f>
        <v>0</v>
      </c>
      <c r="C16" s="584"/>
      <c r="D16" s="1747">
        <f t="shared" si="0"/>
        <v>0</v>
      </c>
      <c r="E16" s="584"/>
      <c r="F16" s="1747">
        <f t="shared" si="1"/>
        <v>0</v>
      </c>
    </row>
    <row r="17" spans="1:6" ht="13.7" customHeight="1" x14ac:dyDescent="0.2">
      <c r="A17" s="713" t="s">
        <v>1160</v>
      </c>
      <c r="B17" s="1744">
        <f>'Revenues 9-14'!C10</f>
        <v>0</v>
      </c>
      <c r="C17" s="584"/>
      <c r="D17" s="1747">
        <f t="shared" si="0"/>
        <v>0</v>
      </c>
      <c r="E17" s="584"/>
      <c r="F17" s="1747">
        <f t="shared" si="1"/>
        <v>0</v>
      </c>
    </row>
    <row r="18" spans="1:6" ht="13.7" customHeight="1" x14ac:dyDescent="0.2">
      <c r="A18" s="713" t="s">
        <v>762</v>
      </c>
      <c r="B18" s="1744">
        <f>SUM('Revenues 9-14'!C11:K11)</f>
        <v>0</v>
      </c>
      <c r="C18" s="584"/>
      <c r="D18" s="1747">
        <f t="shared" si="0"/>
        <v>0</v>
      </c>
      <c r="E18" s="584"/>
      <c r="F18" s="1747">
        <f t="shared" si="1"/>
        <v>0</v>
      </c>
    </row>
    <row r="19" spans="1:6" ht="13.7" customHeight="1" thickBot="1" x14ac:dyDescent="0.25">
      <c r="A19" s="1748" t="s">
        <v>1161</v>
      </c>
      <c r="B19" s="1745">
        <f>SUM(B4:B18)</f>
        <v>0</v>
      </c>
      <c r="C19" s="1745">
        <f>SUM(C4:C18)</f>
        <v>0</v>
      </c>
      <c r="D19" s="1745">
        <f>SUM(D4:D18)</f>
        <v>0</v>
      </c>
      <c r="E19" s="1745">
        <f>SUM(E4:E18)</f>
        <v>0</v>
      </c>
      <c r="F19" s="1745">
        <f>SUM(F4:F18)</f>
        <v>0</v>
      </c>
    </row>
    <row r="20" spans="1:6" ht="13.5" thickTop="1" x14ac:dyDescent="0.2">
      <c r="B20" s="711"/>
      <c r="F20" s="714"/>
    </row>
    <row r="21" spans="1:6" x14ac:dyDescent="0.2">
      <c r="A21" s="715" t="s">
        <v>1808</v>
      </c>
      <c r="B21" s="716"/>
      <c r="F21" s="714"/>
    </row>
    <row r="22" spans="1:6" x14ac:dyDescent="0.2">
      <c r="A22" s="717" t="s">
        <v>628</v>
      </c>
      <c r="B22" s="718"/>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21" colorId="8" zoomScale="110" zoomScaleNormal="110" workbookViewId="0">
      <selection activeCell="F53" sqref="F53:G53"/>
    </sheetView>
  </sheetViews>
  <sheetFormatPr defaultColWidth="9.140625" defaultRowHeight="12.75" x14ac:dyDescent="0.2"/>
  <cols>
    <col min="1" max="1" width="44" style="401" customWidth="1"/>
    <col min="2" max="2" width="12.140625" style="720" customWidth="1"/>
    <col min="3" max="5" width="16.7109375" style="720"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1" t="s">
        <v>629</v>
      </c>
      <c r="B1" s="2209"/>
      <c r="C1" s="719"/>
    </row>
    <row r="2" spans="1:7" ht="33.75" x14ac:dyDescent="0.2">
      <c r="A2" s="2216" t="s">
        <v>1802</v>
      </c>
      <c r="B2" s="2217"/>
      <c r="C2" s="1877" t="s">
        <v>1954</v>
      </c>
      <c r="D2" s="721" t="s">
        <v>1955</v>
      </c>
      <c r="E2" s="721" t="s">
        <v>1956</v>
      </c>
      <c r="F2" s="1877" t="s">
        <v>1957</v>
      </c>
    </row>
    <row r="3" spans="1:7" ht="15.75" customHeight="1" x14ac:dyDescent="0.2">
      <c r="A3" s="2218" t="s">
        <v>1114</v>
      </c>
      <c r="B3" s="2219"/>
      <c r="C3" s="2212"/>
      <c r="D3" s="2213"/>
      <c r="E3" s="2213"/>
      <c r="F3" s="2214"/>
    </row>
    <row r="4" spans="1:7" ht="12.75" customHeight="1" thickBot="1" x14ac:dyDescent="0.25">
      <c r="A4" s="2206" t="s">
        <v>630</v>
      </c>
      <c r="B4" s="2207"/>
      <c r="C4" s="580"/>
      <c r="D4" s="580"/>
      <c r="E4" s="580"/>
      <c r="F4" s="1749">
        <f>SUM(C4+D4)-E4</f>
        <v>0</v>
      </c>
    </row>
    <row r="5" spans="1:7" ht="15.75" customHeight="1" thickTop="1" x14ac:dyDescent="0.2">
      <c r="A5" s="2210" t="s">
        <v>1110</v>
      </c>
      <c r="B5" s="2205"/>
      <c r="C5" s="2199"/>
      <c r="D5" s="2200"/>
      <c r="E5" s="2200"/>
      <c r="F5" s="2201"/>
    </row>
    <row r="6" spans="1:7" ht="12.75" customHeight="1" thickBot="1" x14ac:dyDescent="0.25">
      <c r="A6" s="722" t="s">
        <v>64</v>
      </c>
      <c r="B6" s="723"/>
      <c r="C6" s="724"/>
      <c r="D6" s="584"/>
      <c r="E6" s="724"/>
      <c r="F6" s="1749">
        <f t="shared" ref="F6:F14" si="0">SUM(C6+D6)-E6</f>
        <v>0</v>
      </c>
    </row>
    <row r="7" spans="1:7" ht="12.75" customHeight="1" thickTop="1" thickBot="1" x14ac:dyDescent="0.25">
      <c r="A7" s="722" t="s">
        <v>6</v>
      </c>
      <c r="B7" s="723"/>
      <c r="C7" s="724"/>
      <c r="D7" s="584"/>
      <c r="E7" s="724"/>
      <c r="F7" s="1749">
        <f t="shared" si="0"/>
        <v>0</v>
      </c>
    </row>
    <row r="8" spans="1:7" ht="12.75" customHeight="1" thickTop="1" thickBot="1" x14ac:dyDescent="0.25">
      <c r="A8" s="722" t="s">
        <v>508</v>
      </c>
      <c r="B8" s="723"/>
      <c r="C8" s="724"/>
      <c r="D8" s="584"/>
      <c r="E8" s="724"/>
      <c r="F8" s="1749">
        <f t="shared" si="0"/>
        <v>0</v>
      </c>
    </row>
    <row r="9" spans="1:7" ht="12.75" customHeight="1" thickTop="1" thickBot="1" x14ac:dyDescent="0.25">
      <c r="A9" s="722" t="s">
        <v>509</v>
      </c>
      <c r="B9" s="723"/>
      <c r="C9" s="724"/>
      <c r="D9" s="584"/>
      <c r="E9" s="724"/>
      <c r="F9" s="1749">
        <f t="shared" si="0"/>
        <v>0</v>
      </c>
    </row>
    <row r="10" spans="1:7" ht="12.75" customHeight="1" thickTop="1" thickBot="1" x14ac:dyDescent="0.25">
      <c r="A10" s="722" t="s">
        <v>510</v>
      </c>
      <c r="B10" s="723"/>
      <c r="C10" s="724"/>
      <c r="D10" s="584"/>
      <c r="E10" s="724"/>
      <c r="F10" s="1749">
        <f t="shared" si="0"/>
        <v>0</v>
      </c>
    </row>
    <row r="11" spans="1:7" ht="12.75" customHeight="1" thickTop="1" thickBot="1" x14ac:dyDescent="0.25">
      <c r="A11" s="722" t="s">
        <v>341</v>
      </c>
      <c r="B11" s="723"/>
      <c r="C11" s="724"/>
      <c r="D11" s="584"/>
      <c r="E11" s="724"/>
      <c r="F11" s="1749">
        <f t="shared" si="0"/>
        <v>0</v>
      </c>
    </row>
    <row r="12" spans="1:7" ht="12.75" customHeight="1" thickTop="1" thickBot="1" x14ac:dyDescent="0.25">
      <c r="A12" s="722" t="s">
        <v>1157</v>
      </c>
      <c r="B12" s="723"/>
      <c r="C12" s="724"/>
      <c r="D12" s="584"/>
      <c r="E12" s="724"/>
      <c r="F12" s="1749">
        <f t="shared" si="0"/>
        <v>0</v>
      </c>
    </row>
    <row r="13" spans="1:7" ht="12.75" customHeight="1" thickTop="1" thickBot="1" x14ac:dyDescent="0.25">
      <c r="A13" s="722" t="s">
        <v>388</v>
      </c>
      <c r="B13" s="723"/>
      <c r="C13" s="724"/>
      <c r="D13" s="584"/>
      <c r="E13" s="724"/>
      <c r="F13" s="1749">
        <f t="shared" si="0"/>
        <v>0</v>
      </c>
    </row>
    <row r="14" spans="1:7" ht="12.75" customHeight="1" thickTop="1" thickBot="1" x14ac:dyDescent="0.25">
      <c r="A14" s="722" t="s">
        <v>448</v>
      </c>
      <c r="B14" s="723"/>
      <c r="C14" s="724"/>
      <c r="D14" s="584"/>
      <c r="E14" s="724"/>
      <c r="F14" s="1749">
        <f t="shared" si="0"/>
        <v>0</v>
      </c>
    </row>
    <row r="15" spans="1:7" ht="14.25" thickTop="1" thickBot="1" x14ac:dyDescent="0.25">
      <c r="A15" s="2202" t="s">
        <v>631</v>
      </c>
      <c r="B15" s="2203"/>
      <c r="C15" s="1749">
        <f>SUM(C6:C14)</f>
        <v>0</v>
      </c>
      <c r="D15" s="1749">
        <f>SUM(D6:D14)</f>
        <v>0</v>
      </c>
      <c r="E15" s="1749">
        <f>SUM(E6:E14)</f>
        <v>0</v>
      </c>
      <c r="F15" s="1749">
        <f>SUM(F6:F14)</f>
        <v>0</v>
      </c>
      <c r="G15" s="552"/>
    </row>
    <row r="16" spans="1:7" s="202" customFormat="1" ht="15.75" customHeight="1" thickTop="1" x14ac:dyDescent="0.2">
      <c r="A16" s="2215" t="s">
        <v>1111</v>
      </c>
      <c r="B16" s="2205"/>
      <c r="C16" s="2199"/>
      <c r="D16" s="2200"/>
      <c r="E16" s="2200"/>
      <c r="F16" s="2201"/>
    </row>
    <row r="17" spans="1:11" ht="12.75" customHeight="1" thickBot="1" x14ac:dyDescent="0.25">
      <c r="A17" s="2197" t="s">
        <v>64</v>
      </c>
      <c r="B17" s="2198"/>
      <c r="C17" s="724"/>
      <c r="D17" s="584"/>
      <c r="E17" s="724"/>
      <c r="F17" s="1749">
        <f>SUM(C17+D17)-E17</f>
        <v>0</v>
      </c>
    </row>
    <row r="18" spans="1:11" ht="12.75" customHeight="1" thickTop="1" thickBot="1" x14ac:dyDescent="0.25">
      <c r="A18" s="2197" t="s">
        <v>6</v>
      </c>
      <c r="B18" s="2198"/>
      <c r="C18" s="724"/>
      <c r="D18" s="584"/>
      <c r="E18" s="724"/>
      <c r="F18" s="1749">
        <f>SUM(C18+D18)-E18</f>
        <v>0</v>
      </c>
    </row>
    <row r="19" spans="1:11" ht="12.75" customHeight="1" thickTop="1" thickBot="1" x14ac:dyDescent="0.25">
      <c r="A19" s="2197" t="s">
        <v>388</v>
      </c>
      <c r="B19" s="2198"/>
      <c r="C19" s="724"/>
      <c r="D19" s="584"/>
      <c r="E19" s="724"/>
      <c r="F19" s="1749">
        <f>SUM(C19+D19)-E19</f>
        <v>0</v>
      </c>
    </row>
    <row r="20" spans="1:11" ht="12.75" customHeight="1" thickTop="1" thickBot="1" x14ac:dyDescent="0.25">
      <c r="A20" s="2197" t="s">
        <v>448</v>
      </c>
      <c r="B20" s="2198"/>
      <c r="C20" s="724"/>
      <c r="D20" s="584"/>
      <c r="E20" s="724"/>
      <c r="F20" s="1749">
        <f>SUM(C20+D20)-E20</f>
        <v>0</v>
      </c>
    </row>
    <row r="21" spans="1:11" ht="14.25" thickTop="1" thickBot="1" x14ac:dyDescent="0.25">
      <c r="A21" s="2202" t="s">
        <v>632</v>
      </c>
      <c r="B21" s="2203"/>
      <c r="C21" s="1749">
        <f>SUM(C17:C20)</f>
        <v>0</v>
      </c>
      <c r="D21" s="1749">
        <f>SUM(D17:D20)</f>
        <v>0</v>
      </c>
      <c r="E21" s="1749">
        <f>SUM(E17:E20)</f>
        <v>0</v>
      </c>
      <c r="F21" s="1749">
        <f>SUM(F17:F20)</f>
        <v>0</v>
      </c>
      <c r="G21" s="552"/>
    </row>
    <row r="22" spans="1:11" ht="15.75" customHeight="1" thickTop="1" x14ac:dyDescent="0.2">
      <c r="A22" s="2204" t="s">
        <v>1112</v>
      </c>
      <c r="B22" s="2205"/>
      <c r="C22" s="2199"/>
      <c r="D22" s="2200"/>
      <c r="E22" s="2200"/>
      <c r="F22" s="2201"/>
    </row>
    <row r="23" spans="1:11" ht="13.5" thickBot="1" x14ac:dyDescent="0.25">
      <c r="A23" s="2206" t="s">
        <v>633</v>
      </c>
      <c r="B23" s="2207"/>
      <c r="C23" s="580"/>
      <c r="D23" s="580"/>
      <c r="E23" s="580"/>
      <c r="F23" s="1749">
        <f>SUM(C23+D23)-E23</f>
        <v>0</v>
      </c>
      <c r="G23" s="552"/>
    </row>
    <row r="24" spans="1:11" ht="15.75" customHeight="1" thickTop="1" x14ac:dyDescent="0.2">
      <c r="A24" s="2204" t="s">
        <v>1113</v>
      </c>
      <c r="B24" s="2205"/>
      <c r="C24" s="2199"/>
      <c r="D24" s="2200"/>
      <c r="E24" s="2200"/>
      <c r="F24" s="2201"/>
    </row>
    <row r="25" spans="1:11" ht="13.5" thickBot="1" x14ac:dyDescent="0.25">
      <c r="A25" s="2206" t="s">
        <v>634</v>
      </c>
      <c r="B25" s="2207"/>
      <c r="C25" s="580"/>
      <c r="D25" s="580"/>
      <c r="E25" s="580"/>
      <c r="F25" s="1749">
        <f>SUM(C25+D25)-E25</f>
        <v>0</v>
      </c>
      <c r="G25" s="552"/>
    </row>
    <row r="26" spans="1:11" ht="15.75" customHeight="1" thickTop="1" x14ac:dyDescent="0.2">
      <c r="A26" s="2210" t="s">
        <v>657</v>
      </c>
      <c r="B26" s="2205"/>
      <c r="C26" s="725"/>
      <c r="D26" s="725"/>
      <c r="E26" s="725"/>
      <c r="F26" s="726"/>
    </row>
    <row r="27" spans="1:11" ht="13.5" thickBot="1" x14ac:dyDescent="0.25">
      <c r="A27" s="2202" t="s">
        <v>1070</v>
      </c>
      <c r="B27" s="2203"/>
      <c r="C27" s="584"/>
      <c r="D27" s="584"/>
      <c r="E27" s="584"/>
      <c r="F27" s="1749">
        <f>SUM(C27+D27)-E27</f>
        <v>0</v>
      </c>
      <c r="G27" s="552"/>
    </row>
    <row r="28" spans="1:11" ht="7.5" customHeight="1" thickTop="1" x14ac:dyDescent="0.2">
      <c r="A28" s="592"/>
    </row>
    <row r="29" spans="1:11" ht="23.25" customHeight="1" x14ac:dyDescent="0.2">
      <c r="A29" s="2208" t="s">
        <v>582</v>
      </c>
      <c r="B29" s="2209"/>
      <c r="C29" s="727"/>
      <c r="D29" s="727"/>
      <c r="E29" s="727"/>
      <c r="F29" s="727"/>
      <c r="G29" s="727"/>
      <c r="H29" s="727"/>
      <c r="I29" s="727"/>
      <c r="J29" s="727"/>
    </row>
    <row r="30" spans="1:11" ht="33.75" x14ac:dyDescent="0.2">
      <c r="A30" s="1527" t="s">
        <v>1071</v>
      </c>
      <c r="B30" s="728" t="s">
        <v>1124</v>
      </c>
      <c r="C30" s="1878" t="s">
        <v>583</v>
      </c>
      <c r="D30" s="1878" t="s">
        <v>1673</v>
      </c>
      <c r="E30" s="1878" t="s">
        <v>1958</v>
      </c>
      <c r="F30" s="1878" t="s">
        <v>1959</v>
      </c>
      <c r="G30" s="1878" t="s">
        <v>1910</v>
      </c>
      <c r="H30" s="1878" t="s">
        <v>1960</v>
      </c>
      <c r="I30" s="1878" t="s">
        <v>1961</v>
      </c>
      <c r="J30" s="1879" t="s">
        <v>2</v>
      </c>
      <c r="K30" s="729"/>
    </row>
    <row r="31" spans="1:11" ht="12" customHeight="1" x14ac:dyDescent="0.2">
      <c r="A31" s="730"/>
      <c r="B31" s="731"/>
      <c r="C31" s="732"/>
      <c r="D31" s="733"/>
      <c r="E31" s="732"/>
      <c r="F31" s="732"/>
      <c r="G31" s="732"/>
      <c r="H31" s="732"/>
      <c r="I31" s="1750">
        <f>((E31+F31)-H31)+G31</f>
        <v>0</v>
      </c>
      <c r="J31" s="732"/>
      <c r="K31" s="734"/>
    </row>
    <row r="32" spans="1:11" ht="12" customHeight="1" x14ac:dyDescent="0.2">
      <c r="A32" s="730"/>
      <c r="B32" s="731"/>
      <c r="C32" s="732"/>
      <c r="D32" s="733"/>
      <c r="E32" s="732"/>
      <c r="F32" s="732"/>
      <c r="G32" s="732"/>
      <c r="H32" s="732"/>
      <c r="I32" s="1750">
        <f>((E32+F32)-H32)+G32</f>
        <v>0</v>
      </c>
      <c r="J32" s="732"/>
      <c r="K32" s="734"/>
    </row>
    <row r="33" spans="1:11" ht="12" customHeight="1" x14ac:dyDescent="0.2">
      <c r="A33" s="730"/>
      <c r="B33" s="731"/>
      <c r="C33" s="732"/>
      <c r="D33" s="733"/>
      <c r="E33" s="732"/>
      <c r="F33" s="732"/>
      <c r="G33" s="732"/>
      <c r="H33" s="732"/>
      <c r="I33" s="1750">
        <f t="shared" ref="I33:I48" si="1">((E33+F33)-H33)+G33</f>
        <v>0</v>
      </c>
      <c r="J33" s="732"/>
      <c r="K33" s="734"/>
    </row>
    <row r="34" spans="1:11" ht="12" customHeight="1" x14ac:dyDescent="0.2">
      <c r="A34" s="730"/>
      <c r="B34" s="731"/>
      <c r="C34" s="732"/>
      <c r="D34" s="733"/>
      <c r="E34" s="732"/>
      <c r="F34" s="732"/>
      <c r="G34" s="732"/>
      <c r="H34" s="732"/>
      <c r="I34" s="1750">
        <f t="shared" si="1"/>
        <v>0</v>
      </c>
      <c r="J34" s="732"/>
      <c r="K34" s="735"/>
    </row>
    <row r="35" spans="1:11" ht="12" customHeight="1" x14ac:dyDescent="0.2">
      <c r="A35" s="730"/>
      <c r="B35" s="731"/>
      <c r="C35" s="736"/>
      <c r="D35" s="733"/>
      <c r="E35" s="736"/>
      <c r="F35" s="736"/>
      <c r="G35" s="736"/>
      <c r="H35" s="736"/>
      <c r="I35" s="1750">
        <f t="shared" si="1"/>
        <v>0</v>
      </c>
      <c r="J35" s="736"/>
      <c r="K35" s="735"/>
    </row>
    <row r="36" spans="1:11" ht="12" customHeight="1" x14ac:dyDescent="0.2">
      <c r="A36" s="730"/>
      <c r="B36" s="731"/>
      <c r="C36" s="732"/>
      <c r="D36" s="733"/>
      <c r="E36" s="732"/>
      <c r="F36" s="732"/>
      <c r="G36" s="732"/>
      <c r="H36" s="732"/>
      <c r="I36" s="1750">
        <f t="shared" si="1"/>
        <v>0</v>
      </c>
      <c r="J36" s="732"/>
      <c r="K36" s="737"/>
    </row>
    <row r="37" spans="1:11" ht="12" customHeight="1" x14ac:dyDescent="0.2">
      <c r="A37" s="730"/>
      <c r="B37" s="731"/>
      <c r="C37" s="467"/>
      <c r="D37" s="738"/>
      <c r="E37" s="467"/>
      <c r="F37" s="467"/>
      <c r="G37" s="467"/>
      <c r="H37" s="467"/>
      <c r="I37" s="1750">
        <f t="shared" si="1"/>
        <v>0</v>
      </c>
      <c r="J37" s="467"/>
      <c r="K37" s="735"/>
    </row>
    <row r="38" spans="1:11" ht="12" customHeight="1" x14ac:dyDescent="0.2">
      <c r="A38" s="730"/>
      <c r="B38" s="731"/>
      <c r="C38" s="732"/>
      <c r="D38" s="739"/>
      <c r="E38" s="740"/>
      <c r="F38" s="740"/>
      <c r="G38" s="740"/>
      <c r="H38" s="740"/>
      <c r="I38" s="1750">
        <f t="shared" si="1"/>
        <v>0</v>
      </c>
      <c r="J38" s="741" t="s">
        <v>264</v>
      </c>
      <c r="K38" s="742"/>
    </row>
    <row r="39" spans="1:11" ht="12" customHeight="1" x14ac:dyDescent="0.2">
      <c r="A39" s="730"/>
      <c r="B39" s="731"/>
      <c r="C39" s="732"/>
      <c r="D39" s="739"/>
      <c r="E39" s="740"/>
      <c r="F39" s="740"/>
      <c r="G39" s="740"/>
      <c r="H39" s="740"/>
      <c r="I39" s="1750">
        <f t="shared" si="1"/>
        <v>0</v>
      </c>
      <c r="J39" s="741"/>
      <c r="K39" s="742"/>
    </row>
    <row r="40" spans="1:11" ht="12" customHeight="1" x14ac:dyDescent="0.2">
      <c r="A40" s="730"/>
      <c r="B40" s="731"/>
      <c r="C40" s="732"/>
      <c r="D40" s="739"/>
      <c r="E40" s="740"/>
      <c r="F40" s="740"/>
      <c r="G40" s="740"/>
      <c r="H40" s="740"/>
      <c r="I40" s="1750">
        <f t="shared" si="1"/>
        <v>0</v>
      </c>
      <c r="J40" s="741"/>
      <c r="K40" s="742"/>
    </row>
    <row r="41" spans="1:11" ht="12" customHeight="1" x14ac:dyDescent="0.2">
      <c r="A41" s="730"/>
      <c r="B41" s="731"/>
      <c r="C41" s="732"/>
      <c r="D41" s="739"/>
      <c r="E41" s="740"/>
      <c r="F41" s="740"/>
      <c r="G41" s="740"/>
      <c r="H41" s="740"/>
      <c r="I41" s="1750">
        <f t="shared" si="1"/>
        <v>0</v>
      </c>
      <c r="J41" s="741"/>
      <c r="K41" s="742"/>
    </row>
    <row r="42" spans="1:11" ht="12" customHeight="1" x14ac:dyDescent="0.2">
      <c r="A42" s="730"/>
      <c r="B42" s="731"/>
      <c r="C42" s="732"/>
      <c r="D42" s="739"/>
      <c r="E42" s="740"/>
      <c r="F42" s="740"/>
      <c r="G42" s="740"/>
      <c r="H42" s="740"/>
      <c r="I42" s="1750">
        <f t="shared" si="1"/>
        <v>0</v>
      </c>
      <c r="J42" s="741"/>
      <c r="K42" s="742"/>
    </row>
    <row r="43" spans="1:11" ht="12" customHeight="1" x14ac:dyDescent="0.2">
      <c r="A43" s="730"/>
      <c r="B43" s="731"/>
      <c r="C43" s="732"/>
      <c r="D43" s="739"/>
      <c r="E43" s="740"/>
      <c r="F43" s="740"/>
      <c r="G43" s="740"/>
      <c r="H43" s="740"/>
      <c r="I43" s="1750">
        <f t="shared" si="1"/>
        <v>0</v>
      </c>
      <c r="J43" s="741"/>
      <c r="K43" s="742"/>
    </row>
    <row r="44" spans="1:11" ht="12" customHeight="1" x14ac:dyDescent="0.2">
      <c r="A44" s="730"/>
      <c r="B44" s="731"/>
      <c r="C44" s="732"/>
      <c r="D44" s="733"/>
      <c r="E44" s="732"/>
      <c r="F44" s="732"/>
      <c r="G44" s="732"/>
      <c r="H44" s="732"/>
      <c r="I44" s="1750">
        <f t="shared" si="1"/>
        <v>0</v>
      </c>
      <c r="J44" s="732"/>
      <c r="K44" s="735"/>
    </row>
    <row r="45" spans="1:11" ht="12" customHeight="1" x14ac:dyDescent="0.2">
      <c r="A45" s="730"/>
      <c r="B45" s="731"/>
      <c r="C45" s="732"/>
      <c r="D45" s="733"/>
      <c r="E45" s="732"/>
      <c r="F45" s="732"/>
      <c r="G45" s="732"/>
      <c r="H45" s="732"/>
      <c r="I45" s="1750">
        <f t="shared" si="1"/>
        <v>0</v>
      </c>
      <c r="J45" s="732"/>
      <c r="K45" s="735"/>
    </row>
    <row r="46" spans="1:11" ht="12" customHeight="1" x14ac:dyDescent="0.2">
      <c r="A46" s="730"/>
      <c r="B46" s="731"/>
      <c r="C46" s="732"/>
      <c r="D46" s="733"/>
      <c r="E46" s="732"/>
      <c r="F46" s="732"/>
      <c r="G46" s="732"/>
      <c r="H46" s="732"/>
      <c r="I46" s="1750">
        <f t="shared" si="1"/>
        <v>0</v>
      </c>
      <c r="J46" s="732"/>
      <c r="K46" s="735"/>
    </row>
    <row r="47" spans="1:11" ht="12" customHeight="1" x14ac:dyDescent="0.2">
      <c r="A47" s="730"/>
      <c r="B47" s="731"/>
      <c r="C47" s="736"/>
      <c r="D47" s="733"/>
      <c r="E47" s="736"/>
      <c r="F47" s="736"/>
      <c r="G47" s="736"/>
      <c r="H47" s="736"/>
      <c r="I47" s="1750">
        <f t="shared" si="1"/>
        <v>0</v>
      </c>
      <c r="J47" s="736"/>
      <c r="K47" s="735"/>
    </row>
    <row r="48" spans="1:11" ht="12" customHeight="1" x14ac:dyDescent="0.2">
      <c r="A48" s="730"/>
      <c r="B48" s="731"/>
      <c r="C48" s="732"/>
      <c r="D48" s="733"/>
      <c r="E48" s="732"/>
      <c r="F48" s="732"/>
      <c r="G48" s="732"/>
      <c r="H48" s="732"/>
      <c r="I48" s="1750">
        <f t="shared" si="1"/>
        <v>0</v>
      </c>
      <c r="J48" s="732"/>
      <c r="K48" s="735"/>
    </row>
    <row r="49" spans="1:11" ht="12" customHeight="1" x14ac:dyDescent="0.2">
      <c r="A49" s="730"/>
      <c r="B49" s="731"/>
      <c r="C49" s="1750">
        <f>SUM(C31:C48)</f>
        <v>0</v>
      </c>
      <c r="D49" s="743"/>
      <c r="E49" s="1750">
        <f t="shared" ref="E49:J49" si="2">SUM(E31:E48)</f>
        <v>0</v>
      </c>
      <c r="F49" s="1750">
        <f t="shared" si="2"/>
        <v>0</v>
      </c>
      <c r="G49" s="1750">
        <f t="shared" si="2"/>
        <v>0</v>
      </c>
      <c r="H49" s="1750">
        <f t="shared" si="2"/>
        <v>0</v>
      </c>
      <c r="I49" s="1750">
        <f t="shared" si="2"/>
        <v>0</v>
      </c>
      <c r="J49" s="1750">
        <f t="shared" si="2"/>
        <v>0</v>
      </c>
      <c r="K49" s="735"/>
    </row>
    <row r="50" spans="1:11" ht="6" customHeight="1" x14ac:dyDescent="0.2">
      <c r="A50" s="744"/>
      <c r="B50" s="734"/>
      <c r="C50" s="734"/>
      <c r="D50" s="734"/>
      <c r="E50" s="734"/>
      <c r="F50" s="734"/>
      <c r="G50" s="734"/>
      <c r="H50" s="734"/>
      <c r="I50" s="734"/>
      <c r="J50" s="744"/>
    </row>
    <row r="51" spans="1:11" x14ac:dyDescent="0.2">
      <c r="A51" s="745" t="s">
        <v>1807</v>
      </c>
      <c r="B51" s="744"/>
      <c r="C51" s="735"/>
      <c r="D51" s="735"/>
      <c r="E51" s="735"/>
      <c r="F51" s="735"/>
      <c r="G51" s="735"/>
      <c r="H51" s="734"/>
      <c r="I51" s="734"/>
      <c r="J51" s="744"/>
    </row>
    <row r="52" spans="1:11" ht="11.25" customHeight="1" x14ac:dyDescent="0.2">
      <c r="A52" s="746" t="s">
        <v>912</v>
      </c>
      <c r="B52" s="2191" t="s">
        <v>584</v>
      </c>
      <c r="C52" s="2192"/>
      <c r="D52" s="2192"/>
      <c r="E52" s="747" t="s">
        <v>845</v>
      </c>
      <c r="F52" s="2193"/>
      <c r="G52" s="2194"/>
      <c r="H52" s="734"/>
      <c r="I52" s="734"/>
      <c r="J52" s="744"/>
    </row>
    <row r="53" spans="1:11" ht="11.25" customHeight="1" x14ac:dyDescent="0.2">
      <c r="A53" s="748" t="s">
        <v>913</v>
      </c>
      <c r="B53" s="749" t="s">
        <v>951</v>
      </c>
      <c r="C53" s="744"/>
      <c r="D53" s="735"/>
      <c r="E53" s="747" t="s">
        <v>497</v>
      </c>
      <c r="F53" s="2195"/>
      <c r="G53" s="2196"/>
      <c r="H53" s="734"/>
      <c r="I53" s="734"/>
      <c r="J53" s="744"/>
    </row>
    <row r="54" spans="1:11" ht="11.25" customHeight="1" x14ac:dyDescent="0.2">
      <c r="A54" s="750" t="s">
        <v>914</v>
      </c>
      <c r="B54" s="745" t="s">
        <v>952</v>
      </c>
      <c r="C54" s="744"/>
      <c r="D54" s="735"/>
      <c r="E54" s="747" t="s">
        <v>498</v>
      </c>
      <c r="F54" s="2195"/>
      <c r="G54" s="2196"/>
      <c r="H54" s="734"/>
      <c r="I54" s="734"/>
      <c r="J54" s="744"/>
    </row>
    <row r="55" spans="1:11" ht="6" customHeight="1" x14ac:dyDescent="0.2">
      <c r="A55" s="735"/>
      <c r="B55" s="751"/>
      <c r="C55" s="752"/>
      <c r="D55" s="753"/>
      <c r="E55" s="754"/>
      <c r="F55" s="755"/>
      <c r="G55" s="744"/>
      <c r="H55" s="734"/>
      <c r="I55" s="734"/>
      <c r="J55" s="744"/>
    </row>
    <row r="56" spans="1:11" ht="11.25" customHeight="1" x14ac:dyDescent="0.2">
      <c r="A56" s="751"/>
      <c r="B56" s="756"/>
      <c r="C56" s="735"/>
      <c r="D56" s="735"/>
      <c r="E56" s="735"/>
      <c r="F56" s="735"/>
      <c r="G56" s="734"/>
      <c r="H56" s="734"/>
      <c r="I56" s="734"/>
      <c r="J56" s="744"/>
    </row>
    <row r="57" spans="1:11" ht="11.25" customHeight="1" x14ac:dyDescent="0.2">
      <c r="A57" s="735"/>
      <c r="B57" s="757"/>
      <c r="C57" s="735"/>
      <c r="D57" s="735"/>
      <c r="E57" s="735"/>
      <c r="F57" s="735"/>
      <c r="G57" s="734"/>
      <c r="H57" s="734"/>
      <c r="I57" s="734"/>
      <c r="J57" s="744"/>
    </row>
    <row r="58" spans="1:11" ht="11.25" customHeight="1" x14ac:dyDescent="0.2">
      <c r="A58" s="751"/>
      <c r="B58" s="756"/>
      <c r="C58" s="735"/>
      <c r="D58" s="735"/>
      <c r="E58" s="735"/>
      <c r="F58" s="735"/>
      <c r="G58" s="734"/>
      <c r="H58" s="734"/>
      <c r="I58" s="734"/>
      <c r="J58" s="744"/>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activeCell="I11" sqref="I1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0" t="s">
        <v>856</v>
      </c>
      <c r="B1" s="2221"/>
      <c r="C1" s="2221"/>
      <c r="D1" s="2221"/>
      <c r="E1" s="2221"/>
      <c r="F1" s="2221"/>
      <c r="G1" s="2222"/>
      <c r="H1" s="1528"/>
      <c r="I1" s="758"/>
      <c r="J1" s="433"/>
    </row>
    <row r="2" spans="1:11" ht="26.25" x14ac:dyDescent="0.2">
      <c r="A2" s="2239" t="s">
        <v>1677</v>
      </c>
      <c r="B2" s="2240"/>
      <c r="C2" s="2240"/>
      <c r="D2" s="2240"/>
      <c r="E2" s="2241"/>
      <c r="F2" s="759" t="s">
        <v>904</v>
      </c>
      <c r="G2" s="760" t="s">
        <v>1674</v>
      </c>
      <c r="H2" s="760" t="s">
        <v>410</v>
      </c>
      <c r="I2" s="760" t="s">
        <v>1158</v>
      </c>
      <c r="J2" s="760" t="s">
        <v>1812</v>
      </c>
      <c r="K2" s="760" t="s">
        <v>138</v>
      </c>
    </row>
    <row r="3" spans="1:11" x14ac:dyDescent="0.2">
      <c r="A3" s="2242" t="s">
        <v>1962</v>
      </c>
      <c r="B3" s="2243"/>
      <c r="C3" s="2243"/>
      <c r="D3" s="2243"/>
      <c r="E3" s="2244"/>
      <c r="F3" s="761"/>
      <c r="G3" s="762"/>
      <c r="H3" s="762"/>
      <c r="I3" s="762"/>
      <c r="J3" s="763"/>
      <c r="K3" s="763"/>
    </row>
    <row r="4" spans="1:11" x14ac:dyDescent="0.2">
      <c r="A4" s="2245" t="s">
        <v>369</v>
      </c>
      <c r="B4" s="2246"/>
      <c r="C4" s="2246"/>
      <c r="D4" s="2246"/>
      <c r="E4" s="2192"/>
      <c r="F4" s="764"/>
      <c r="G4" s="765"/>
      <c r="H4" s="766"/>
      <c r="I4" s="765"/>
      <c r="J4" s="767"/>
      <c r="K4" s="767"/>
    </row>
    <row r="5" spans="1:11" x14ac:dyDescent="0.2">
      <c r="A5" s="2223" t="s">
        <v>1069</v>
      </c>
      <c r="B5" s="2224"/>
      <c r="C5" s="2224"/>
      <c r="D5" s="2224"/>
      <c r="E5" s="2225"/>
      <c r="F5" s="768" t="s">
        <v>848</v>
      </c>
      <c r="G5" s="769"/>
      <c r="H5" s="762"/>
      <c r="I5" s="770"/>
      <c r="J5" s="771"/>
      <c r="K5" s="771"/>
    </row>
    <row r="6" spans="1:11" x14ac:dyDescent="0.2">
      <c r="A6" s="772" t="s">
        <v>720</v>
      </c>
      <c r="B6" s="773"/>
      <c r="C6" s="773"/>
      <c r="D6" s="773"/>
      <c r="E6" s="774"/>
      <c r="F6" s="775" t="s">
        <v>849</v>
      </c>
      <c r="G6" s="762"/>
      <c r="H6" s="762"/>
      <c r="I6" s="762"/>
      <c r="J6" s="763"/>
      <c r="K6" s="763"/>
    </row>
    <row r="7" spans="1:11" x14ac:dyDescent="0.2">
      <c r="A7" s="776" t="s">
        <v>246</v>
      </c>
      <c r="B7" s="777"/>
      <c r="C7" s="777"/>
      <c r="D7" s="777"/>
      <c r="E7" s="778"/>
      <c r="F7" s="768" t="s">
        <v>850</v>
      </c>
      <c r="G7" s="765"/>
      <c r="H7" s="765"/>
      <c r="I7" s="765"/>
      <c r="J7" s="779"/>
      <c r="K7" s="763"/>
    </row>
    <row r="8" spans="1:11" x14ac:dyDescent="0.2">
      <c r="A8" s="776" t="s">
        <v>345</v>
      </c>
      <c r="B8" s="777"/>
      <c r="C8" s="777"/>
      <c r="D8" s="777"/>
      <c r="E8" s="778"/>
      <c r="F8" s="768" t="s">
        <v>851</v>
      </c>
      <c r="G8" s="780"/>
      <c r="H8" s="780"/>
      <c r="I8" s="780"/>
      <c r="J8" s="763"/>
      <c r="K8" s="767"/>
    </row>
    <row r="9" spans="1:11" x14ac:dyDescent="0.2">
      <c r="A9" s="776" t="s">
        <v>138</v>
      </c>
      <c r="B9" s="777"/>
      <c r="C9" s="777"/>
      <c r="D9" s="777"/>
      <c r="E9" s="778"/>
      <c r="F9" s="775" t="s">
        <v>853</v>
      </c>
      <c r="G9" s="780"/>
      <c r="H9" s="769"/>
      <c r="I9" s="769"/>
      <c r="J9" s="779"/>
      <c r="K9" s="763"/>
    </row>
    <row r="10" spans="1:11" x14ac:dyDescent="0.2">
      <c r="A10" s="2223" t="s">
        <v>1813</v>
      </c>
      <c r="B10" s="2224"/>
      <c r="C10" s="2224"/>
      <c r="D10" s="2224"/>
      <c r="E10" s="2226"/>
      <c r="F10" s="781" t="s">
        <v>862</v>
      </c>
      <c r="G10" s="780"/>
      <c r="H10" s="782"/>
      <c r="I10" s="762"/>
      <c r="J10" s="763"/>
      <c r="K10" s="763"/>
    </row>
    <row r="11" spans="1:11" x14ac:dyDescent="0.2">
      <c r="A11" s="2223" t="s">
        <v>160</v>
      </c>
      <c r="B11" s="2224"/>
      <c r="C11" s="2224"/>
      <c r="D11" s="2224"/>
      <c r="E11" s="2225"/>
      <c r="F11" s="768" t="s">
        <v>852</v>
      </c>
      <c r="G11" s="769"/>
      <c r="H11" s="762"/>
      <c r="I11" s="762"/>
      <c r="J11" s="763"/>
      <c r="K11" s="771"/>
    </row>
    <row r="12" spans="1:11" ht="13.5" thickBot="1" x14ac:dyDescent="0.25">
      <c r="A12" s="2250" t="s">
        <v>905</v>
      </c>
      <c r="B12" s="2251"/>
      <c r="C12" s="2251"/>
      <c r="D12" s="2251"/>
      <c r="E12" s="2252"/>
      <c r="F12" s="1751"/>
      <c r="G12" s="1752">
        <f>SUM(G5:G11)</f>
        <v>0</v>
      </c>
      <c r="H12" s="1752">
        <f>SUM(H5:H11)</f>
        <v>0</v>
      </c>
      <c r="I12" s="1752">
        <f>SUM(I5:I11)</f>
        <v>0</v>
      </c>
      <c r="J12" s="1752">
        <f>SUM(J5:J11)</f>
        <v>0</v>
      </c>
      <c r="K12" s="1752">
        <f>SUM(K5:K11)</f>
        <v>0</v>
      </c>
    </row>
    <row r="13" spans="1:11" ht="13.5" thickTop="1" x14ac:dyDescent="0.2">
      <c r="A13" s="2247" t="s">
        <v>370</v>
      </c>
      <c r="B13" s="2248"/>
      <c r="C13" s="2248"/>
      <c r="D13" s="2248"/>
      <c r="E13" s="2249"/>
      <c r="F13" s="783"/>
      <c r="G13" s="784"/>
      <c r="H13" s="785"/>
      <c r="I13" s="786"/>
      <c r="J13" s="786"/>
      <c r="K13" s="786"/>
    </row>
    <row r="14" spans="1:11" x14ac:dyDescent="0.2">
      <c r="A14" s="2230" t="s">
        <v>456</v>
      </c>
      <c r="B14" s="2230"/>
      <c r="C14" s="2230"/>
      <c r="D14" s="2230"/>
      <c r="E14" s="2231"/>
      <c r="F14" s="787" t="s">
        <v>854</v>
      </c>
      <c r="G14" s="780"/>
      <c r="H14" s="762"/>
      <c r="I14" s="769"/>
      <c r="J14" s="771"/>
      <c r="K14" s="763"/>
    </row>
    <row r="15" spans="1:11" x14ac:dyDescent="0.2">
      <c r="A15" s="2224" t="s">
        <v>4</v>
      </c>
      <c r="B15" s="2224"/>
      <c r="C15" s="2224"/>
      <c r="D15" s="2224"/>
      <c r="E15" s="2225"/>
      <c r="F15" s="787" t="s">
        <v>855</v>
      </c>
      <c r="G15" s="769"/>
      <c r="H15" s="762"/>
      <c r="I15" s="762"/>
      <c r="J15" s="763"/>
      <c r="K15" s="763"/>
    </row>
    <row r="16" spans="1:11" x14ac:dyDescent="0.2">
      <c r="A16" s="2224" t="s">
        <v>298</v>
      </c>
      <c r="B16" s="2224"/>
      <c r="C16" s="2224"/>
      <c r="D16" s="2224"/>
      <c r="E16" s="2225"/>
      <c r="F16" s="787" t="s">
        <v>923</v>
      </c>
      <c r="G16" s="770"/>
      <c r="H16" s="765"/>
      <c r="I16" s="765"/>
      <c r="J16" s="767"/>
      <c r="K16" s="767"/>
    </row>
    <row r="17" spans="1:11" x14ac:dyDescent="0.2">
      <c r="A17" s="2255" t="s">
        <v>935</v>
      </c>
      <c r="B17" s="2255"/>
      <c r="C17" s="2255"/>
      <c r="D17" s="2255"/>
      <c r="E17" s="2256"/>
      <c r="F17" s="788"/>
      <c r="G17" s="789"/>
      <c r="H17" s="790"/>
      <c r="I17" s="790"/>
      <c r="J17" s="791"/>
      <c r="K17" s="792"/>
    </row>
    <row r="18" spans="1:11" x14ac:dyDescent="0.2">
      <c r="A18" s="2234" t="s">
        <v>368</v>
      </c>
      <c r="B18" s="2235"/>
      <c r="C18" s="2235"/>
      <c r="D18" s="2235"/>
      <c r="E18" s="2236"/>
      <c r="F18" s="787" t="s">
        <v>932</v>
      </c>
      <c r="G18" s="780"/>
      <c r="H18" s="780"/>
      <c r="I18" s="780"/>
      <c r="J18" s="763"/>
      <c r="K18" s="793"/>
    </row>
    <row r="19" spans="1:11" ht="21.75" customHeight="1" x14ac:dyDescent="0.2">
      <c r="A19" s="2232" t="s">
        <v>1809</v>
      </c>
      <c r="B19" s="2232"/>
      <c r="C19" s="2232"/>
      <c r="D19" s="2232"/>
      <c r="E19" s="2233"/>
      <c r="F19" s="787" t="s">
        <v>933</v>
      </c>
      <c r="G19" s="780"/>
      <c r="H19" s="780"/>
      <c r="I19" s="780"/>
      <c r="J19" s="763"/>
      <c r="K19" s="793"/>
    </row>
    <row r="20" spans="1:11" x14ac:dyDescent="0.2">
      <c r="A20" s="2234" t="s">
        <v>1814</v>
      </c>
      <c r="B20" s="2235"/>
      <c r="C20" s="2235"/>
      <c r="D20" s="2235"/>
      <c r="E20" s="2236"/>
      <c r="F20" s="787" t="s">
        <v>934</v>
      </c>
      <c r="G20" s="780"/>
      <c r="H20" s="780"/>
      <c r="I20" s="780"/>
      <c r="J20" s="763"/>
      <c r="K20" s="793"/>
    </row>
    <row r="21" spans="1:11" ht="13.5" thickBot="1" x14ac:dyDescent="0.25">
      <c r="A21" s="2253" t="s">
        <v>638</v>
      </c>
      <c r="B21" s="2253"/>
      <c r="C21" s="2253"/>
      <c r="D21" s="2253"/>
      <c r="E21" s="2253"/>
      <c r="F21" s="1753"/>
      <c r="G21" s="790"/>
      <c r="H21" s="794"/>
      <c r="I21" s="794"/>
      <c r="J21" s="1754">
        <f>SUM(J18:J20)</f>
        <v>0</v>
      </c>
      <c r="K21" s="791"/>
    </row>
    <row r="22" spans="1:11" ht="13.5" thickTop="1" x14ac:dyDescent="0.2">
      <c r="A22" s="2224" t="s">
        <v>1815</v>
      </c>
      <c r="B22" s="2224"/>
      <c r="C22" s="2224"/>
      <c r="D22" s="2224"/>
      <c r="E22" s="2225"/>
      <c r="F22" s="787" t="s">
        <v>862</v>
      </c>
      <c r="G22" s="780"/>
      <c r="H22" s="762"/>
      <c r="I22" s="762"/>
      <c r="J22" s="795"/>
      <c r="K22" s="763"/>
    </row>
    <row r="23" spans="1:11" ht="13.5" thickBot="1" x14ac:dyDescent="0.25">
      <c r="A23" s="2254" t="s">
        <v>906</v>
      </c>
      <c r="B23" s="2253"/>
      <c r="C23" s="2253"/>
      <c r="D23" s="2253"/>
      <c r="E23" s="2253"/>
      <c r="F23" s="1755"/>
      <c r="G23" s="1752">
        <f>SUM(G14:G16,G21,G22)</f>
        <v>0</v>
      </c>
      <c r="H23" s="1752">
        <f>SUM(H14:H16,H21,H22)</f>
        <v>0</v>
      </c>
      <c r="I23" s="1752">
        <f>SUM(I14:I16,I21,I22)</f>
        <v>0</v>
      </c>
      <c r="J23" s="1752">
        <f>SUM(J14:J16,J21,J22)</f>
        <v>0</v>
      </c>
      <c r="K23" s="1752">
        <f>SUM(K14:K16,K21,K22)</f>
        <v>0</v>
      </c>
    </row>
    <row r="24" spans="1:11" ht="14.25" thickTop="1" thickBot="1" x14ac:dyDescent="0.25">
      <c r="A24" s="2254" t="s">
        <v>1963</v>
      </c>
      <c r="B24" s="2253"/>
      <c r="C24" s="2253"/>
      <c r="D24" s="2253"/>
      <c r="E24" s="2253"/>
      <c r="F24" s="1756"/>
      <c r="G24" s="1757">
        <f>SUM(G3,G12)-G23</f>
        <v>0</v>
      </c>
      <c r="H24" s="1757">
        <f>SUM(H3,H12)-H23</f>
        <v>0</v>
      </c>
      <c r="I24" s="1757">
        <f>SUM(I3,I12)-I23</f>
        <v>0</v>
      </c>
      <c r="J24" s="1757">
        <f>SUM(J3,J12)-J23</f>
        <v>0</v>
      </c>
      <c r="K24" s="1757">
        <f>SUM(K3,K12)-K23</f>
        <v>0</v>
      </c>
    </row>
    <row r="25" spans="1:11" ht="13.5" thickTop="1" x14ac:dyDescent="0.2">
      <c r="A25" s="796" t="s">
        <v>420</v>
      </c>
      <c r="B25" s="797"/>
      <c r="C25" s="797"/>
      <c r="D25" s="797"/>
      <c r="E25" s="798"/>
      <c r="F25" s="799">
        <v>714</v>
      </c>
      <c r="G25" s="800"/>
      <c r="H25" s="800"/>
      <c r="I25" s="800"/>
      <c r="J25" s="795"/>
      <c r="K25" s="795"/>
    </row>
    <row r="26" spans="1:11" ht="13.5" thickBot="1" x14ac:dyDescent="0.25">
      <c r="A26" s="796" t="s">
        <v>342</v>
      </c>
      <c r="B26" s="797"/>
      <c r="C26" s="797"/>
      <c r="D26" s="797"/>
      <c r="E26" s="798"/>
      <c r="F26" s="799">
        <v>730</v>
      </c>
      <c r="G26" s="1752">
        <f>G24-G25</f>
        <v>0</v>
      </c>
      <c r="H26" s="1752">
        <f>H24-H25</f>
        <v>0</v>
      </c>
      <c r="I26" s="1752">
        <f>I24-I25</f>
        <v>0</v>
      </c>
      <c r="J26" s="1752">
        <f>J24-J25</f>
        <v>0</v>
      </c>
      <c r="K26" s="1752">
        <f>K24-K25</f>
        <v>0</v>
      </c>
    </row>
    <row r="27" spans="1:11" ht="5.25" customHeight="1" thickTop="1" x14ac:dyDescent="0.2">
      <c r="I27" s="202"/>
      <c r="J27" s="202"/>
    </row>
    <row r="28" spans="1:11" ht="29.25" customHeight="1" x14ac:dyDescent="0.2">
      <c r="A28" s="1873" t="s">
        <v>1909</v>
      </c>
      <c r="B28" s="1874"/>
      <c r="C28" s="1874"/>
      <c r="D28" s="1874"/>
      <c r="E28" s="1875"/>
      <c r="F28" s="801"/>
      <c r="G28" s="802"/>
    </row>
    <row r="29" spans="1:11" x14ac:dyDescent="0.2">
      <c r="B29" s="501"/>
      <c r="C29" s="501"/>
      <c r="D29" s="501"/>
      <c r="F29" s="202"/>
      <c r="G29" s="803"/>
    </row>
    <row r="30" spans="1:11" x14ac:dyDescent="0.2">
      <c r="A30" s="804" t="s">
        <v>572</v>
      </c>
      <c r="B30" s="805"/>
      <c r="C30" s="804" t="s">
        <v>383</v>
      </c>
      <c r="D30" s="805"/>
      <c r="E30" s="806" t="s">
        <v>768</v>
      </c>
      <c r="F30" s="202"/>
      <c r="G30" s="803"/>
    </row>
    <row r="31" spans="1:11" x14ac:dyDescent="0.2">
      <c r="A31" s="807"/>
      <c r="D31" s="237"/>
      <c r="E31" s="808" t="s">
        <v>769</v>
      </c>
      <c r="F31" s="809" t="s">
        <v>539</v>
      </c>
      <c r="G31" s="762"/>
      <c r="H31" s="2227"/>
      <c r="I31" s="2228"/>
      <c r="J31" s="2228"/>
      <c r="K31" s="2228"/>
    </row>
    <row r="32" spans="1:11" x14ac:dyDescent="0.2">
      <c r="A32" s="807"/>
      <c r="B32" s="237"/>
      <c r="C32" s="237"/>
      <c r="D32" s="237"/>
      <c r="E32" s="803"/>
      <c r="F32" s="809" t="s">
        <v>540</v>
      </c>
      <c r="G32" s="762"/>
      <c r="H32" s="2229"/>
      <c r="I32" s="2228"/>
      <c r="J32" s="2228"/>
      <c r="K32" s="2228"/>
    </row>
    <row r="33" spans="1:11" ht="1.5" customHeight="1" x14ac:dyDescent="0.2">
      <c r="A33" s="810" t="s">
        <v>1169</v>
      </c>
      <c r="B33" s="364"/>
      <c r="C33" s="364"/>
      <c r="D33" s="364"/>
      <c r="E33" s="364"/>
      <c r="F33" s="364"/>
      <c r="G33" s="811"/>
      <c r="H33" s="2229"/>
      <c r="I33" s="2228"/>
      <c r="J33" s="2228"/>
      <c r="K33" s="2228"/>
    </row>
    <row r="34" spans="1:11" x14ac:dyDescent="0.2">
      <c r="A34" s="812" t="s">
        <v>1816</v>
      </c>
      <c r="B34" s="364"/>
      <c r="C34" s="364"/>
      <c r="D34" s="364"/>
      <c r="E34" s="364"/>
      <c r="F34" s="364"/>
      <c r="G34" s="811"/>
    </row>
    <row r="35" spans="1:11" ht="15" x14ac:dyDescent="0.2">
      <c r="A35" s="823" t="s">
        <v>907</v>
      </c>
      <c r="B35" s="813"/>
      <c r="C35" s="813"/>
      <c r="D35" s="813"/>
      <c r="E35" s="813"/>
      <c r="F35" s="813"/>
      <c r="G35" s="814"/>
      <c r="H35" s="815"/>
    </row>
    <row r="36" spans="1:11" x14ac:dyDescent="0.2">
      <c r="A36" s="776" t="s">
        <v>1109</v>
      </c>
      <c r="B36" s="816"/>
      <c r="C36" s="816"/>
      <c r="D36" s="816"/>
      <c r="E36" s="816"/>
      <c r="F36" s="817"/>
      <c r="G36" s="763"/>
    </row>
    <row r="37" spans="1:11" x14ac:dyDescent="0.2">
      <c r="A37" s="818" t="s">
        <v>896</v>
      </c>
      <c r="B37" s="816"/>
      <c r="C37" s="816"/>
      <c r="D37" s="816"/>
      <c r="E37" s="816"/>
      <c r="F37" s="817"/>
      <c r="G37" s="763"/>
    </row>
    <row r="38" spans="1:11" x14ac:dyDescent="0.2">
      <c r="A38" s="818" t="s">
        <v>993</v>
      </c>
      <c r="B38" s="816"/>
      <c r="C38" s="816"/>
      <c r="D38" s="816"/>
      <c r="E38" s="816"/>
      <c r="F38" s="817"/>
      <c r="G38" s="763"/>
    </row>
    <row r="39" spans="1:11" x14ac:dyDescent="0.2">
      <c r="A39" s="818" t="s">
        <v>994</v>
      </c>
      <c r="B39" s="816"/>
      <c r="C39" s="816"/>
      <c r="D39" s="816"/>
      <c r="E39" s="816"/>
      <c r="F39" s="817"/>
      <c r="G39" s="763"/>
    </row>
    <row r="40" spans="1:11" x14ac:dyDescent="0.2">
      <c r="A40" s="818" t="s">
        <v>995</v>
      </c>
      <c r="B40" s="816"/>
      <c r="C40" s="816"/>
      <c r="D40" s="816"/>
      <c r="E40" s="816"/>
      <c r="F40" s="817"/>
      <c r="G40" s="763"/>
    </row>
    <row r="41" spans="1:11" x14ac:dyDescent="0.2">
      <c r="A41" s="2224" t="s">
        <v>541</v>
      </c>
      <c r="B41" s="2237"/>
      <c r="C41" s="2237"/>
      <c r="D41" s="2237"/>
      <c r="E41" s="2237"/>
      <c r="F41" s="2238"/>
      <c r="G41" s="763"/>
    </row>
    <row r="42" spans="1:11" x14ac:dyDescent="0.2">
      <c r="A42" s="818" t="s">
        <v>970</v>
      </c>
      <c r="B42" s="816"/>
      <c r="C42" s="816"/>
      <c r="D42" s="816"/>
      <c r="E42" s="816"/>
      <c r="F42" s="817"/>
      <c r="G42" s="763"/>
    </row>
    <row r="43" spans="1:11" x14ac:dyDescent="0.2">
      <c r="A43" s="818" t="s">
        <v>971</v>
      </c>
      <c r="B43" s="816"/>
      <c r="C43" s="816"/>
      <c r="D43" s="816"/>
      <c r="E43" s="816"/>
      <c r="F43" s="817"/>
      <c r="G43" s="763"/>
    </row>
    <row r="44" spans="1:11" x14ac:dyDescent="0.2">
      <c r="A44" s="818" t="s">
        <v>972</v>
      </c>
      <c r="B44" s="816"/>
      <c r="C44" s="816"/>
      <c r="D44" s="816"/>
      <c r="E44" s="816"/>
      <c r="F44" s="817"/>
      <c r="G44" s="763"/>
    </row>
    <row r="45" spans="1:11" ht="6.75" customHeight="1" x14ac:dyDescent="0.2"/>
    <row r="46" spans="1:11" ht="15" x14ac:dyDescent="0.2">
      <c r="A46" s="1529" t="s">
        <v>1810</v>
      </c>
      <c r="B46" s="408" t="s">
        <v>1675</v>
      </c>
    </row>
    <row r="47" spans="1:11" s="821" customFormat="1" ht="12.75" customHeight="1" x14ac:dyDescent="0.2">
      <c r="A47" s="819"/>
      <c r="B47" s="820" t="s">
        <v>1676</v>
      </c>
      <c r="E47" s="820"/>
      <c r="K47" s="822"/>
    </row>
    <row r="48" spans="1:11" ht="12.75" customHeight="1" x14ac:dyDescent="0.2">
      <c r="A48" s="1530"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2"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90" zoomScaleNormal="90" workbookViewId="0">
      <selection activeCell="I12" sqref="I12"/>
    </sheetView>
  </sheetViews>
  <sheetFormatPr defaultColWidth="9.140625" defaultRowHeight="12.75" x14ac:dyDescent="0.2"/>
  <cols>
    <col min="1" max="1" width="28.85546875" style="806"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9" t="s">
        <v>1908</v>
      </c>
      <c r="B1" s="2260"/>
      <c r="C1" s="2261"/>
      <c r="D1" s="824"/>
      <c r="E1" s="825"/>
      <c r="F1" s="825"/>
      <c r="G1" s="826"/>
      <c r="H1" s="827"/>
      <c r="I1" s="828"/>
      <c r="J1" s="2257"/>
      <c r="K1" s="2258"/>
      <c r="L1" s="2258"/>
    </row>
    <row r="2" spans="1:14" ht="69.75" customHeight="1" x14ac:dyDescent="0.2">
      <c r="A2" s="829" t="s">
        <v>1678</v>
      </c>
      <c r="B2" s="830" t="s">
        <v>378</v>
      </c>
      <c r="C2" s="831" t="s">
        <v>1964</v>
      </c>
      <c r="D2" s="831" t="s">
        <v>1965</v>
      </c>
      <c r="E2" s="831" t="s">
        <v>1966</v>
      </c>
      <c r="F2" s="831" t="s">
        <v>1967</v>
      </c>
      <c r="G2" s="831" t="s">
        <v>605</v>
      </c>
      <c r="H2" s="831" t="s">
        <v>1968</v>
      </c>
      <c r="I2" s="831" t="s">
        <v>1969</v>
      </c>
      <c r="J2" s="831" t="s">
        <v>1970</v>
      </c>
      <c r="K2" s="831" t="s">
        <v>1971</v>
      </c>
      <c r="L2" s="831" t="s">
        <v>1972</v>
      </c>
      <c r="M2" s="832"/>
      <c r="N2" s="832"/>
    </row>
    <row r="3" spans="1:14" ht="13.5" thickBot="1" x14ac:dyDescent="0.25">
      <c r="A3" s="1627" t="s">
        <v>892</v>
      </c>
      <c r="B3" s="1628">
        <v>210</v>
      </c>
      <c r="C3" s="833"/>
      <c r="D3" s="833"/>
      <c r="E3" s="833"/>
      <c r="F3" s="1754">
        <f>(C3+D3)-E3</f>
        <v>0</v>
      </c>
      <c r="G3" s="834"/>
      <c r="H3" s="833"/>
      <c r="I3" s="833"/>
      <c r="J3" s="833"/>
      <c r="K3" s="1763">
        <f>(H3+I3)-J3</f>
        <v>0</v>
      </c>
      <c r="L3" s="1763">
        <f>F3-K3</f>
        <v>0</v>
      </c>
      <c r="M3" s="832"/>
      <c r="N3" s="832"/>
    </row>
    <row r="4" spans="1:14" ht="15" customHeight="1" thickTop="1" x14ac:dyDescent="0.2">
      <c r="A4" s="1629" t="s">
        <v>158</v>
      </c>
      <c r="B4" s="1628">
        <v>220</v>
      </c>
      <c r="C4" s="779"/>
      <c r="D4" s="779"/>
      <c r="E4" s="779"/>
      <c r="F4" s="771"/>
      <c r="G4" s="835"/>
      <c r="H4" s="836"/>
      <c r="I4" s="836"/>
      <c r="J4" s="836"/>
      <c r="K4" s="837"/>
      <c r="L4" s="771"/>
    </row>
    <row r="5" spans="1:14" ht="13.5" thickBot="1" x14ac:dyDescent="0.25">
      <c r="A5" s="776" t="s">
        <v>893</v>
      </c>
      <c r="B5" s="838">
        <v>221</v>
      </c>
      <c r="C5" s="839"/>
      <c r="D5" s="839"/>
      <c r="E5" s="839"/>
      <c r="F5" s="1754">
        <f>(C5+D5)-E5</f>
        <v>0</v>
      </c>
      <c r="G5" s="835"/>
      <c r="H5" s="840"/>
      <c r="I5" s="840"/>
      <c r="J5" s="840"/>
      <c r="K5" s="791"/>
      <c r="L5" s="1763">
        <f>F5-K5</f>
        <v>0</v>
      </c>
    </row>
    <row r="6" spans="1:14" ht="14.25" thickTop="1" thickBot="1" x14ac:dyDescent="0.25">
      <c r="A6" s="776" t="s">
        <v>1117</v>
      </c>
      <c r="B6" s="838">
        <v>222</v>
      </c>
      <c r="C6" s="763"/>
      <c r="D6" s="763"/>
      <c r="E6" s="763"/>
      <c r="F6" s="1754">
        <f>(C6+D6)-E6</f>
        <v>0</v>
      </c>
      <c r="G6" s="835">
        <v>50</v>
      </c>
      <c r="H6" s="763"/>
      <c r="I6" s="763"/>
      <c r="J6" s="763"/>
      <c r="K6" s="1763">
        <f>(H6+I6)-J6</f>
        <v>0</v>
      </c>
      <c r="L6" s="1763">
        <f>F6-K6</f>
        <v>0</v>
      </c>
    </row>
    <row r="7" spans="1:14" ht="15" customHeight="1" thickTop="1" x14ac:dyDescent="0.2">
      <c r="A7" s="1629" t="s">
        <v>159</v>
      </c>
      <c r="B7" s="1628">
        <v>230</v>
      </c>
      <c r="C7" s="779"/>
      <c r="D7" s="779"/>
      <c r="E7" s="779"/>
      <c r="F7" s="771"/>
      <c r="G7" s="841"/>
      <c r="H7" s="779"/>
      <c r="I7" s="779"/>
      <c r="J7" s="779"/>
      <c r="K7" s="771"/>
      <c r="L7" s="771"/>
    </row>
    <row r="8" spans="1:14" ht="13.5" thickBot="1" x14ac:dyDescent="0.25">
      <c r="A8" s="776" t="s">
        <v>1118</v>
      </c>
      <c r="B8" s="838">
        <v>231</v>
      </c>
      <c r="C8" s="842">
        <v>163516</v>
      </c>
      <c r="D8" s="842"/>
      <c r="E8" s="842"/>
      <c r="F8" s="1754">
        <f>(C8+D8)-E8</f>
        <v>163516</v>
      </c>
      <c r="G8" s="841">
        <v>50</v>
      </c>
      <c r="H8" s="763">
        <v>11445</v>
      </c>
      <c r="I8" s="763">
        <v>3270</v>
      </c>
      <c r="J8" s="763"/>
      <c r="K8" s="1763">
        <f>(H8+I8)-J8</f>
        <v>14715</v>
      </c>
      <c r="L8" s="1763">
        <f>F8-K8</f>
        <v>148801</v>
      </c>
    </row>
    <row r="9" spans="1:14" ht="14.25" thickTop="1" thickBot="1" x14ac:dyDescent="0.25">
      <c r="A9" s="776" t="s">
        <v>1119</v>
      </c>
      <c r="B9" s="838">
        <v>232</v>
      </c>
      <c r="C9" s="763"/>
      <c r="D9" s="763"/>
      <c r="E9" s="763"/>
      <c r="F9" s="1754">
        <f>(C9+D9)-E9</f>
        <v>0</v>
      </c>
      <c r="G9" s="841">
        <v>20</v>
      </c>
      <c r="H9" s="763"/>
      <c r="I9" s="763"/>
      <c r="J9" s="763"/>
      <c r="K9" s="1763">
        <f>(H9+I9)-J9</f>
        <v>0</v>
      </c>
      <c r="L9" s="1763">
        <f>F9-K9</f>
        <v>0</v>
      </c>
    </row>
    <row r="10" spans="1:14" ht="24" thickTop="1" thickBot="1" x14ac:dyDescent="0.25">
      <c r="A10" s="843" t="s">
        <v>1120</v>
      </c>
      <c r="B10" s="838">
        <v>240</v>
      </c>
      <c r="C10" s="844"/>
      <c r="D10" s="844"/>
      <c r="E10" s="844"/>
      <c r="F10" s="1758">
        <f>(C10+D10)-E10</f>
        <v>0</v>
      </c>
      <c r="G10" s="841">
        <v>20</v>
      </c>
      <c r="H10" s="845"/>
      <c r="I10" s="845"/>
      <c r="J10" s="845"/>
      <c r="K10" s="1763">
        <f>(H10+I10)-J10</f>
        <v>0</v>
      </c>
      <c r="L10" s="1763">
        <f>F10-K10</f>
        <v>0</v>
      </c>
    </row>
    <row r="11" spans="1:14" ht="13.5" thickTop="1" x14ac:dyDescent="0.2">
      <c r="A11" s="1630" t="s">
        <v>1136</v>
      </c>
      <c r="B11" s="1628">
        <v>250</v>
      </c>
      <c r="C11" s="779"/>
      <c r="D11" s="779"/>
      <c r="E11" s="779"/>
      <c r="F11" s="771"/>
      <c r="G11" s="841"/>
      <c r="H11" s="779"/>
      <c r="I11" s="779"/>
      <c r="J11" s="779"/>
      <c r="K11" s="771"/>
      <c r="L11" s="771"/>
    </row>
    <row r="12" spans="1:14" ht="13.5" thickBot="1" x14ac:dyDescent="0.25">
      <c r="A12" s="846" t="s">
        <v>1121</v>
      </c>
      <c r="B12" s="838">
        <v>251</v>
      </c>
      <c r="C12" s="842">
        <v>62994</v>
      </c>
      <c r="D12" s="842"/>
      <c r="E12" s="842"/>
      <c r="F12" s="1754">
        <f>(C12+D12)-E12</f>
        <v>62994</v>
      </c>
      <c r="G12" s="841">
        <v>10</v>
      </c>
      <c r="H12" s="763">
        <v>20509</v>
      </c>
      <c r="I12" s="763">
        <v>6299</v>
      </c>
      <c r="J12" s="763"/>
      <c r="K12" s="1763">
        <f>(H12+I12)-J12</f>
        <v>26808</v>
      </c>
      <c r="L12" s="1763">
        <f>F12-K12</f>
        <v>36186</v>
      </c>
    </row>
    <row r="13" spans="1:14" ht="14.25" thickTop="1" thickBot="1" x14ac:dyDescent="0.25">
      <c r="A13" s="846" t="s">
        <v>1122</v>
      </c>
      <c r="B13" s="838">
        <v>252</v>
      </c>
      <c r="C13" s="842"/>
      <c r="D13" s="842"/>
      <c r="E13" s="842"/>
      <c r="F13" s="1754">
        <f>(C13+D13)-E13</f>
        <v>0</v>
      </c>
      <c r="G13" s="841">
        <v>5</v>
      </c>
      <c r="H13" s="763"/>
      <c r="I13" s="763"/>
      <c r="J13" s="763"/>
      <c r="K13" s="1763">
        <f>(H13+I13)-J13</f>
        <v>0</v>
      </c>
      <c r="L13" s="1763">
        <f>F13-K13</f>
        <v>0</v>
      </c>
    </row>
    <row r="14" spans="1:14" ht="14.25" thickTop="1" thickBot="1" x14ac:dyDescent="0.25">
      <c r="A14" s="846" t="s">
        <v>1123</v>
      </c>
      <c r="B14" s="838">
        <v>253</v>
      </c>
      <c r="C14" s="763"/>
      <c r="D14" s="763"/>
      <c r="E14" s="763"/>
      <c r="F14" s="1754">
        <f>(C14+D14)-E14</f>
        <v>0</v>
      </c>
      <c r="G14" s="841">
        <v>3</v>
      </c>
      <c r="H14" s="763"/>
      <c r="I14" s="763"/>
      <c r="J14" s="763"/>
      <c r="K14" s="1763">
        <f>(H14+I14)-J14</f>
        <v>0</v>
      </c>
      <c r="L14" s="1763">
        <f>F14-K14</f>
        <v>0</v>
      </c>
    </row>
    <row r="15" spans="1:14" ht="15" customHeight="1" thickTop="1" thickBot="1" x14ac:dyDescent="0.25">
      <c r="A15" s="1629" t="s">
        <v>528</v>
      </c>
      <c r="B15" s="1628">
        <v>260</v>
      </c>
      <c r="C15" s="842"/>
      <c r="D15" s="842"/>
      <c r="E15" s="842"/>
      <c r="F15" s="1754">
        <f>(C15+D15)-E15</f>
        <v>0</v>
      </c>
      <c r="G15" s="847" t="s">
        <v>862</v>
      </c>
      <c r="H15" s="779"/>
      <c r="I15" s="779"/>
      <c r="J15" s="779"/>
      <c r="K15" s="779"/>
      <c r="L15" s="1763">
        <f>F15-K15</f>
        <v>0</v>
      </c>
    </row>
    <row r="16" spans="1:14" ht="15" customHeight="1" thickTop="1" thickBot="1" x14ac:dyDescent="0.25">
      <c r="A16" s="1759" t="s">
        <v>643</v>
      </c>
      <c r="B16" s="1760">
        <v>200</v>
      </c>
      <c r="C16" s="1754">
        <f>SUM(C3,C5:C6,C8:C10,C12:C15)</f>
        <v>226510</v>
      </c>
      <c r="D16" s="1754">
        <f>SUM(D3,D5:D6,D8:D10,D12:D15)</f>
        <v>0</v>
      </c>
      <c r="E16" s="1754">
        <f>SUM(E3,E5:E6,E8:E10,E12:E15)</f>
        <v>0</v>
      </c>
      <c r="F16" s="1754">
        <f>SUM(F3,F5:F6,F8:F10,F12:F15)</f>
        <v>226510</v>
      </c>
      <c r="G16" s="841"/>
      <c r="H16" s="1754">
        <f>SUM(H3,H6,H8:H10,H12:H14,)</f>
        <v>31954</v>
      </c>
      <c r="I16" s="1754">
        <f>SUM(I3,I6,I8:I10,I12:I14,)</f>
        <v>9569</v>
      </c>
      <c r="J16" s="1754">
        <f>SUM(J3,J6,J8:J10,J12:J14,)</f>
        <v>0</v>
      </c>
      <c r="K16" s="1754">
        <f>(H16+I16)-J16</f>
        <v>41523</v>
      </c>
      <c r="L16" s="1754">
        <f>F16-K16</f>
        <v>184987</v>
      </c>
    </row>
    <row r="17" spans="1:12" ht="15" customHeight="1" thickTop="1" thickBot="1" x14ac:dyDescent="0.25">
      <c r="A17" s="1631" t="s">
        <v>291</v>
      </c>
      <c r="B17" s="1628">
        <v>700</v>
      </c>
      <c r="C17" s="767"/>
      <c r="D17" s="767"/>
      <c r="E17" s="767"/>
      <c r="F17" s="1754">
        <f>SUM('Expenditures 15-22'!I114,'Expenditures 15-22'!I151,'Expenditures 15-22'!I210,'Expenditures 15-22'!I312,'Expenditures 15-22'!I342,'Expenditures 15-22'!I367)</f>
        <v>0</v>
      </c>
      <c r="G17" s="835">
        <v>10</v>
      </c>
      <c r="H17" s="767"/>
      <c r="I17" s="1763">
        <f>F17/G17</f>
        <v>0</v>
      </c>
      <c r="J17" s="767"/>
      <c r="K17" s="793"/>
      <c r="L17" s="793"/>
    </row>
    <row r="18" spans="1:12" ht="14.25" thickTop="1" thickBot="1" x14ac:dyDescent="0.25">
      <c r="A18" s="1761" t="s">
        <v>685</v>
      </c>
      <c r="B18" s="1762"/>
      <c r="C18" s="769"/>
      <c r="D18" s="769"/>
      <c r="E18" s="769"/>
      <c r="F18" s="848"/>
      <c r="G18" s="849"/>
      <c r="H18" s="771"/>
      <c r="I18" s="1754">
        <f>SUM(I16,I17)</f>
        <v>9569</v>
      </c>
      <c r="J18" s="771"/>
      <c r="K18" s="771"/>
      <c r="L18" s="771"/>
    </row>
    <row r="19" spans="1:12" ht="12" customHeight="1" thickTop="1" x14ac:dyDescent="0.2">
      <c r="F19" s="503"/>
      <c r="L19" s="503"/>
    </row>
    <row r="20" spans="1:12" ht="12" customHeight="1" x14ac:dyDescent="0.2">
      <c r="A20" s="850"/>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1"/>
      <c r="B23" s="501"/>
      <c r="F23" s="503"/>
      <c r="L23" s="503"/>
    </row>
    <row r="24" spans="1:12" ht="12" customHeight="1" x14ac:dyDescent="0.2">
      <c r="B24" s="501"/>
      <c r="F24" s="503"/>
      <c r="L24" s="503"/>
    </row>
    <row r="25" spans="1:12" x14ac:dyDescent="0.2">
      <c r="F25" s="503"/>
      <c r="L25" s="503"/>
    </row>
    <row r="26" spans="1:12" ht="10.9" customHeight="1" x14ac:dyDescent="0.2">
      <c r="A26" s="852"/>
      <c r="B26" s="247"/>
      <c r="D26" s="347"/>
    </row>
    <row r="27" spans="1:12" x14ac:dyDescent="0.2">
      <c r="A27" s="852"/>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activeCell="A47" sqref="A47"/>
      <selection pane="bottomLeft" activeCell="F78" sqref="F78"/>
    </sheetView>
  </sheetViews>
  <sheetFormatPr defaultColWidth="8.7109375" defaultRowHeight="11.25" x14ac:dyDescent="0.2"/>
  <cols>
    <col min="1" max="1" width="22.140625" style="854" customWidth="1"/>
    <col min="2" max="2" width="31.85546875" style="854" customWidth="1"/>
    <col min="3" max="3" width="6.7109375" style="861" customWidth="1"/>
    <col min="4" max="4" width="55.7109375" style="854" customWidth="1"/>
    <col min="5" max="5" width="3.140625" style="861" customWidth="1"/>
    <col min="6" max="6" width="17.42578125" style="854" customWidth="1"/>
    <col min="7" max="7" width="0.85546875" style="854" customWidth="1"/>
    <col min="8" max="8" width="2.28515625" style="854" customWidth="1"/>
    <col min="9" max="16384" width="8.7109375" style="854"/>
  </cols>
  <sheetData>
    <row r="1" spans="1:7" ht="19.5" customHeight="1" thickTop="1" x14ac:dyDescent="0.2">
      <c r="A1" s="2265" t="s">
        <v>1973</v>
      </c>
      <c r="B1" s="2266"/>
      <c r="C1" s="2266"/>
      <c r="D1" s="2266"/>
      <c r="E1" s="2266"/>
      <c r="F1" s="2267"/>
      <c r="G1" s="853"/>
    </row>
    <row r="2" spans="1:7" ht="15" customHeight="1" thickBot="1" x14ac:dyDescent="0.25">
      <c r="A2" s="2268" t="s">
        <v>477</v>
      </c>
      <c r="B2" s="2269"/>
      <c r="C2" s="2269"/>
      <c r="D2" s="2269"/>
      <c r="E2" s="2269"/>
      <c r="F2" s="2270"/>
      <c r="G2" s="855"/>
    </row>
    <row r="3" spans="1:7" ht="5.25" customHeight="1" thickTop="1" x14ac:dyDescent="0.2">
      <c r="A3" s="856"/>
      <c r="B3" s="857"/>
      <c r="C3" s="858"/>
      <c r="D3" s="857"/>
      <c r="E3" s="858"/>
      <c r="F3" s="857"/>
      <c r="G3" s="857"/>
    </row>
    <row r="4" spans="1:7" ht="12.2" customHeight="1" x14ac:dyDescent="0.2">
      <c r="A4" s="859" t="s">
        <v>1077</v>
      </c>
      <c r="B4" s="860" t="s">
        <v>115</v>
      </c>
      <c r="D4" s="862" t="s">
        <v>511</v>
      </c>
      <c r="F4" s="860" t="s">
        <v>865</v>
      </c>
    </row>
    <row r="5" spans="1:7" ht="7.5" customHeight="1" x14ac:dyDescent="0.2">
      <c r="A5" s="2271"/>
      <c r="B5" s="2272"/>
      <c r="C5" s="2272"/>
      <c r="D5" s="2272"/>
      <c r="E5" s="2272"/>
      <c r="F5" s="2272"/>
    </row>
    <row r="6" spans="1:7" ht="13.5" customHeight="1" thickBot="1" x14ac:dyDescent="0.25">
      <c r="A6" s="2262" t="s">
        <v>1104</v>
      </c>
      <c r="B6" s="2263"/>
      <c r="C6" s="2263"/>
      <c r="D6" s="2263"/>
      <c r="E6" s="2263"/>
      <c r="F6" s="2264"/>
      <c r="G6" s="863"/>
    </row>
    <row r="7" spans="1:7" s="863" customFormat="1" ht="12" thickTop="1" x14ac:dyDescent="0.2">
      <c r="A7" s="864" t="s">
        <v>502</v>
      </c>
      <c r="B7" s="865"/>
      <c r="C7" s="866"/>
      <c r="D7" s="865"/>
      <c r="E7" s="866"/>
      <c r="F7" s="865"/>
    </row>
    <row r="8" spans="1:7" x14ac:dyDescent="0.2">
      <c r="A8" s="867" t="s">
        <v>459</v>
      </c>
      <c r="B8" s="868" t="s">
        <v>1468</v>
      </c>
      <c r="C8" s="869"/>
      <c r="D8" s="867" t="s">
        <v>501</v>
      </c>
      <c r="E8" s="866" t="s">
        <v>958</v>
      </c>
      <c r="F8" s="1901">
        <f>'Expenditures 15-22'!K114</f>
        <v>1215498</v>
      </c>
      <c r="G8" s="863"/>
    </row>
    <row r="9" spans="1:7" x14ac:dyDescent="0.2">
      <c r="A9" s="867" t="s">
        <v>460</v>
      </c>
      <c r="B9" s="868" t="s">
        <v>1876</v>
      </c>
      <c r="C9" s="869"/>
      <c r="D9" s="867" t="s">
        <v>501</v>
      </c>
      <c r="E9" s="866"/>
      <c r="F9" s="1902">
        <f>'Expenditures 15-22'!K151</f>
        <v>0</v>
      </c>
      <c r="G9" s="870"/>
    </row>
    <row r="10" spans="1:7" x14ac:dyDescent="0.2">
      <c r="A10" s="867" t="s">
        <v>499</v>
      </c>
      <c r="B10" s="868" t="s">
        <v>1877</v>
      </c>
      <c r="C10" s="869"/>
      <c r="D10" s="867" t="s">
        <v>501</v>
      </c>
      <c r="E10" s="866"/>
      <c r="F10" s="1902">
        <f>'Expenditures 15-22'!K174</f>
        <v>0</v>
      </c>
      <c r="G10" s="870"/>
    </row>
    <row r="11" spans="1:7" x14ac:dyDescent="0.2">
      <c r="A11" s="867" t="s">
        <v>461</v>
      </c>
      <c r="B11" s="868" t="s">
        <v>1878</v>
      </c>
      <c r="C11" s="869"/>
      <c r="D11" s="867" t="s">
        <v>501</v>
      </c>
      <c r="E11" s="866"/>
      <c r="F11" s="1902">
        <f>'Expenditures 15-22'!K210</f>
        <v>0</v>
      </c>
      <c r="G11" s="870"/>
    </row>
    <row r="12" spans="1:7" x14ac:dyDescent="0.2">
      <c r="A12" s="867" t="s">
        <v>462</v>
      </c>
      <c r="B12" s="868" t="s">
        <v>1879</v>
      </c>
      <c r="C12" s="869"/>
      <c r="D12" s="867" t="s">
        <v>501</v>
      </c>
      <c r="E12" s="866"/>
      <c r="F12" s="1902">
        <f>'Expenditures 15-22'!K295</f>
        <v>0</v>
      </c>
      <c r="G12" s="870"/>
    </row>
    <row r="13" spans="1:7" x14ac:dyDescent="0.2">
      <c r="A13" s="867" t="s">
        <v>106</v>
      </c>
      <c r="B13" s="868" t="s">
        <v>1880</v>
      </c>
      <c r="C13" s="869"/>
      <c r="D13" s="867" t="s">
        <v>501</v>
      </c>
      <c r="E13" s="866"/>
      <c r="F13" s="1902">
        <f>'Expenditures 15-22'!K342</f>
        <v>0</v>
      </c>
      <c r="G13" s="871"/>
    </row>
    <row r="14" spans="1:7" ht="12" customHeight="1" thickBot="1" x14ac:dyDescent="0.25">
      <c r="A14" s="1764"/>
      <c r="B14" s="1765"/>
      <c r="C14" s="1766"/>
      <c r="D14" s="1767" t="s">
        <v>501</v>
      </c>
      <c r="E14" s="1768" t="s">
        <v>958</v>
      </c>
      <c r="F14" s="1769">
        <f>SUM(F8:F13)</f>
        <v>1215498</v>
      </c>
      <c r="G14" s="863"/>
    </row>
    <row r="15" spans="1:7" ht="3.75" customHeight="1" thickTop="1" x14ac:dyDescent="0.2">
      <c r="A15" s="863"/>
      <c r="B15" s="863"/>
      <c r="C15" s="869"/>
      <c r="D15" s="863"/>
      <c r="E15" s="866"/>
      <c r="F15" s="863"/>
      <c r="G15" s="863"/>
    </row>
    <row r="16" spans="1:7" ht="12" customHeight="1" x14ac:dyDescent="0.2">
      <c r="A16" s="872" t="s">
        <v>512</v>
      </c>
      <c r="B16" s="231"/>
      <c r="C16" s="231"/>
      <c r="D16" s="865"/>
      <c r="E16" s="866"/>
      <c r="F16" s="865"/>
      <c r="G16" s="863"/>
    </row>
    <row r="17" spans="1:7" ht="4.5" customHeight="1" x14ac:dyDescent="0.2">
      <c r="A17" s="872"/>
      <c r="B17" s="231"/>
      <c r="C17" s="231"/>
      <c r="D17" s="865"/>
      <c r="E17" s="866"/>
      <c r="F17" s="865"/>
      <c r="G17" s="863"/>
    </row>
    <row r="18" spans="1:7" x14ac:dyDescent="0.2">
      <c r="A18" s="867" t="s">
        <v>461</v>
      </c>
      <c r="B18" s="868" t="s">
        <v>1010</v>
      </c>
      <c r="C18" s="873">
        <f>'Revenues 9-14'!B43</f>
        <v>1412</v>
      </c>
      <c r="D18" s="874" t="str">
        <f>'Revenues 9-14'!A43</f>
        <v>Regular - Transp Fees from Other Districts (In State)</v>
      </c>
      <c r="E18" s="866" t="s">
        <v>958</v>
      </c>
      <c r="F18" s="1903">
        <f>'Revenues 9-14'!F43</f>
        <v>0</v>
      </c>
      <c r="G18" s="863"/>
    </row>
    <row r="19" spans="1:7" x14ac:dyDescent="0.2">
      <c r="A19" s="867" t="s">
        <v>461</v>
      </c>
      <c r="B19" s="868" t="s">
        <v>1011</v>
      </c>
      <c r="C19" s="875">
        <f>'Revenues 9-14'!B47</f>
        <v>1421</v>
      </c>
      <c r="D19" s="876" t="str">
        <f>'Revenues 9-14'!A47</f>
        <v>Summer Sch - Transp. Fees from Pupils or Parents (In State)</v>
      </c>
      <c r="E19" s="877"/>
      <c r="F19" s="1904">
        <f>'Revenues 9-14'!F47</f>
        <v>0</v>
      </c>
      <c r="G19" s="863"/>
    </row>
    <row r="20" spans="1:7" x14ac:dyDescent="0.2">
      <c r="A20" s="867" t="s">
        <v>461</v>
      </c>
      <c r="B20" s="868" t="s">
        <v>1012</v>
      </c>
      <c r="C20" s="873">
        <f>'Revenues 9-14'!B48</f>
        <v>1422</v>
      </c>
      <c r="D20" s="874" t="str">
        <f>'Revenues 9-14'!A48</f>
        <v>Summer Sch - Transp. Fees from Other Districts (In State)</v>
      </c>
      <c r="E20" s="866"/>
      <c r="F20" s="1905">
        <f>'Revenues 9-14'!F48</f>
        <v>0</v>
      </c>
      <c r="G20" s="863"/>
    </row>
    <row r="21" spans="1:7" x14ac:dyDescent="0.2">
      <c r="A21" s="867" t="s">
        <v>461</v>
      </c>
      <c r="B21" s="868" t="s">
        <v>1013</v>
      </c>
      <c r="C21" s="875">
        <f>'Revenues 9-14'!B49</f>
        <v>1423</v>
      </c>
      <c r="D21" s="874" t="str">
        <f>'Revenues 9-14'!A49</f>
        <v>Summer Sch - Transp. Fees from Other Sources (In State)</v>
      </c>
      <c r="E21" s="866"/>
      <c r="F21" s="1906">
        <f>'Revenues 9-14'!F49</f>
        <v>0</v>
      </c>
      <c r="G21" s="863"/>
    </row>
    <row r="22" spans="1:7" x14ac:dyDescent="0.2">
      <c r="A22" s="867" t="s">
        <v>461</v>
      </c>
      <c r="B22" s="868" t="s">
        <v>1014</v>
      </c>
      <c r="C22" s="875">
        <f>'Revenues 9-14'!B50</f>
        <v>1424</v>
      </c>
      <c r="D22" s="874" t="str">
        <f>'Revenues 9-14'!A50</f>
        <v>Summer Sch - Transp. Fees from Other Sources (Out of State)</v>
      </c>
      <c r="E22" s="866"/>
      <c r="F22" s="1906">
        <f>'Revenues 9-14'!F50</f>
        <v>0</v>
      </c>
      <c r="G22" s="863"/>
    </row>
    <row r="23" spans="1:7" x14ac:dyDescent="0.2">
      <c r="A23" s="867" t="s">
        <v>461</v>
      </c>
      <c r="B23" s="868" t="s">
        <v>1015</v>
      </c>
      <c r="C23" s="873">
        <f>'Revenues 9-14'!B52</f>
        <v>1432</v>
      </c>
      <c r="D23" s="874" t="str">
        <f>'Revenues 9-14'!A52</f>
        <v>CTE - Transp Fees from Other Districts (In State)</v>
      </c>
      <c r="E23" s="866"/>
      <c r="F23" s="1906">
        <f>'Revenues 9-14'!F52</f>
        <v>0</v>
      </c>
      <c r="G23" s="863"/>
    </row>
    <row r="24" spans="1:7" x14ac:dyDescent="0.2">
      <c r="A24" s="867" t="s">
        <v>461</v>
      </c>
      <c r="B24" s="868" t="s">
        <v>1016</v>
      </c>
      <c r="C24" s="873">
        <f>'Revenues 9-14'!B56</f>
        <v>1442</v>
      </c>
      <c r="D24" s="874" t="str">
        <f>'Revenues 9-14'!A56</f>
        <v>Special Ed - Transp Fees from Other Districts (In State)</v>
      </c>
      <c r="E24" s="866"/>
      <c r="F24" s="1906">
        <f>'Revenues 9-14'!F56</f>
        <v>0</v>
      </c>
      <c r="G24" s="863"/>
    </row>
    <row r="25" spans="1:7" x14ac:dyDescent="0.2">
      <c r="A25" s="867" t="s">
        <v>461</v>
      </c>
      <c r="B25" s="868" t="s">
        <v>1017</v>
      </c>
      <c r="C25" s="873">
        <f>'Revenues 9-14'!B59</f>
        <v>1451</v>
      </c>
      <c r="D25" s="874" t="str">
        <f>'Revenues 9-14'!A59</f>
        <v>Adult - Transp Fees from Pupils or Parents (In State)</v>
      </c>
      <c r="E25" s="866"/>
      <c r="F25" s="1906">
        <f>'Revenues 9-14'!F59</f>
        <v>0</v>
      </c>
      <c r="G25" s="863"/>
    </row>
    <row r="26" spans="1:7" x14ac:dyDescent="0.2">
      <c r="A26" s="867" t="s">
        <v>461</v>
      </c>
      <c r="B26" s="868" t="s">
        <v>1018</v>
      </c>
      <c r="C26" s="873">
        <f>'Revenues 9-14'!B60</f>
        <v>1452</v>
      </c>
      <c r="D26" s="874" t="str">
        <f>'Revenues 9-14'!A60</f>
        <v>Adult - Transp Fees from Other Districts (In State)</v>
      </c>
      <c r="E26" s="866"/>
      <c r="F26" s="1906">
        <f>'Revenues 9-14'!F60</f>
        <v>0</v>
      </c>
      <c r="G26" s="863"/>
    </row>
    <row r="27" spans="1:7" x14ac:dyDescent="0.2">
      <c r="A27" s="867" t="s">
        <v>461</v>
      </c>
      <c r="B27" s="868" t="s">
        <v>1019</v>
      </c>
      <c r="C27" s="873">
        <f>'Revenues 9-14'!B61</f>
        <v>1453</v>
      </c>
      <c r="D27" s="874" t="str">
        <f>'Revenues 9-14'!A61</f>
        <v>Adult - Transp Fees from Other Sources (In State)</v>
      </c>
      <c r="E27" s="866"/>
      <c r="F27" s="1906">
        <f>'Revenues 9-14'!F61</f>
        <v>0</v>
      </c>
      <c r="G27" s="863"/>
    </row>
    <row r="28" spans="1:7" x14ac:dyDescent="0.2">
      <c r="A28" s="867" t="s">
        <v>461</v>
      </c>
      <c r="B28" s="868" t="s">
        <v>1020</v>
      </c>
      <c r="C28" s="873">
        <f>'Revenues 9-14'!B62</f>
        <v>1454</v>
      </c>
      <c r="D28" s="874" t="str">
        <f>'Revenues 9-14'!A62</f>
        <v>Adult - Transp Fees from Other Sources (Out of State)</v>
      </c>
      <c r="E28" s="866"/>
      <c r="F28" s="1906">
        <f>'Revenues 9-14'!F62</f>
        <v>0</v>
      </c>
      <c r="G28" s="863"/>
    </row>
    <row r="29" spans="1:7" x14ac:dyDescent="0.2">
      <c r="A29" s="867" t="s">
        <v>1097</v>
      </c>
      <c r="B29" s="868" t="s">
        <v>810</v>
      </c>
      <c r="C29" s="878">
        <f>'Revenues 9-14'!B149</f>
        <v>3410</v>
      </c>
      <c r="D29" s="879" t="str">
        <f>'Revenues 9-14'!A149</f>
        <v>Adult Ed (from ICCB)</v>
      </c>
      <c r="E29" s="866"/>
      <c r="F29" s="1906">
        <f>SUM('Revenues 9-14'!D149,'Revenues 9-14'!F149)</f>
        <v>0</v>
      </c>
      <c r="G29" s="863"/>
    </row>
    <row r="30" spans="1:7" x14ac:dyDescent="0.2">
      <c r="A30" s="867" t="s">
        <v>1097</v>
      </c>
      <c r="B30" s="868" t="s">
        <v>1997</v>
      </c>
      <c r="C30" s="878">
        <f>'Revenues 9-14'!B150</f>
        <v>3499</v>
      </c>
      <c r="D30" s="879" t="str">
        <f>'Revenues 9-14'!A150</f>
        <v>Adult Ed - Other (Describe &amp; Itemize)</v>
      </c>
      <c r="E30" s="866"/>
      <c r="F30" s="1907">
        <f>('Revenues 9-14'!D150+'Revenues 9-14'!F150)</f>
        <v>0</v>
      </c>
      <c r="G30" s="863"/>
    </row>
    <row r="31" spans="1:7" x14ac:dyDescent="0.2">
      <c r="A31" s="867" t="s">
        <v>1097</v>
      </c>
      <c r="B31" s="868" t="s">
        <v>1998</v>
      </c>
      <c r="C31" s="873">
        <f>'Revenues 9-14'!B211</f>
        <v>4600</v>
      </c>
      <c r="D31" s="881" t="str">
        <f>'Revenues 9-14'!A211</f>
        <v>Fed - Spec Education - Preschool Flow-Through</v>
      </c>
      <c r="E31" s="882"/>
      <c r="F31" s="1906">
        <f>SUM('Revenues 9-14'!D211,'Revenues 9-14'!F211)</f>
        <v>0</v>
      </c>
      <c r="G31" s="863"/>
    </row>
    <row r="32" spans="1:7" x14ac:dyDescent="0.2">
      <c r="A32" s="867" t="s">
        <v>1097</v>
      </c>
      <c r="B32" s="868" t="s">
        <v>1999</v>
      </c>
      <c r="C32" s="873">
        <f>'Revenues 9-14'!B212</f>
        <v>4605</v>
      </c>
      <c r="D32" s="883" t="str">
        <f>'Revenues 9-14'!A212</f>
        <v>Fed - Spec Education - Preschool Discretionary</v>
      </c>
      <c r="E32" s="882"/>
      <c r="F32" s="1906">
        <f>SUM('Revenues 9-14'!D212,'Revenues 9-14'!F212)</f>
        <v>0</v>
      </c>
      <c r="G32" s="863"/>
    </row>
    <row r="33" spans="1:7" x14ac:dyDescent="0.2">
      <c r="A33" s="867" t="s">
        <v>460</v>
      </c>
      <c r="B33" s="868" t="s">
        <v>2000</v>
      </c>
      <c r="C33" s="873">
        <f>'Revenues 9-14'!B222</f>
        <v>4810</v>
      </c>
      <c r="D33" s="881" t="str">
        <f>'Revenues 9-14'!A222</f>
        <v>Federal - Adult Education</v>
      </c>
      <c r="E33" s="866"/>
      <c r="F33" s="1906">
        <f>'Revenues 9-14'!D222</f>
        <v>0</v>
      </c>
      <c r="G33" s="863"/>
    </row>
    <row r="34" spans="1:7" x14ac:dyDescent="0.2">
      <c r="A34" s="867" t="s">
        <v>459</v>
      </c>
      <c r="B34" s="867" t="s">
        <v>1469</v>
      </c>
      <c r="C34" s="884" t="str">
        <f>'Expenditures 15-22'!B7</f>
        <v>1125</v>
      </c>
      <c r="D34" s="885" t="str">
        <f>'Expenditures 15-22'!A7</f>
        <v>Pre-K Programs</v>
      </c>
      <c r="E34" s="866"/>
      <c r="F34" s="1906">
        <f>'Expenditures 15-22'!K7-SUM('Expenditures 15-22'!G7,'Expenditures 15-22'!I7)</f>
        <v>0</v>
      </c>
      <c r="G34" s="863"/>
    </row>
    <row r="35" spans="1:7" x14ac:dyDescent="0.2">
      <c r="A35" s="867" t="s">
        <v>459</v>
      </c>
      <c r="B35" s="867" t="s">
        <v>1470</v>
      </c>
      <c r="C35" s="884" t="str">
        <f>'Expenditures 15-22'!B9</f>
        <v>1225</v>
      </c>
      <c r="D35" s="885" t="str">
        <f>'Expenditures 15-22'!A9</f>
        <v>Special Education Programs Pre-K</v>
      </c>
      <c r="E35" s="866"/>
      <c r="F35" s="1906">
        <f>'Expenditures 15-22'!K9-SUM('Expenditures 15-22'!G9+'Expenditures 15-22'!I9)</f>
        <v>0</v>
      </c>
      <c r="G35" s="863"/>
    </row>
    <row r="36" spans="1:7" x14ac:dyDescent="0.2">
      <c r="A36" s="867" t="s">
        <v>459</v>
      </c>
      <c r="B36" s="867" t="s">
        <v>116</v>
      </c>
      <c r="C36" s="884" t="str">
        <f>'Expenditures 15-22'!B11</f>
        <v>1275</v>
      </c>
      <c r="D36" s="885" t="str">
        <f>'Expenditures 15-22'!A11</f>
        <v>Remedial and Supplemental Programs Pre-K</v>
      </c>
      <c r="E36" s="866"/>
      <c r="F36" s="1906">
        <f>'Expenditures 15-22'!K11-SUM('Expenditures 15-22'!G11,'Expenditures 15-22'!I11)</f>
        <v>0</v>
      </c>
      <c r="G36" s="863"/>
    </row>
    <row r="37" spans="1:7" x14ac:dyDescent="0.2">
      <c r="A37" s="867" t="s">
        <v>459</v>
      </c>
      <c r="B37" s="867" t="s">
        <v>1471</v>
      </c>
      <c r="C37" s="884">
        <f>'Expenditures 15-22'!B12</f>
        <v>1300</v>
      </c>
      <c r="D37" s="886" t="str">
        <f>'Expenditures 15-22'!A12</f>
        <v>Adult/Continuing Education Programs</v>
      </c>
      <c r="E37" s="866"/>
      <c r="F37" s="1906">
        <f>'Expenditures 15-22'!K12-SUM('Expenditures 15-22'!G12+'Expenditures 15-22'!I12)</f>
        <v>0</v>
      </c>
      <c r="G37" s="863"/>
    </row>
    <row r="38" spans="1:7" x14ac:dyDescent="0.2">
      <c r="A38" s="867" t="s">
        <v>459</v>
      </c>
      <c r="B38" s="867" t="s">
        <v>1472</v>
      </c>
      <c r="C38" s="884">
        <f>'Expenditures 15-22'!B15</f>
        <v>1600</v>
      </c>
      <c r="D38" s="886" t="str">
        <f>'Expenditures 15-22'!A15</f>
        <v>Summer School Programs</v>
      </c>
      <c r="E38" s="866"/>
      <c r="F38" s="1906">
        <f>'Expenditures 15-22'!K15-SUM('Expenditures 15-22'!G15,'Expenditures 15-22'!I15)</f>
        <v>0</v>
      </c>
      <c r="G38" s="863"/>
    </row>
    <row r="39" spans="1:7" x14ac:dyDescent="0.2">
      <c r="A39" s="867" t="s">
        <v>459</v>
      </c>
      <c r="B39" s="867" t="s">
        <v>117</v>
      </c>
      <c r="C39" s="884" t="str">
        <f>'Expenditures 15-22'!B20</f>
        <v>1910</v>
      </c>
      <c r="D39" s="886" t="str">
        <f>'Expenditures 15-22'!A20</f>
        <v>Pre-K Programs - Private Tuition</v>
      </c>
      <c r="E39" s="866"/>
      <c r="F39" s="1906">
        <f>'Expenditures 15-22'!K20</f>
        <v>0</v>
      </c>
      <c r="G39" s="863"/>
    </row>
    <row r="40" spans="1:7" x14ac:dyDescent="0.2">
      <c r="A40" s="867" t="s">
        <v>459</v>
      </c>
      <c r="B40" s="867" t="s">
        <v>118</v>
      </c>
      <c r="C40" s="884" t="str">
        <f>'Expenditures 15-22'!B21</f>
        <v>1911</v>
      </c>
      <c r="D40" s="886" t="str">
        <f>'Expenditures 15-22'!A21</f>
        <v>Regular K-12 Programs - Private Tuition</v>
      </c>
      <c r="E40" s="866"/>
      <c r="F40" s="1906">
        <f>'Expenditures 15-22'!K21</f>
        <v>0</v>
      </c>
      <c r="G40" s="863"/>
    </row>
    <row r="41" spans="1:7" x14ac:dyDescent="0.2">
      <c r="A41" s="867" t="s">
        <v>459</v>
      </c>
      <c r="B41" s="867" t="s">
        <v>119</v>
      </c>
      <c r="C41" s="884" t="str">
        <f>'Expenditures 15-22'!B22</f>
        <v>1912</v>
      </c>
      <c r="D41" s="886" t="str">
        <f>'Expenditures 15-22'!A22</f>
        <v>Special Education Programs K-12 - Private Tuition</v>
      </c>
      <c r="E41" s="866"/>
      <c r="F41" s="1906">
        <f>'Expenditures 15-22'!K22</f>
        <v>0</v>
      </c>
      <c r="G41" s="863"/>
    </row>
    <row r="42" spans="1:7" x14ac:dyDescent="0.2">
      <c r="A42" s="867" t="s">
        <v>459</v>
      </c>
      <c r="B42" s="867" t="s">
        <v>120</v>
      </c>
      <c r="C42" s="887" t="str">
        <f>'Expenditures 15-22'!B23</f>
        <v>1913</v>
      </c>
      <c r="D42" s="886" t="str">
        <f>'Expenditures 15-22'!A23</f>
        <v>Special Education Programs Pre-K - Tuition</v>
      </c>
      <c r="E42" s="866"/>
      <c r="F42" s="1906">
        <f>'Expenditures 15-22'!K23</f>
        <v>0</v>
      </c>
      <c r="G42" s="863"/>
    </row>
    <row r="43" spans="1:7" x14ac:dyDescent="0.2">
      <c r="A43" s="867" t="s">
        <v>459</v>
      </c>
      <c r="B43" s="867" t="s">
        <v>121</v>
      </c>
      <c r="C43" s="884" t="str">
        <f>'Expenditures 15-22'!B24</f>
        <v>1914</v>
      </c>
      <c r="D43" s="886" t="str">
        <f>'Expenditures 15-22'!A24</f>
        <v>Remedial/Supplemental Programs K-12 - Private Tuition</v>
      </c>
      <c r="E43" s="866"/>
      <c r="F43" s="1906">
        <f>'Expenditures 15-22'!K24</f>
        <v>0</v>
      </c>
      <c r="G43" s="863"/>
    </row>
    <row r="44" spans="1:7" x14ac:dyDescent="0.2">
      <c r="A44" s="867" t="s">
        <v>459</v>
      </c>
      <c r="B44" s="867" t="s">
        <v>122</v>
      </c>
      <c r="C44" s="887" t="str">
        <f>'Expenditures 15-22'!B25</f>
        <v>1915</v>
      </c>
      <c r="D44" s="886" t="str">
        <f>'Expenditures 15-22'!A25</f>
        <v>Remedial/Supplemental Programs Pre-K - Private Tuition</v>
      </c>
      <c r="E44" s="866"/>
      <c r="F44" s="1906">
        <f>'Expenditures 15-22'!K25</f>
        <v>0</v>
      </c>
      <c r="G44" s="863"/>
    </row>
    <row r="45" spans="1:7" x14ac:dyDescent="0.2">
      <c r="A45" s="867" t="s">
        <v>459</v>
      </c>
      <c r="B45" s="867" t="s">
        <v>123</v>
      </c>
      <c r="C45" s="887" t="str">
        <f>'Expenditures 15-22'!B26</f>
        <v>1916</v>
      </c>
      <c r="D45" s="886" t="str">
        <f>'Expenditures 15-22'!A26</f>
        <v>Adult/Continuing Education Programs - Private Tuition</v>
      </c>
      <c r="E45" s="866"/>
      <c r="F45" s="1906">
        <f>'Expenditures 15-22'!K26</f>
        <v>0</v>
      </c>
      <c r="G45" s="863"/>
    </row>
    <row r="46" spans="1:7" x14ac:dyDescent="0.2">
      <c r="A46" s="867" t="s">
        <v>459</v>
      </c>
      <c r="B46" s="867" t="s">
        <v>124</v>
      </c>
      <c r="C46" s="884" t="str">
        <f>'Expenditures 15-22'!B27</f>
        <v>1917</v>
      </c>
      <c r="D46" s="886" t="str">
        <f>'Expenditures 15-22'!A27</f>
        <v>CTE Programs - Private Tuition</v>
      </c>
      <c r="E46" s="866"/>
      <c r="F46" s="1906">
        <f>'Expenditures 15-22'!K27</f>
        <v>0</v>
      </c>
      <c r="G46" s="863"/>
    </row>
    <row r="47" spans="1:7" x14ac:dyDescent="0.2">
      <c r="A47" s="867" t="s">
        <v>459</v>
      </c>
      <c r="B47" s="867" t="s">
        <v>125</v>
      </c>
      <c r="C47" s="888" t="str">
        <f>'Expenditures 15-22'!B28</f>
        <v>1918</v>
      </c>
      <c r="D47" s="889" t="str">
        <f>'Expenditures 15-22'!A28</f>
        <v>Interscholastic Programs - Private Tuition</v>
      </c>
      <c r="E47" s="866"/>
      <c r="F47" s="1906">
        <f>'Expenditures 15-22'!K28</f>
        <v>0</v>
      </c>
      <c r="G47" s="863"/>
    </row>
    <row r="48" spans="1:7" x14ac:dyDescent="0.2">
      <c r="A48" s="867" t="s">
        <v>459</v>
      </c>
      <c r="B48" s="867" t="s">
        <v>126</v>
      </c>
      <c r="C48" s="887" t="str">
        <f>'Expenditures 15-22'!B29</f>
        <v>1919</v>
      </c>
      <c r="D48" s="886" t="str">
        <f>'Expenditures 15-22'!A29</f>
        <v>Summer School Programs - Private Tuition</v>
      </c>
      <c r="E48" s="866"/>
      <c r="F48" s="1906">
        <f>'Expenditures 15-22'!K29</f>
        <v>0</v>
      </c>
      <c r="G48" s="863"/>
    </row>
    <row r="49" spans="1:7" x14ac:dyDescent="0.2">
      <c r="A49" s="867" t="s">
        <v>459</v>
      </c>
      <c r="B49" s="867" t="s">
        <v>127</v>
      </c>
      <c r="C49" s="884" t="str">
        <f>'Expenditures 15-22'!B30</f>
        <v>1920</v>
      </c>
      <c r="D49" s="886" t="str">
        <f>'Expenditures 15-22'!A30</f>
        <v>Gifted Programs - Private Tuition</v>
      </c>
      <c r="E49" s="866"/>
      <c r="F49" s="1906">
        <f>'Expenditures 15-22'!K30</f>
        <v>0</v>
      </c>
      <c r="G49" s="863"/>
    </row>
    <row r="50" spans="1:7" x14ac:dyDescent="0.2">
      <c r="A50" s="867" t="s">
        <v>459</v>
      </c>
      <c r="B50" s="867" t="s">
        <v>128</v>
      </c>
      <c r="C50" s="884" t="str">
        <f>'Expenditures 15-22'!B31</f>
        <v>1921</v>
      </c>
      <c r="D50" s="886" t="str">
        <f>'Expenditures 15-22'!A31</f>
        <v>Bilingual Programs - Private Tuition</v>
      </c>
      <c r="E50" s="866"/>
      <c r="F50" s="1906">
        <f>'Expenditures 15-22'!K31</f>
        <v>0</v>
      </c>
      <c r="G50" s="863"/>
    </row>
    <row r="51" spans="1:7" x14ac:dyDescent="0.2">
      <c r="A51" s="867" t="s">
        <v>459</v>
      </c>
      <c r="B51" s="867" t="s">
        <v>1473</v>
      </c>
      <c r="C51" s="884" t="str">
        <f>'Expenditures 15-22'!B32</f>
        <v>1922</v>
      </c>
      <c r="D51" s="886" t="str">
        <f>'Expenditures 15-22'!A32</f>
        <v>Truants Alternative/Optional Ed Progms - Private Tuition</v>
      </c>
      <c r="E51" s="866"/>
      <c r="F51" s="1906">
        <f>'Expenditures 15-22'!K32</f>
        <v>0</v>
      </c>
      <c r="G51" s="863"/>
    </row>
    <row r="52" spans="1:7" x14ac:dyDescent="0.2">
      <c r="A52" s="867" t="s">
        <v>459</v>
      </c>
      <c r="B52" s="867" t="s">
        <v>1474</v>
      </c>
      <c r="C52" s="887" t="str">
        <f>'Expenditures 15-22'!B75</f>
        <v>3000</v>
      </c>
      <c r="D52" s="886" t="s">
        <v>449</v>
      </c>
      <c r="E52" s="866"/>
      <c r="F52" s="1906">
        <f>'Expenditures 15-22'!K75-SUM('Expenditures 15-22'!G75,'Expenditures 15-22'!I75)</f>
        <v>0</v>
      </c>
      <c r="G52" s="863"/>
    </row>
    <row r="53" spans="1:7" x14ac:dyDescent="0.2">
      <c r="A53" s="867" t="s">
        <v>459</v>
      </c>
      <c r="B53" s="867" t="s">
        <v>1475</v>
      </c>
      <c r="C53" s="887">
        <f>'Expenditures 15-22'!B102</f>
        <v>4000</v>
      </c>
      <c r="D53" s="886" t="str">
        <f>'Expenditures 15-22'!A102</f>
        <v>Total Payments to Other Govt Units</v>
      </c>
      <c r="E53" s="866"/>
      <c r="F53" s="1906">
        <f>'Expenditures 15-22'!K102</f>
        <v>810212</v>
      </c>
      <c r="G53" s="863"/>
    </row>
    <row r="54" spans="1:7" x14ac:dyDescent="0.2">
      <c r="A54" s="867" t="s">
        <v>459</v>
      </c>
      <c r="B54" s="867" t="s">
        <v>1476</v>
      </c>
      <c r="C54" s="887" t="s">
        <v>982</v>
      </c>
      <c r="D54" s="883" t="s">
        <v>1095</v>
      </c>
      <c r="E54" s="866"/>
      <c r="F54" s="1906">
        <f>'Expenditures 15-22'!G114</f>
        <v>0</v>
      </c>
      <c r="G54" s="863"/>
    </row>
    <row r="55" spans="1:7" x14ac:dyDescent="0.2">
      <c r="A55" s="867" t="s">
        <v>459</v>
      </c>
      <c r="B55" s="867" t="s">
        <v>1477</v>
      </c>
      <c r="C55" s="887" t="s">
        <v>982</v>
      </c>
      <c r="D55" s="883" t="s">
        <v>291</v>
      </c>
      <c r="E55" s="866"/>
      <c r="F55" s="1906">
        <f>'Expenditures 15-22'!I114</f>
        <v>0</v>
      </c>
      <c r="G55" s="863"/>
    </row>
    <row r="56" spans="1:7" x14ac:dyDescent="0.2">
      <c r="A56" s="867" t="s">
        <v>460</v>
      </c>
      <c r="B56" s="867" t="s">
        <v>1478</v>
      </c>
      <c r="C56" s="884" t="str">
        <f>'Expenditures 15-22'!B130</f>
        <v>3000</v>
      </c>
      <c r="D56" s="890" t="s">
        <v>449</v>
      </c>
      <c r="E56" s="866"/>
      <c r="F56" s="1906">
        <f>'Expenditures 15-22'!K130-SUM('Expenditures 15-22'!G130+'Expenditures 15-22'!I130)</f>
        <v>0</v>
      </c>
      <c r="G56" s="863"/>
    </row>
    <row r="57" spans="1:7" x14ac:dyDescent="0.2">
      <c r="A57" s="867" t="s">
        <v>460</v>
      </c>
      <c r="B57" s="867" t="s">
        <v>1881</v>
      </c>
      <c r="C57" s="887">
        <f>'Expenditures 15-22'!B139</f>
        <v>4000</v>
      </c>
      <c r="D57" s="885" t="str">
        <f>'Expenditures 15-22'!A139</f>
        <v>Total Payments to Other Govt Units</v>
      </c>
      <c r="E57" s="866"/>
      <c r="F57" s="1906">
        <f>'Expenditures 15-22'!K139</f>
        <v>0</v>
      </c>
      <c r="G57" s="863"/>
    </row>
    <row r="58" spans="1:7" x14ac:dyDescent="0.2">
      <c r="A58" s="867" t="s">
        <v>460</v>
      </c>
      <c r="B58" s="867" t="s">
        <v>1882</v>
      </c>
      <c r="C58" s="884" t="s">
        <v>982</v>
      </c>
      <c r="D58" s="883" t="s">
        <v>1095</v>
      </c>
      <c r="E58" s="866"/>
      <c r="F58" s="1908">
        <f>'Expenditures 15-22'!G151</f>
        <v>0</v>
      </c>
      <c r="G58" s="863"/>
    </row>
    <row r="59" spans="1:7" x14ac:dyDescent="0.2">
      <c r="A59" s="891" t="s">
        <v>460</v>
      </c>
      <c r="B59" s="854" t="s">
        <v>1883</v>
      </c>
      <c r="C59" s="892" t="s">
        <v>982</v>
      </c>
      <c r="D59" s="854" t="s">
        <v>291</v>
      </c>
      <c r="F59" s="1909">
        <f>'Expenditures 15-22'!I151</f>
        <v>0</v>
      </c>
      <c r="G59" s="863"/>
    </row>
    <row r="60" spans="1:7" x14ac:dyDescent="0.2">
      <c r="A60" s="891" t="s">
        <v>499</v>
      </c>
      <c r="B60" s="854" t="s">
        <v>1884</v>
      </c>
      <c r="C60" s="892">
        <v>4000</v>
      </c>
      <c r="D60" s="854" t="s">
        <v>312</v>
      </c>
      <c r="F60" s="1907">
        <f>'Expenditures 15-22'!K160</f>
        <v>0</v>
      </c>
      <c r="G60" s="863"/>
    </row>
    <row r="61" spans="1:7" x14ac:dyDescent="0.2">
      <c r="A61" s="893" t="s">
        <v>499</v>
      </c>
      <c r="B61" s="893" t="s">
        <v>1885</v>
      </c>
      <c r="C61" s="894" t="str">
        <f>'Expenditures 15-22'!B170</f>
        <v>5300</v>
      </c>
      <c r="D61" s="895" t="s">
        <v>311</v>
      </c>
      <c r="E61" s="877"/>
      <c r="F61" s="1906">
        <f>'Expenditures 15-22'!K170</f>
        <v>0</v>
      </c>
      <c r="G61" s="863"/>
    </row>
    <row r="62" spans="1:7" x14ac:dyDescent="0.2">
      <c r="A62" s="867" t="s">
        <v>461</v>
      </c>
      <c r="B62" s="867" t="s">
        <v>1886</v>
      </c>
      <c r="C62" s="884">
        <f>'Expenditures 15-22'!B185</f>
        <v>3000</v>
      </c>
      <c r="D62" s="874" t="s">
        <v>449</v>
      </c>
      <c r="E62" s="866"/>
      <c r="F62" s="1906">
        <f>'Expenditures 15-22'!K185-SUM('Expenditures 15-22'!G185,'Expenditures 15-22'!I185)</f>
        <v>0</v>
      </c>
      <c r="G62" s="863"/>
    </row>
    <row r="63" spans="1:7" x14ac:dyDescent="0.2">
      <c r="A63" s="867" t="s">
        <v>461</v>
      </c>
      <c r="B63" s="867" t="s">
        <v>1887</v>
      </c>
      <c r="C63" s="884" t="str">
        <f>'Expenditures 15-22'!B196</f>
        <v>4000</v>
      </c>
      <c r="D63" s="885" t="str">
        <f>'Expenditures 15-22'!A196</f>
        <v>Total Payments to Other Govt Units</v>
      </c>
      <c r="E63" s="866"/>
      <c r="F63" s="1906">
        <f>'Expenditures 15-22'!K196</f>
        <v>0</v>
      </c>
      <c r="G63" s="863"/>
    </row>
    <row r="64" spans="1:7" x14ac:dyDescent="0.2">
      <c r="A64" s="893" t="s">
        <v>461</v>
      </c>
      <c r="B64" s="893" t="s">
        <v>1888</v>
      </c>
      <c r="C64" s="894" t="str">
        <f>'Expenditures 15-22'!B206</f>
        <v>5300</v>
      </c>
      <c r="D64" s="890" t="s">
        <v>311</v>
      </c>
      <c r="E64" s="866"/>
      <c r="F64" s="1906">
        <f>'Expenditures 15-22'!K206</f>
        <v>0</v>
      </c>
      <c r="G64" s="863"/>
    </row>
    <row r="65" spans="1:8" x14ac:dyDescent="0.2">
      <c r="A65" s="867" t="s">
        <v>461</v>
      </c>
      <c r="B65" s="867" t="s">
        <v>1889</v>
      </c>
      <c r="C65" s="884" t="s">
        <v>982</v>
      </c>
      <c r="D65" s="883" t="s">
        <v>1095</v>
      </c>
      <c r="E65" s="866"/>
      <c r="F65" s="1906">
        <f>'Expenditures 15-22'!G210</f>
        <v>0</v>
      </c>
      <c r="G65" s="863"/>
    </row>
    <row r="66" spans="1:8" x14ac:dyDescent="0.2">
      <c r="A66" s="867" t="s">
        <v>461</v>
      </c>
      <c r="B66" s="867" t="s">
        <v>1890</v>
      </c>
      <c r="C66" s="884" t="s">
        <v>982</v>
      </c>
      <c r="D66" s="883" t="s">
        <v>291</v>
      </c>
      <c r="E66" s="866"/>
      <c r="F66" s="1906">
        <f>'Expenditures 15-22'!I210</f>
        <v>0</v>
      </c>
      <c r="G66" s="863"/>
    </row>
    <row r="67" spans="1:8" x14ac:dyDescent="0.2">
      <c r="A67" s="867" t="s">
        <v>462</v>
      </c>
      <c r="B67" s="867" t="s">
        <v>1891</v>
      </c>
      <c r="C67" s="884" t="str">
        <f>'Expenditures 15-22'!B216</f>
        <v>1125</v>
      </c>
      <c r="D67" s="890" t="str">
        <f>'Expenditures 15-22'!A216</f>
        <v>Pre-K Programs</v>
      </c>
      <c r="E67" s="866"/>
      <c r="F67" s="1906">
        <f>'Expenditures 15-22'!K216</f>
        <v>0</v>
      </c>
      <c r="G67" s="863"/>
    </row>
    <row r="68" spans="1:8" x14ac:dyDescent="0.2">
      <c r="A68" s="867" t="s">
        <v>462</v>
      </c>
      <c r="B68" s="867" t="s">
        <v>1479</v>
      </c>
      <c r="C68" s="884" t="str">
        <f>'Expenditures 15-22'!B218</f>
        <v>1225</v>
      </c>
      <c r="D68" s="890" t="str">
        <f>'Expenditures 15-22'!A218</f>
        <v>Special Education Programs - Pre-K</v>
      </c>
      <c r="E68" s="866"/>
      <c r="F68" s="1906">
        <f>'Expenditures 15-22'!K218</f>
        <v>0</v>
      </c>
      <c r="G68" s="863"/>
    </row>
    <row r="69" spans="1:8" x14ac:dyDescent="0.2">
      <c r="A69" s="867" t="s">
        <v>462</v>
      </c>
      <c r="B69" s="867" t="s">
        <v>1892</v>
      </c>
      <c r="C69" s="884" t="str">
        <f>'Expenditures 15-22'!B220</f>
        <v>1275</v>
      </c>
      <c r="D69" s="890" t="str">
        <f>'Expenditures 15-22'!A220</f>
        <v>Remedial and Supplemental Programs - Pre-K</v>
      </c>
      <c r="E69" s="866"/>
      <c r="F69" s="1906">
        <f>'Expenditures 15-22'!K220</f>
        <v>0</v>
      </c>
      <c r="G69" s="863"/>
    </row>
    <row r="70" spans="1:8" x14ac:dyDescent="0.2">
      <c r="A70" s="867" t="s">
        <v>462</v>
      </c>
      <c r="B70" s="867" t="s">
        <v>1893</v>
      </c>
      <c r="C70" s="884">
        <f>'Expenditures 15-22'!B221</f>
        <v>1300</v>
      </c>
      <c r="D70" s="885" t="str">
        <f>'Expenditures 15-22'!A221</f>
        <v>Adult/Continuing Education Programs</v>
      </c>
      <c r="E70" s="866"/>
      <c r="F70" s="1906">
        <f>'Expenditures 15-22'!K221</f>
        <v>0</v>
      </c>
      <c r="G70" s="863"/>
    </row>
    <row r="71" spans="1:8" x14ac:dyDescent="0.2">
      <c r="A71" s="867" t="s">
        <v>462</v>
      </c>
      <c r="B71" s="867" t="s">
        <v>1894</v>
      </c>
      <c r="C71" s="884">
        <f>'Expenditures 15-22'!B224</f>
        <v>1600</v>
      </c>
      <c r="D71" s="885" t="str">
        <f>'Expenditures 15-22'!A224</f>
        <v>Summer School Programs</v>
      </c>
      <c r="E71" s="866"/>
      <c r="F71" s="1906">
        <f>'Expenditures 15-22'!K224</f>
        <v>0</v>
      </c>
      <c r="G71" s="863"/>
    </row>
    <row r="72" spans="1:8" x14ac:dyDescent="0.2">
      <c r="A72" s="867" t="s">
        <v>462</v>
      </c>
      <c r="B72" s="867" t="s">
        <v>1895</v>
      </c>
      <c r="C72" s="884">
        <f>'Expenditures 15-22'!B280</f>
        <v>3000</v>
      </c>
      <c r="D72" s="874" t="s">
        <v>449</v>
      </c>
      <c r="E72" s="866"/>
      <c r="F72" s="1906">
        <f>'Expenditures 15-22'!K280</f>
        <v>0</v>
      </c>
      <c r="G72" s="863"/>
    </row>
    <row r="73" spans="1:8" x14ac:dyDescent="0.2">
      <c r="A73" s="867" t="s">
        <v>462</v>
      </c>
      <c r="B73" s="867" t="s">
        <v>1896</v>
      </c>
      <c r="C73" s="884" t="str">
        <f>'Expenditures 15-22'!B285</f>
        <v>4000</v>
      </c>
      <c r="D73" s="885" t="str">
        <f>'Expenditures 15-22'!A285</f>
        <v>Total Payments to Other Govt Units</v>
      </c>
      <c r="E73" s="866"/>
      <c r="F73" s="1906">
        <f>'Expenditures 15-22'!K285</f>
        <v>0</v>
      </c>
      <c r="G73" s="863"/>
    </row>
    <row r="74" spans="1:8" x14ac:dyDescent="0.2">
      <c r="A74" s="867" t="s">
        <v>436</v>
      </c>
      <c r="B74" s="867" t="s">
        <v>1897</v>
      </c>
      <c r="C74" s="884" t="s">
        <v>860</v>
      </c>
      <c r="D74" s="885" t="s">
        <v>1487</v>
      </c>
      <c r="E74" s="866"/>
      <c r="F74" s="1910">
        <f>'Expenditures 15-22'!K334</f>
        <v>0</v>
      </c>
      <c r="G74" s="863"/>
    </row>
    <row r="75" spans="1:8" ht="5.25" customHeight="1" x14ac:dyDescent="0.2">
      <c r="A75" s="863"/>
      <c r="B75" s="873"/>
      <c r="C75" s="873"/>
      <c r="D75" s="863"/>
      <c r="E75" s="866"/>
      <c r="F75" s="880"/>
      <c r="G75" s="865"/>
    </row>
    <row r="76" spans="1:8" ht="12" thickBot="1" x14ac:dyDescent="0.25">
      <c r="A76" s="1764"/>
      <c r="B76" s="1770"/>
      <c r="C76" s="1766"/>
      <c r="D76" s="1771" t="s">
        <v>1898</v>
      </c>
      <c r="E76" s="1768" t="s">
        <v>958</v>
      </c>
      <c r="F76" s="1772">
        <f>SUM(F18:F74)</f>
        <v>810212</v>
      </c>
      <c r="G76" s="863"/>
    </row>
    <row r="77" spans="1:8" s="891" customFormat="1" ht="12" customHeight="1" thickTop="1" thickBot="1" x14ac:dyDescent="0.25">
      <c r="A77" s="1773"/>
      <c r="B77" s="1770"/>
      <c r="C77" s="1766"/>
      <c r="D77" s="1771" t="s">
        <v>1899</v>
      </c>
      <c r="E77" s="1768"/>
      <c r="F77" s="1774">
        <f>(F14-F76)</f>
        <v>405286</v>
      </c>
      <c r="G77" s="867"/>
    </row>
    <row r="78" spans="1:8" s="891" customFormat="1" ht="12" customHeight="1" thickTop="1" x14ac:dyDescent="0.2">
      <c r="A78" s="1775"/>
      <c r="B78" s="1770"/>
      <c r="C78" s="1766"/>
      <c r="D78" s="1771" t="s">
        <v>2060</v>
      </c>
      <c r="E78" s="1768"/>
      <c r="F78" s="896"/>
      <c r="G78" s="897"/>
      <c r="H78" s="867"/>
    </row>
    <row r="79" spans="1:8" s="891" customFormat="1" ht="12" customHeight="1" thickBot="1" x14ac:dyDescent="0.25">
      <c r="A79" s="1776"/>
      <c r="B79" s="1770"/>
      <c r="C79" s="1766"/>
      <c r="D79" s="1771" t="s">
        <v>1900</v>
      </c>
      <c r="E79" s="1768" t="s">
        <v>958</v>
      </c>
      <c r="F79" s="1777" t="str">
        <f>IF(F78&gt;0,F77/F78," Complete Line 78")</f>
        <v xml:space="preserve"> Complete Line 78</v>
      </c>
      <c r="G79" s="867"/>
    </row>
    <row r="80" spans="1:8" s="891" customFormat="1" ht="8.25" customHeight="1" thickTop="1" x14ac:dyDescent="0.2">
      <c r="A80" s="898"/>
      <c r="B80" s="867"/>
      <c r="C80" s="869"/>
      <c r="D80" s="899"/>
      <c r="E80" s="866"/>
      <c r="F80" s="900"/>
      <c r="G80" s="867"/>
    </row>
    <row r="81" spans="1:7" s="891" customFormat="1" ht="12" thickBot="1" x14ac:dyDescent="0.25">
      <c r="A81" s="2262" t="s">
        <v>1105</v>
      </c>
      <c r="B81" s="2263"/>
      <c r="C81" s="2263"/>
      <c r="D81" s="2263"/>
      <c r="E81" s="2263"/>
      <c r="F81" s="2264"/>
      <c r="G81" s="867"/>
    </row>
    <row r="82" spans="1:7" s="891" customFormat="1" ht="5.25" customHeight="1" thickTop="1" x14ac:dyDescent="0.2">
      <c r="A82" s="867"/>
      <c r="B82" s="867"/>
      <c r="C82" s="869"/>
      <c r="D82" s="867"/>
      <c r="E82" s="869"/>
      <c r="F82" s="867"/>
      <c r="G82" s="901"/>
    </row>
    <row r="83" spans="1:7" ht="12" customHeight="1" x14ac:dyDescent="0.2">
      <c r="A83" s="902" t="s">
        <v>813</v>
      </c>
      <c r="B83" s="903"/>
      <c r="C83" s="904"/>
      <c r="D83" s="905"/>
      <c r="E83" s="904"/>
      <c r="F83" s="903"/>
      <c r="G83" s="903"/>
    </row>
    <row r="84" spans="1:7" x14ac:dyDescent="0.2">
      <c r="A84" s="906" t="s">
        <v>461</v>
      </c>
      <c r="B84" s="907" t="s">
        <v>146</v>
      </c>
      <c r="C84" s="908">
        <f>'Revenues 9-14'!B42</f>
        <v>1411</v>
      </c>
      <c r="D84" s="909" t="str">
        <f>'Revenues 9-14'!A42</f>
        <v>Regular -Transp Fees from Pupils or Parents (In State)</v>
      </c>
      <c r="E84" s="904" t="s">
        <v>958</v>
      </c>
      <c r="F84" s="1900">
        <f>'Revenues 9-14'!F42</f>
        <v>0</v>
      </c>
      <c r="G84" s="910"/>
    </row>
    <row r="85" spans="1:7" x14ac:dyDescent="0.2">
      <c r="A85" s="906" t="s">
        <v>461</v>
      </c>
      <c r="B85" s="906" t="s">
        <v>183</v>
      </c>
      <c r="C85" s="911">
        <f>'Revenues 9-14'!B44</f>
        <v>1413</v>
      </c>
      <c r="D85" s="909" t="str">
        <f>'Revenues 9-14'!A44</f>
        <v>Regular - Transp Fees from Other Sources (In State)</v>
      </c>
      <c r="E85" s="904"/>
      <c r="F85" s="1783">
        <f>'Revenues 9-14'!F44</f>
        <v>0</v>
      </c>
      <c r="G85" s="912"/>
    </row>
    <row r="86" spans="1:7" x14ac:dyDescent="0.2">
      <c r="A86" s="906" t="s">
        <v>461</v>
      </c>
      <c r="B86" s="906" t="s">
        <v>166</v>
      </c>
      <c r="C86" s="908">
        <f>'Revenues 9-14'!B45</f>
        <v>1415</v>
      </c>
      <c r="D86" s="909" t="str">
        <f>'Revenues 9-14'!A45</f>
        <v>Regular - Transp Fees from Co-curricular Activities (In State)</v>
      </c>
      <c r="E86" s="904"/>
      <c r="F86" s="1783">
        <f>'Revenues 9-14'!F45</f>
        <v>0</v>
      </c>
      <c r="G86" s="912"/>
    </row>
    <row r="87" spans="1:7" x14ac:dyDescent="0.2">
      <c r="A87" s="906" t="s">
        <v>461</v>
      </c>
      <c r="B87" s="906" t="s">
        <v>167</v>
      </c>
      <c r="C87" s="908">
        <v>1416</v>
      </c>
      <c r="D87" s="909" t="str">
        <f>'Revenues 9-14'!A46</f>
        <v>Regular Transp Fees from Other Sources (Out of State)</v>
      </c>
      <c r="E87" s="904"/>
      <c r="F87" s="1783">
        <f>'Revenues 9-14'!F46</f>
        <v>0</v>
      </c>
      <c r="G87" s="912"/>
    </row>
    <row r="88" spans="1:7" x14ac:dyDescent="0.2">
      <c r="A88" s="906" t="s">
        <v>461</v>
      </c>
      <c r="B88" s="906" t="s">
        <v>168</v>
      </c>
      <c r="C88" s="908">
        <f>'Revenues 9-14'!B51</f>
        <v>1431</v>
      </c>
      <c r="D88" s="909" t="str">
        <f>'Revenues 9-14'!A51</f>
        <v>CTE - Transp Fees from Pupils or Parents (In State)</v>
      </c>
      <c r="E88" s="904"/>
      <c r="F88" s="1783">
        <f>'Revenues 9-14'!F51</f>
        <v>0</v>
      </c>
      <c r="G88" s="912"/>
    </row>
    <row r="89" spans="1:7" x14ac:dyDescent="0.2">
      <c r="A89" s="906" t="s">
        <v>461</v>
      </c>
      <c r="B89" s="906" t="s">
        <v>169</v>
      </c>
      <c r="C89" s="908">
        <f>'Revenues 9-14'!B53</f>
        <v>1433</v>
      </c>
      <c r="D89" s="909" t="str">
        <f>'Revenues 9-14'!A53</f>
        <v>CTE - Transp Fees from Other Sources (In State)</v>
      </c>
      <c r="E89" s="904"/>
      <c r="F89" s="1783">
        <f>'Revenues 9-14'!F53</f>
        <v>0</v>
      </c>
      <c r="G89" s="912"/>
    </row>
    <row r="90" spans="1:7" x14ac:dyDescent="0.2">
      <c r="A90" s="906" t="s">
        <v>461</v>
      </c>
      <c r="B90" s="906" t="s">
        <v>170</v>
      </c>
      <c r="C90" s="908">
        <f>'Revenues 9-14'!B54</f>
        <v>1434</v>
      </c>
      <c r="D90" s="909" t="str">
        <f>'Revenues 9-14'!A54</f>
        <v>CTE - Transp Fees from Other Sources (Out of State)</v>
      </c>
      <c r="E90" s="904"/>
      <c r="F90" s="1783">
        <f>'Revenues 9-14'!F54</f>
        <v>0</v>
      </c>
      <c r="G90" s="912"/>
    </row>
    <row r="91" spans="1:7" x14ac:dyDescent="0.2">
      <c r="A91" s="906" t="s">
        <v>461</v>
      </c>
      <c r="B91" s="906" t="s">
        <v>171</v>
      </c>
      <c r="C91" s="913">
        <f>'Revenues 9-14'!B55</f>
        <v>1441</v>
      </c>
      <c r="D91" s="909" t="str">
        <f>'Revenues 9-14'!A55</f>
        <v>Special Ed - Transp Fees from Pupils or Parents (In State)</v>
      </c>
      <c r="E91" s="904"/>
      <c r="F91" s="1783">
        <f>'Revenues 9-14'!F55</f>
        <v>0</v>
      </c>
      <c r="G91" s="912"/>
    </row>
    <row r="92" spans="1:7" x14ac:dyDescent="0.2">
      <c r="A92" s="906" t="s">
        <v>461</v>
      </c>
      <c r="B92" s="906" t="s">
        <v>172</v>
      </c>
      <c r="C92" s="908">
        <f>'Revenues 9-14'!B57</f>
        <v>1443</v>
      </c>
      <c r="D92" s="909" t="str">
        <f>'Revenues 9-14'!A57</f>
        <v>Special Ed - Transp Fees from Other Sources (In State)</v>
      </c>
      <c r="E92" s="904"/>
      <c r="F92" s="1783">
        <f>'Revenues 9-14'!F57</f>
        <v>0</v>
      </c>
      <c r="G92" s="914"/>
    </row>
    <row r="93" spans="1:7" x14ac:dyDescent="0.2">
      <c r="A93" s="906" t="s">
        <v>461</v>
      </c>
      <c r="B93" s="906" t="s">
        <v>173</v>
      </c>
      <c r="C93" s="908">
        <f>'Revenues 9-14'!B58</f>
        <v>1444</v>
      </c>
      <c r="D93" s="909" t="str">
        <f>'Revenues 9-14'!A58</f>
        <v>Special Ed - Transp Fees from Other Sources (Out of State)</v>
      </c>
      <c r="E93" s="904"/>
      <c r="F93" s="1783">
        <f>'Revenues 9-14'!F58</f>
        <v>0</v>
      </c>
      <c r="G93" s="914"/>
    </row>
    <row r="94" spans="1:7" x14ac:dyDescent="0.2">
      <c r="A94" s="906" t="s">
        <v>459</v>
      </c>
      <c r="B94" s="906" t="s">
        <v>174</v>
      </c>
      <c r="C94" s="908">
        <v>1600</v>
      </c>
      <c r="D94" s="915" t="str">
        <f>'Revenues 9-14'!A75</f>
        <v>Total Food Service</v>
      </c>
      <c r="E94" s="904"/>
      <c r="F94" s="1783">
        <f>'Revenues 9-14'!C75</f>
        <v>0</v>
      </c>
      <c r="G94" s="910"/>
    </row>
    <row r="95" spans="1:7" x14ac:dyDescent="0.2">
      <c r="A95" s="906" t="s">
        <v>140</v>
      </c>
      <c r="B95" s="906" t="s">
        <v>175</v>
      </c>
      <c r="C95" s="908">
        <v>1700</v>
      </c>
      <c r="D95" s="916" t="str">
        <f>'Revenues 9-14'!A82</f>
        <v>Total District/School Activity Income</v>
      </c>
      <c r="E95" s="904"/>
      <c r="F95" s="1783">
        <f>SUM('Revenues 9-14'!C82,'Revenues 9-14'!D82)</f>
        <v>189712</v>
      </c>
      <c r="G95" s="910"/>
    </row>
    <row r="96" spans="1:7" x14ac:dyDescent="0.2">
      <c r="A96" s="906" t="s">
        <v>459</v>
      </c>
      <c r="B96" s="906" t="s">
        <v>176</v>
      </c>
      <c r="C96" s="908">
        <f>'Revenues 9-14'!B84</f>
        <v>1811</v>
      </c>
      <c r="D96" s="909" t="str">
        <f>'Revenues 9-14'!A84</f>
        <v>Rentals - Regular Textbooks</v>
      </c>
      <c r="E96" s="904"/>
      <c r="F96" s="1783">
        <f>'Revenues 9-14'!C84</f>
        <v>1393</v>
      </c>
      <c r="G96" s="910"/>
    </row>
    <row r="97" spans="1:7" x14ac:dyDescent="0.2">
      <c r="A97" s="906" t="s">
        <v>459</v>
      </c>
      <c r="B97" s="906" t="s">
        <v>177</v>
      </c>
      <c r="C97" s="908">
        <f>'Revenues 9-14'!B87</f>
        <v>1819</v>
      </c>
      <c r="D97" s="909" t="str">
        <f>'Revenues 9-14'!A87</f>
        <v>Rentals - Other (Describe &amp; Itemize)</v>
      </c>
      <c r="E97" s="904"/>
      <c r="F97" s="1783">
        <f>'Revenues 9-14'!C87</f>
        <v>0</v>
      </c>
      <c r="G97" s="910"/>
    </row>
    <row r="98" spans="1:7" x14ac:dyDescent="0.2">
      <c r="A98" s="906" t="s">
        <v>459</v>
      </c>
      <c r="B98" s="906" t="s">
        <v>178</v>
      </c>
      <c r="C98" s="908">
        <f>'Revenues 9-14'!B88</f>
        <v>1821</v>
      </c>
      <c r="D98" s="909" t="str">
        <f>'Revenues 9-14'!A88</f>
        <v>Sales - Regular Textbooks</v>
      </c>
      <c r="E98" s="904"/>
      <c r="F98" s="1783">
        <f>'Revenues 9-14'!C88</f>
        <v>0</v>
      </c>
      <c r="G98" s="910"/>
    </row>
    <row r="99" spans="1:7" x14ac:dyDescent="0.2">
      <c r="A99" s="906" t="s">
        <v>459</v>
      </c>
      <c r="B99" s="906" t="s">
        <v>179</v>
      </c>
      <c r="C99" s="908">
        <f>'Revenues 9-14'!B91</f>
        <v>1829</v>
      </c>
      <c r="D99" s="909" t="str">
        <f>'Revenues 9-14'!A91</f>
        <v>Sales - Other (Describe &amp; Itemize)</v>
      </c>
      <c r="E99" s="904"/>
      <c r="F99" s="1783">
        <f>'Revenues 9-14'!C91</f>
        <v>0</v>
      </c>
      <c r="G99" s="910"/>
    </row>
    <row r="100" spans="1:7" x14ac:dyDescent="0.2">
      <c r="A100" s="906" t="s">
        <v>459</v>
      </c>
      <c r="B100" s="906" t="s">
        <v>180</v>
      </c>
      <c r="C100" s="908">
        <f>'Revenues 9-14'!B92</f>
        <v>1890</v>
      </c>
      <c r="D100" s="909" t="str">
        <f>'Revenues 9-14'!A92</f>
        <v>Other (Describe &amp; Itemize)</v>
      </c>
      <c r="E100" s="904"/>
      <c r="F100" s="1783">
        <f>'Revenues 9-14'!C92</f>
        <v>0</v>
      </c>
      <c r="G100" s="910"/>
    </row>
    <row r="101" spans="1:7" x14ac:dyDescent="0.2">
      <c r="A101" s="906" t="s">
        <v>140</v>
      </c>
      <c r="B101" s="906" t="s">
        <v>181</v>
      </c>
      <c r="C101" s="908">
        <f>'Revenues 9-14'!B95</f>
        <v>1910</v>
      </c>
      <c r="D101" s="909" t="str">
        <f>'Revenues 9-14'!A95</f>
        <v>Rentals</v>
      </c>
      <c r="E101" s="904"/>
      <c r="F101" s="1783">
        <f>SUM('Revenues 9-14'!C95:D95)</f>
        <v>0</v>
      </c>
      <c r="G101" s="910"/>
    </row>
    <row r="102" spans="1:7" x14ac:dyDescent="0.2">
      <c r="A102" s="906" t="s">
        <v>503</v>
      </c>
      <c r="B102" s="906" t="s">
        <v>182</v>
      </c>
      <c r="C102" s="908">
        <f>'Revenues 9-14'!B98</f>
        <v>1940</v>
      </c>
      <c r="D102" s="909" t="str">
        <f>'Revenues 9-14'!A98</f>
        <v>Services Provided Other Districts</v>
      </c>
      <c r="E102" s="904"/>
      <c r="F102" s="1783">
        <f>SUM('Revenues 9-14'!C98,'Revenues 9-14'!D98,'Revenues 9-14'!F98)</f>
        <v>3728</v>
      </c>
      <c r="G102" s="910"/>
    </row>
    <row r="103" spans="1:7" x14ac:dyDescent="0.2">
      <c r="A103" s="906" t="s">
        <v>1009</v>
      </c>
      <c r="B103" s="906" t="s">
        <v>801</v>
      </c>
      <c r="C103" s="908">
        <f>'Revenues 9-14'!B104</f>
        <v>1991</v>
      </c>
      <c r="D103" s="917" t="str">
        <f>'Revenues 9-14'!A104</f>
        <v>Payment from Other Districts</v>
      </c>
      <c r="E103" s="904"/>
      <c r="F103" s="1783">
        <f>SUM('Revenues 9-14'!C104,'Revenues 9-14'!D104,'Revenues 9-14'!E104,'Revenues 9-14'!F104,'Revenues 9-14'!G104)</f>
        <v>13035</v>
      </c>
      <c r="G103" s="910"/>
    </row>
    <row r="104" spans="1:7" x14ac:dyDescent="0.2">
      <c r="A104" s="906" t="s">
        <v>459</v>
      </c>
      <c r="B104" s="906" t="s">
        <v>808</v>
      </c>
      <c r="C104" s="908">
        <f>'Revenues 9-14'!B106</f>
        <v>1993</v>
      </c>
      <c r="D104" s="909" t="str">
        <f>'Revenues 9-14'!A106</f>
        <v>Other Local Fees (Describe &amp; Itemize)</v>
      </c>
      <c r="E104" s="904"/>
      <c r="F104" s="1783">
        <f>('Revenues 9-14'!C106)</f>
        <v>0</v>
      </c>
      <c r="G104" s="910"/>
    </row>
    <row r="105" spans="1:7" x14ac:dyDescent="0.2">
      <c r="A105" s="906" t="s">
        <v>503</v>
      </c>
      <c r="B105" s="906" t="s">
        <v>2001</v>
      </c>
      <c r="C105" s="911">
        <v>3100</v>
      </c>
      <c r="D105" s="917" t="str">
        <f>'Revenues 9-14'!A132</f>
        <v>Total Special Education</v>
      </c>
      <c r="E105" s="904"/>
      <c r="F105" s="1783">
        <f>SUM('Revenues 9-14'!C132:D132,'Revenues 9-14'!F132)</f>
        <v>0</v>
      </c>
      <c r="G105" s="910"/>
    </row>
    <row r="106" spans="1:7" x14ac:dyDescent="0.2">
      <c r="A106" s="906" t="s">
        <v>673</v>
      </c>
      <c r="B106" s="906" t="s">
        <v>2002</v>
      </c>
      <c r="C106" s="918">
        <v>3200</v>
      </c>
      <c r="D106" s="909" t="str">
        <f>'Revenues 9-14'!A141</f>
        <v>Total Career and Technical Education</v>
      </c>
      <c r="E106" s="904"/>
      <c r="F106" s="1783">
        <f>SUM('Revenues 9-14'!C141,'Revenues 9-14'!D141,'Revenues 9-14'!G141)</f>
        <v>590506</v>
      </c>
      <c r="G106" s="910"/>
    </row>
    <row r="107" spans="1:7" x14ac:dyDescent="0.2">
      <c r="A107" s="919" t="s">
        <v>664</v>
      </c>
      <c r="B107" s="906" t="s">
        <v>2003</v>
      </c>
      <c r="C107" s="918">
        <v>3300</v>
      </c>
      <c r="D107" s="909" t="str">
        <f>'Revenues 9-14'!A145</f>
        <v>Total Bilingual Ed</v>
      </c>
      <c r="E107" s="904"/>
      <c r="F107" s="1783">
        <f>SUM('Revenues 9-14'!C145,'Revenues 9-14'!G145)</f>
        <v>0</v>
      </c>
      <c r="G107" s="910"/>
    </row>
    <row r="108" spans="1:7" x14ac:dyDescent="0.2">
      <c r="A108" s="906" t="s">
        <v>459</v>
      </c>
      <c r="B108" s="906" t="s">
        <v>2004</v>
      </c>
      <c r="C108" s="918">
        <f>'Revenues 9-14'!B146</f>
        <v>3360</v>
      </c>
      <c r="D108" s="909" t="str">
        <f>'Revenues 9-14'!A146</f>
        <v>State Free Lunch &amp; Breakfast</v>
      </c>
      <c r="E108" s="904"/>
      <c r="F108" s="1783">
        <f>'Revenues 9-14'!C146</f>
        <v>0</v>
      </c>
      <c r="G108" s="910"/>
    </row>
    <row r="109" spans="1:7" x14ac:dyDescent="0.2">
      <c r="A109" s="906" t="s">
        <v>673</v>
      </c>
      <c r="B109" s="906" t="s">
        <v>2005</v>
      </c>
      <c r="C109" s="918">
        <f>'Revenues 9-14'!B147</f>
        <v>3365</v>
      </c>
      <c r="D109" s="909" t="str">
        <f>'Revenues 9-14'!A147</f>
        <v>School Breakfast Initiative</v>
      </c>
      <c r="E109" s="904"/>
      <c r="F109" s="1783">
        <f>SUM('Revenues 9-14'!C147,'Revenues 9-14'!D147,'Revenues 9-14'!G147)</f>
        <v>0</v>
      </c>
      <c r="G109" s="910"/>
    </row>
    <row r="110" spans="1:7" x14ac:dyDescent="0.2">
      <c r="A110" s="906" t="s">
        <v>140</v>
      </c>
      <c r="B110" s="906" t="s">
        <v>2006</v>
      </c>
      <c r="C110" s="918">
        <f>'Revenues 9-14'!B148</f>
        <v>3370</v>
      </c>
      <c r="D110" s="909" t="str">
        <f>'Revenues 9-14'!A148</f>
        <v>Driver Education</v>
      </c>
      <c r="E110" s="904"/>
      <c r="F110" s="1783">
        <f>SUM('Revenues 9-14'!C148,'Revenues 9-14'!D148)</f>
        <v>0</v>
      </c>
      <c r="G110" s="910"/>
    </row>
    <row r="111" spans="1:7" x14ac:dyDescent="0.2">
      <c r="A111" s="906" t="s">
        <v>668</v>
      </c>
      <c r="B111" s="906" t="s">
        <v>2007</v>
      </c>
      <c r="C111" s="920">
        <v>3500</v>
      </c>
      <c r="D111" s="909" t="str">
        <f>'Revenues 9-14'!A155</f>
        <v>Total Transportation</v>
      </c>
      <c r="E111" s="904"/>
      <c r="F111" s="1783">
        <f>SUM('Revenues 9-14'!C155,'Revenues 9-14'!D155,'Revenues 9-14'!F155,'Revenues 9-14'!G155)</f>
        <v>0</v>
      </c>
      <c r="G111" s="910"/>
    </row>
    <row r="112" spans="1:7" x14ac:dyDescent="0.2">
      <c r="A112" s="906" t="s">
        <v>459</v>
      </c>
      <c r="B112" s="906" t="s">
        <v>2008</v>
      </c>
      <c r="C112" s="918">
        <f>'Revenues 9-14'!B156</f>
        <v>3610</v>
      </c>
      <c r="D112" s="909" t="str">
        <f>'Revenues 9-14'!A156</f>
        <v>Learning Improvement - Change Grants</v>
      </c>
      <c r="E112" s="904"/>
      <c r="F112" s="1783">
        <f>'Revenues 9-14'!C156</f>
        <v>0</v>
      </c>
      <c r="G112" s="910"/>
    </row>
    <row r="113" spans="1:7" x14ac:dyDescent="0.2">
      <c r="A113" s="906" t="s">
        <v>668</v>
      </c>
      <c r="B113" s="906" t="s">
        <v>2009</v>
      </c>
      <c r="C113" s="918">
        <f>'Revenues 9-14'!B157</f>
        <v>3660</v>
      </c>
      <c r="D113" s="909" t="str">
        <f>'Revenues 9-14'!A157</f>
        <v>Scientific Literacy</v>
      </c>
      <c r="E113" s="904"/>
      <c r="F113" s="1783">
        <f>SUM('Revenues 9-14'!C157,'Revenues 9-14'!D157,'Revenues 9-14'!F157,'Revenues 9-14'!G157)</f>
        <v>0</v>
      </c>
      <c r="G113" s="910"/>
    </row>
    <row r="114" spans="1:7" x14ac:dyDescent="0.2">
      <c r="A114" s="906" t="s">
        <v>5</v>
      </c>
      <c r="B114" s="906" t="s">
        <v>2010</v>
      </c>
      <c r="C114" s="918">
        <f>'Revenues 9-14'!B158</f>
        <v>3695</v>
      </c>
      <c r="D114" s="909" t="str">
        <f>'Revenues 9-14'!A158</f>
        <v>Truant Alternative/Optional Education</v>
      </c>
      <c r="E114" s="904"/>
      <c r="F114" s="1783">
        <f>SUM('Revenues 9-14'!C158,'Revenues 9-14'!F158,'Revenues 9-14'!G158)</f>
        <v>0</v>
      </c>
      <c r="G114" s="910"/>
    </row>
    <row r="115" spans="1:7" x14ac:dyDescent="0.2">
      <c r="A115" s="906" t="s">
        <v>668</v>
      </c>
      <c r="B115" s="906" t="s">
        <v>2011</v>
      </c>
      <c r="C115" s="918">
        <f>'Revenues 9-14'!B160</f>
        <v>3766</v>
      </c>
      <c r="D115" s="909" t="str">
        <f>'Revenues 9-14'!A160</f>
        <v>Chicago General Education Block Grant</v>
      </c>
      <c r="E115" s="904"/>
      <c r="F115" s="1783">
        <f>SUM('Revenues 9-14'!C160,'Revenues 9-14'!D160,'Revenues 9-14'!F160,'Revenues 9-14'!G160)</f>
        <v>0</v>
      </c>
      <c r="G115" s="910"/>
    </row>
    <row r="116" spans="1:7" x14ac:dyDescent="0.2">
      <c r="A116" s="906" t="s">
        <v>668</v>
      </c>
      <c r="B116" s="906" t="s">
        <v>2012</v>
      </c>
      <c r="C116" s="918">
        <f>'Revenues 9-14'!B161</f>
        <v>3767</v>
      </c>
      <c r="D116" s="909" t="str">
        <f>'Revenues 9-14'!A161</f>
        <v>Chicago Educational Services Block Grant</v>
      </c>
      <c r="E116" s="904"/>
      <c r="F116" s="1783">
        <f>SUM('Revenues 9-14'!C161,'Revenues 9-14'!D161,'Revenues 9-14'!F161,'Revenues 9-14'!G161)</f>
        <v>0</v>
      </c>
      <c r="G116" s="910"/>
    </row>
    <row r="117" spans="1:7" x14ac:dyDescent="0.2">
      <c r="A117" s="921" t="s">
        <v>1009</v>
      </c>
      <c r="B117" s="921" t="s">
        <v>2013</v>
      </c>
      <c r="C117" s="922">
        <f>'Revenues 9-14'!B162</f>
        <v>3775</v>
      </c>
      <c r="D117" s="923" t="str">
        <f>'Revenues 9-14'!A162</f>
        <v>School Safety &amp; Educational Improvement Block Grant</v>
      </c>
      <c r="E117" s="904"/>
      <c r="F117" s="1900">
        <f>SUM('Revenues 9-14'!C162,'Revenues 9-14'!D162,'Revenues 9-14'!E162,'Revenues 9-14'!F162,'Revenues 9-14'!G162)</f>
        <v>0</v>
      </c>
      <c r="G117" s="910"/>
    </row>
    <row r="118" spans="1:7" x14ac:dyDescent="0.2">
      <c r="A118" s="921" t="s">
        <v>1009</v>
      </c>
      <c r="B118" s="921" t="s">
        <v>2014</v>
      </c>
      <c r="C118" s="922">
        <f>'Revenues 9-14'!B163</f>
        <v>3780</v>
      </c>
      <c r="D118" s="923" t="str">
        <f>'Revenues 9-14'!A163</f>
        <v>Technology - Technology for Success</v>
      </c>
      <c r="E118" s="904"/>
      <c r="F118" s="1900">
        <f>SUM('Revenues 9-14'!C163:G163)</f>
        <v>0</v>
      </c>
      <c r="G118" s="910"/>
    </row>
    <row r="119" spans="1:7" x14ac:dyDescent="0.2">
      <c r="A119" s="921" t="s">
        <v>504</v>
      </c>
      <c r="B119" s="921" t="s">
        <v>2015</v>
      </c>
      <c r="C119" s="922">
        <f>'Revenues 9-14'!B164</f>
        <v>3815</v>
      </c>
      <c r="D119" s="923" t="str">
        <f>'Revenues 9-14'!A164</f>
        <v>State Charter Schools</v>
      </c>
      <c r="E119" s="904"/>
      <c r="F119" s="1900">
        <f>SUM('Revenues 9-14'!C164,'Revenues 9-14'!F164)</f>
        <v>0</v>
      </c>
      <c r="G119" s="910"/>
    </row>
    <row r="120" spans="1:7" x14ac:dyDescent="0.2">
      <c r="A120" s="925" t="s">
        <v>460</v>
      </c>
      <c r="B120" s="925" t="s">
        <v>2016</v>
      </c>
      <c r="C120" s="926">
        <f>'Revenues 9-14'!B167</f>
        <v>3925</v>
      </c>
      <c r="D120" s="927" t="str">
        <f>'Revenues 9-14'!A167</f>
        <v>School Infrastructure - Maintenance Projects</v>
      </c>
      <c r="E120" s="904"/>
      <c r="F120" s="1783">
        <f>'Revenues 9-14'!D167</f>
        <v>0</v>
      </c>
      <c r="G120" s="928"/>
    </row>
    <row r="121" spans="1:7" x14ac:dyDescent="0.2">
      <c r="A121" s="925" t="s">
        <v>500</v>
      </c>
      <c r="B121" s="925" t="s">
        <v>2017</v>
      </c>
      <c r="C121" s="926">
        <f>'Revenues 9-14'!B168</f>
        <v>3999</v>
      </c>
      <c r="D121" s="927" t="s">
        <v>543</v>
      </c>
      <c r="E121" s="929"/>
      <c r="F121" s="1783">
        <f>SUM('Revenues 9-14'!C168:G168,'Revenues 9-14'!J168)</f>
        <v>0</v>
      </c>
      <c r="G121" s="928"/>
    </row>
    <row r="122" spans="1:7" x14ac:dyDescent="0.2">
      <c r="A122" s="925" t="s">
        <v>459</v>
      </c>
      <c r="B122" s="925" t="s">
        <v>2018</v>
      </c>
      <c r="C122" s="930">
        <f>'Revenues 9-14'!B177</f>
        <v>4045</v>
      </c>
      <c r="D122" s="927" t="str">
        <f>'Revenues 9-14'!A177 &amp; " (Subtract)"</f>
        <v>Head Start (Subtract)</v>
      </c>
      <c r="E122" s="904"/>
      <c r="F122" s="1783">
        <f>SUM(-'Revenues 9-14'!C177)</f>
        <v>0</v>
      </c>
      <c r="G122" s="928"/>
    </row>
    <row r="123" spans="1:7" x14ac:dyDescent="0.2">
      <c r="A123" s="925" t="s">
        <v>668</v>
      </c>
      <c r="B123" s="925" t="s">
        <v>2019</v>
      </c>
      <c r="C123" s="930" t="s">
        <v>982</v>
      </c>
      <c r="D123" s="927" t="str">
        <f>('Revenues 9-14'!A181)</f>
        <v>Total Restricted Grants-In-Aid Received Directly from Federal Govt</v>
      </c>
      <c r="E123" s="904"/>
      <c r="F123" s="1783">
        <f>SUM('Revenues 9-14'!C181,'Revenues 9-14'!D181,'Revenues 9-14'!F181,'Revenues 9-14'!G181)</f>
        <v>0</v>
      </c>
      <c r="G123" s="928"/>
    </row>
    <row r="124" spans="1:7" x14ac:dyDescent="0.2">
      <c r="A124" s="925" t="s">
        <v>668</v>
      </c>
      <c r="B124" s="925" t="s">
        <v>2020</v>
      </c>
      <c r="C124" s="930">
        <v>4100</v>
      </c>
      <c r="D124" s="931" t="str">
        <f>'Revenues 9-14'!A188</f>
        <v>Total Title V</v>
      </c>
      <c r="E124" s="904"/>
      <c r="F124" s="1783">
        <f>SUM('Revenues 9-14'!C188,'Revenues 9-14'!D188,'Revenues 9-14'!F188,'Revenues 9-14'!G188)</f>
        <v>0</v>
      </c>
      <c r="G124" s="928"/>
    </row>
    <row r="125" spans="1:7" x14ac:dyDescent="0.2">
      <c r="A125" s="925" t="s">
        <v>664</v>
      </c>
      <c r="B125" s="925" t="s">
        <v>2021</v>
      </c>
      <c r="C125" s="930">
        <v>4200</v>
      </c>
      <c r="D125" s="927" t="str">
        <f>'Revenues 9-14'!A198</f>
        <v>Total Food Service</v>
      </c>
      <c r="E125" s="904"/>
      <c r="F125" s="1783">
        <f>SUM('Revenues 9-14'!C198,'Revenues 9-14'!G198)</f>
        <v>0</v>
      </c>
      <c r="G125" s="928"/>
    </row>
    <row r="126" spans="1:7" x14ac:dyDescent="0.2">
      <c r="A126" s="925" t="s">
        <v>668</v>
      </c>
      <c r="B126" s="925" t="s">
        <v>2022</v>
      </c>
      <c r="C126" s="930">
        <v>4300</v>
      </c>
      <c r="D126" s="931" t="str">
        <f>'Revenues 9-14'!A204</f>
        <v>Total Title I</v>
      </c>
      <c r="E126" s="904"/>
      <c r="F126" s="1783">
        <f>SUM('Revenues 9-14'!C204,'Revenues 9-14'!D204,'Revenues 9-14'!F204,'Revenues 9-14'!G204)</f>
        <v>0</v>
      </c>
      <c r="G126" s="928"/>
    </row>
    <row r="127" spans="1:7" x14ac:dyDescent="0.2">
      <c r="A127" s="925" t="s">
        <v>668</v>
      </c>
      <c r="B127" s="925" t="s">
        <v>2023</v>
      </c>
      <c r="C127" s="930">
        <v>4400</v>
      </c>
      <c r="D127" s="931" t="str">
        <f>'Revenues 9-14'!A209</f>
        <v>Total Title IV</v>
      </c>
      <c r="E127" s="904"/>
      <c r="F127" s="1783">
        <f>SUM('Revenues 9-14'!C209,'Revenues 9-14'!D209,'Revenues 9-14'!F209,'Revenues 9-14'!G209)</f>
        <v>0</v>
      </c>
      <c r="G127" s="928"/>
    </row>
    <row r="128" spans="1:7" x14ac:dyDescent="0.2">
      <c r="A128" s="925" t="s">
        <v>668</v>
      </c>
      <c r="B128" s="925" t="s">
        <v>2024</v>
      </c>
      <c r="C128" s="930">
        <f>'Revenues 9-14'!B213</f>
        <v>4620</v>
      </c>
      <c r="D128" s="931" t="str">
        <f>'Revenues 9-14'!A213</f>
        <v>Fed - Spec Education - IDEA - Flow Through</v>
      </c>
      <c r="E128" s="904"/>
      <c r="F128" s="1783">
        <f>SUM('Revenues 9-14'!C213:D213,'Revenues 9-14'!F213:G213)</f>
        <v>0</v>
      </c>
      <c r="G128" s="928"/>
    </row>
    <row r="129" spans="1:7" x14ac:dyDescent="0.2">
      <c r="A129" s="925" t="s">
        <v>668</v>
      </c>
      <c r="B129" s="925" t="s">
        <v>2025</v>
      </c>
      <c r="C129" s="930">
        <f>'Revenues 9-14'!B214</f>
        <v>4625</v>
      </c>
      <c r="D129" s="931" t="str">
        <f>'Revenues 9-14'!A214</f>
        <v>Fed - Spec Education - IDEA - Room &amp; Board</v>
      </c>
      <c r="E129" s="904"/>
      <c r="F129" s="1783">
        <f>SUM('Revenues 9-14'!C214,'Revenues 9-14'!D214,'Revenues 9-14'!F214,'Revenues 9-14'!G214)</f>
        <v>0</v>
      </c>
      <c r="G129" s="928"/>
    </row>
    <row r="130" spans="1:7" x14ac:dyDescent="0.2">
      <c r="A130" s="925" t="s">
        <v>668</v>
      </c>
      <c r="B130" s="925" t="s">
        <v>2026</v>
      </c>
      <c r="C130" s="930">
        <f>'Revenues 9-14'!B215</f>
        <v>4630</v>
      </c>
      <c r="D130" s="931" t="str">
        <f>'Revenues 9-14'!A215</f>
        <v>Fed - Spec Education - IDEA - Discretionary</v>
      </c>
      <c r="E130" s="904"/>
      <c r="F130" s="1783">
        <f>SUM('Revenues 9-14'!C215:D215,'Revenues 9-14'!F215:G215)</f>
        <v>0</v>
      </c>
      <c r="G130" s="928">
        <v>6297</v>
      </c>
    </row>
    <row r="131" spans="1:7" x14ac:dyDescent="0.2">
      <c r="A131" s="925" t="s">
        <v>668</v>
      </c>
      <c r="B131" s="925" t="s">
        <v>776</v>
      </c>
      <c r="C131" s="930">
        <f>'Revenues 9-14'!B216</f>
        <v>4699</v>
      </c>
      <c r="D131" s="931" t="str">
        <f>'Revenues 9-14'!A216</f>
        <v>Fed - Spec Education - IDEA - Other (Describe &amp; Itemize)</v>
      </c>
      <c r="E131" s="904"/>
      <c r="F131" s="1783">
        <f>SUM('Revenues 9-14'!C216:D216,'Revenues 9-14'!F216:G216)</f>
        <v>0</v>
      </c>
      <c r="G131" s="928"/>
    </row>
    <row r="132" spans="1:7" x14ac:dyDescent="0.2">
      <c r="A132" s="925" t="s">
        <v>673</v>
      </c>
      <c r="B132" s="925" t="s">
        <v>2027</v>
      </c>
      <c r="C132" s="930">
        <v>4700</v>
      </c>
      <c r="D132" s="927" t="str">
        <f>'Revenues 9-14'!A221</f>
        <v>Total CTE - Perkins</v>
      </c>
      <c r="E132" s="904"/>
      <c r="F132" s="1783">
        <f>SUM('Revenues 9-14'!C221,'Revenues 9-14'!D221,'Revenues 9-14'!G221)</f>
        <v>0</v>
      </c>
      <c r="G132" s="928">
        <v>6303</v>
      </c>
    </row>
    <row r="133" spans="1:7" s="865" customFormat="1" hidden="1" x14ac:dyDescent="0.2">
      <c r="A133" s="932" t="s">
        <v>206</v>
      </c>
      <c r="B133" s="932" t="s">
        <v>2028</v>
      </c>
      <c r="C133" s="933" t="s">
        <v>207</v>
      </c>
      <c r="D133" s="934" t="str">
        <f>'Revenues 9-14'!A224</f>
        <v>ARRA - Title I - Low Income</v>
      </c>
      <c r="E133" s="935"/>
      <c r="F133" s="1900">
        <f>SUM('Revenues 9-14'!$C$224:$D$224,'Revenues 9-14'!$F$224:$G$224)</f>
        <v>0</v>
      </c>
      <c r="G133" s="903"/>
    </row>
    <row r="134" spans="1:7" s="865" customFormat="1" hidden="1" x14ac:dyDescent="0.2">
      <c r="A134" s="932" t="s">
        <v>206</v>
      </c>
      <c r="B134" s="932" t="s">
        <v>2029</v>
      </c>
      <c r="C134" s="933" t="s">
        <v>208</v>
      </c>
      <c r="D134" s="934" t="str">
        <f>'Revenues 9-14'!A225</f>
        <v>ARRA - Title I - Neglected, Private</v>
      </c>
      <c r="E134" s="935"/>
      <c r="F134" s="1783">
        <f>SUM('Revenues 9-14'!C225:G225,'Revenues 9-14'!J225)</f>
        <v>0</v>
      </c>
      <c r="G134" s="903"/>
    </row>
    <row r="135" spans="1:7" s="865" customFormat="1" hidden="1" x14ac:dyDescent="0.2">
      <c r="A135" s="932" t="s">
        <v>206</v>
      </c>
      <c r="B135" s="932" t="s">
        <v>2030</v>
      </c>
      <c r="C135" s="933" t="s">
        <v>209</v>
      </c>
      <c r="D135" s="934" t="str">
        <f>'Revenues 9-14'!A226</f>
        <v>ARRA - Title I - Delinquent, Private</v>
      </c>
      <c r="E135" s="935"/>
      <c r="F135" s="1783">
        <f>SUM('Revenues 9-14'!C226:G226,'Revenues 9-14'!J226)</f>
        <v>0</v>
      </c>
      <c r="G135" s="903"/>
    </row>
    <row r="136" spans="1:7" s="865" customFormat="1" hidden="1" x14ac:dyDescent="0.2">
      <c r="A136" s="932" t="s">
        <v>206</v>
      </c>
      <c r="B136" s="932" t="s">
        <v>2031</v>
      </c>
      <c r="C136" s="933" t="s">
        <v>210</v>
      </c>
      <c r="D136" s="934" t="str">
        <f>'Revenues 9-14'!A227</f>
        <v>ARRA - Title I - School Improvement (Part A)</v>
      </c>
      <c r="E136" s="935"/>
      <c r="F136" s="1783">
        <f>SUM('Revenues 9-14'!C227:G227,'Revenues 9-14'!J227)</f>
        <v>0</v>
      </c>
      <c r="G136" s="903"/>
    </row>
    <row r="137" spans="1:7" s="865" customFormat="1" hidden="1" x14ac:dyDescent="0.2">
      <c r="A137" s="932" t="s">
        <v>206</v>
      </c>
      <c r="B137" s="932" t="s">
        <v>2032</v>
      </c>
      <c r="C137" s="933" t="s">
        <v>211</v>
      </c>
      <c r="D137" s="934" t="str">
        <f>'Revenues 9-14'!A228</f>
        <v>ARRA - Title I - School Improvement (Section 1003g)</v>
      </c>
      <c r="E137" s="935"/>
      <c r="F137" s="1783">
        <f>SUM('Revenues 9-14'!C228:G228,'Revenues 9-14'!J228)</f>
        <v>0</v>
      </c>
      <c r="G137" s="903"/>
    </row>
    <row r="138" spans="1:7" s="865" customFormat="1" hidden="1" x14ac:dyDescent="0.2">
      <c r="A138" s="932" t="s">
        <v>206</v>
      </c>
      <c r="B138" s="932" t="s">
        <v>2033</v>
      </c>
      <c r="C138" s="933" t="s">
        <v>212</v>
      </c>
      <c r="D138" s="934" t="str">
        <f>'Revenues 9-14'!A229</f>
        <v>ARRA - IDEA - Part B - Preschool</v>
      </c>
      <c r="E138" s="935"/>
      <c r="F138" s="1783">
        <v>0</v>
      </c>
      <c r="G138" s="903"/>
    </row>
    <row r="139" spans="1:7" s="865" customFormat="1" hidden="1" x14ac:dyDescent="0.2">
      <c r="A139" s="932" t="s">
        <v>206</v>
      </c>
      <c r="B139" s="932" t="s">
        <v>2034</v>
      </c>
      <c r="C139" s="933" t="s">
        <v>213</v>
      </c>
      <c r="D139" s="934" t="str">
        <f>'Revenues 9-14'!A230</f>
        <v>ARRA - IDEA - Part B - Flow-Through</v>
      </c>
      <c r="E139" s="935"/>
      <c r="F139" s="1783">
        <f>SUM('Revenues 9-14'!C230:G230,'Revenues 9-14'!J230)</f>
        <v>0</v>
      </c>
      <c r="G139" s="903"/>
    </row>
    <row r="140" spans="1:7" s="865" customFormat="1" hidden="1" x14ac:dyDescent="0.2">
      <c r="A140" s="932" t="s">
        <v>206</v>
      </c>
      <c r="B140" s="932" t="s">
        <v>2035</v>
      </c>
      <c r="C140" s="933" t="s">
        <v>214</v>
      </c>
      <c r="D140" s="934" t="str">
        <f>'Revenues 9-14'!A231</f>
        <v>ARRA - Title IID - Technology-Formula</v>
      </c>
      <c r="E140" s="935"/>
      <c r="F140" s="1783">
        <f>SUM('Revenues 9-14'!C231:G231,'Revenues 9-14'!J231)</f>
        <v>0</v>
      </c>
      <c r="G140" s="903"/>
    </row>
    <row r="141" spans="1:7" s="865" customFormat="1" hidden="1" x14ac:dyDescent="0.2">
      <c r="A141" s="932" t="s">
        <v>206</v>
      </c>
      <c r="B141" s="932" t="s">
        <v>2036</v>
      </c>
      <c r="C141" s="933" t="s">
        <v>216</v>
      </c>
      <c r="D141" s="934" t="str">
        <f>'Revenues 9-14'!A232</f>
        <v>ARRA - Title IID - Technology-Competitive</v>
      </c>
      <c r="E141" s="935"/>
      <c r="F141" s="1783">
        <f>SUM('Revenues 9-14'!C232:G232,'Revenues 9-14'!J232)</f>
        <v>0</v>
      </c>
      <c r="G141" s="903"/>
    </row>
    <row r="142" spans="1:7" s="865" customFormat="1" hidden="1" x14ac:dyDescent="0.2">
      <c r="A142" s="932" t="s">
        <v>668</v>
      </c>
      <c r="B142" s="932" t="s">
        <v>2037</v>
      </c>
      <c r="C142" s="933" t="s">
        <v>217</v>
      </c>
      <c r="D142" s="934" t="str">
        <f>'Revenues 9-14'!A233</f>
        <v>ARRA - McKinney - Vento Homeless Education</v>
      </c>
      <c r="E142" s="935"/>
      <c r="F142" s="1783">
        <f>SUM('Revenues 9-14'!C233:G233,'Revenues 9-14'!J233)</f>
        <v>0</v>
      </c>
      <c r="G142" s="903"/>
    </row>
    <row r="143" spans="1:7" s="865" customFormat="1" hidden="1" x14ac:dyDescent="0.2">
      <c r="A143" s="932" t="s">
        <v>206</v>
      </c>
      <c r="B143" s="932" t="s">
        <v>215</v>
      </c>
      <c r="C143" s="933" t="s">
        <v>218</v>
      </c>
      <c r="D143" s="934" t="str">
        <f>'Revenues 9-14'!A237</f>
        <v>Qualified Zone Academy Bond Tax Credits</v>
      </c>
      <c r="E143" s="935"/>
      <c r="F143" s="1783">
        <f>SUM('Revenues 9-14'!C237:G237,'Revenues 9-14'!J237)</f>
        <v>0</v>
      </c>
      <c r="G143" s="903"/>
    </row>
    <row r="144" spans="1:7" s="865" customFormat="1" hidden="1" x14ac:dyDescent="0.2">
      <c r="A144" s="932" t="s">
        <v>206</v>
      </c>
      <c r="B144" s="932" t="s">
        <v>809</v>
      </c>
      <c r="C144" s="933" t="s">
        <v>219</v>
      </c>
      <c r="D144" s="934" t="str">
        <f>'Revenues 9-14'!A238</f>
        <v>Qualified School Construction Bond Credits</v>
      </c>
      <c r="E144" s="935"/>
      <c r="F144" s="1783">
        <f>SUM('Revenues 9-14'!C238:G238,'Revenues 9-14'!J238)</f>
        <v>0</v>
      </c>
      <c r="G144" s="903"/>
    </row>
    <row r="145" spans="1:7" s="865" customFormat="1" hidden="1" x14ac:dyDescent="0.2">
      <c r="A145" s="932" t="s">
        <v>206</v>
      </c>
      <c r="B145" s="932" t="s">
        <v>1416</v>
      </c>
      <c r="C145" s="933" t="s">
        <v>221</v>
      </c>
      <c r="D145" s="934" t="str">
        <f>'Revenues 9-14'!A239</f>
        <v>Build America Bond Tax Credits</v>
      </c>
      <c r="E145" s="935"/>
      <c r="F145" s="1783">
        <f>SUM('Revenues 9-14'!C239:G239,'Revenues 9-14'!J239)</f>
        <v>0</v>
      </c>
      <c r="G145" s="903"/>
    </row>
    <row r="146" spans="1:7" s="865" customFormat="1" hidden="1" x14ac:dyDescent="0.2">
      <c r="A146" s="932" t="s">
        <v>206</v>
      </c>
      <c r="B146" s="932" t="s">
        <v>2038</v>
      </c>
      <c r="C146" s="933" t="s">
        <v>223</v>
      </c>
      <c r="D146" s="934" t="str">
        <f>'Revenues 9-14'!A240</f>
        <v>Build America Bond Interest Reimbursement</v>
      </c>
      <c r="E146" s="935"/>
      <c r="F146" s="1783">
        <f>SUM('Revenues 9-14'!C240:G240,'Revenues 9-14'!J240)</f>
        <v>0</v>
      </c>
      <c r="G146" s="903"/>
    </row>
    <row r="147" spans="1:7" s="865" customFormat="1" hidden="1" x14ac:dyDescent="0.2">
      <c r="A147" s="932" t="s">
        <v>206</v>
      </c>
      <c r="B147" s="932" t="s">
        <v>2039</v>
      </c>
      <c r="C147" s="933" t="s">
        <v>225</v>
      </c>
      <c r="D147" s="934" t="str">
        <f>'Revenues 9-14'!A242</f>
        <v>Other ARRA Funds - II</v>
      </c>
      <c r="E147" s="935"/>
      <c r="F147" s="1783">
        <f>SUM('Revenues 9-14'!C242:G242,'Revenues 9-14'!J242)</f>
        <v>0</v>
      </c>
      <c r="G147" s="903"/>
    </row>
    <row r="148" spans="1:7" s="865" customFormat="1" hidden="1" x14ac:dyDescent="0.2">
      <c r="A148" s="932" t="s">
        <v>206</v>
      </c>
      <c r="B148" s="932" t="s">
        <v>2040</v>
      </c>
      <c r="C148" s="933" t="s">
        <v>226</v>
      </c>
      <c r="D148" s="934" t="str">
        <f>'Revenues 9-14'!A243</f>
        <v>Other ARRA Funds - III</v>
      </c>
      <c r="E148" s="935"/>
      <c r="F148" s="1783">
        <f>SUM('Revenues 9-14'!C243:G243,'Revenues 9-14'!J243)</f>
        <v>0</v>
      </c>
      <c r="G148" s="903"/>
    </row>
    <row r="149" spans="1:7" s="865" customFormat="1" hidden="1" x14ac:dyDescent="0.2">
      <c r="A149" s="932" t="s">
        <v>206</v>
      </c>
      <c r="B149" s="932" t="s">
        <v>220</v>
      </c>
      <c r="C149" s="933" t="s">
        <v>228</v>
      </c>
      <c r="D149" s="934" t="str">
        <f>'Revenues 9-14'!A244</f>
        <v>Other ARRA Funds - IV</v>
      </c>
      <c r="E149" s="935"/>
      <c r="F149" s="1783">
        <f>SUM('Revenues 9-14'!C244:G244,'Revenues 9-14'!J244)</f>
        <v>0</v>
      </c>
      <c r="G149" s="903"/>
    </row>
    <row r="150" spans="1:7" s="865" customFormat="1" hidden="1" x14ac:dyDescent="0.2">
      <c r="A150" s="932" t="s">
        <v>206</v>
      </c>
      <c r="B150" s="932" t="s">
        <v>222</v>
      </c>
      <c r="C150" s="933" t="s">
        <v>230</v>
      </c>
      <c r="D150" s="934" t="str">
        <f>'Revenues 9-14'!A245</f>
        <v>Other ARRA Funds - V</v>
      </c>
      <c r="E150" s="935"/>
      <c r="F150" s="1783">
        <f>SUM('Revenues 9-14'!C245:G245,'Revenues 9-14'!J245)</f>
        <v>0</v>
      </c>
      <c r="G150" s="903"/>
    </row>
    <row r="151" spans="1:7" s="865" customFormat="1" hidden="1" x14ac:dyDescent="0.2">
      <c r="A151" s="932" t="s">
        <v>206</v>
      </c>
      <c r="B151" s="932" t="s">
        <v>224</v>
      </c>
      <c r="C151" s="933" t="s">
        <v>232</v>
      </c>
      <c r="D151" s="934" t="str">
        <f>'Revenues 9-14'!A246</f>
        <v>ARRA - Early Childhood</v>
      </c>
      <c r="E151" s="935"/>
      <c r="F151" s="1783">
        <v>0</v>
      </c>
      <c r="G151" s="903"/>
    </row>
    <row r="152" spans="1:7" s="865" customFormat="1" hidden="1" x14ac:dyDescent="0.2">
      <c r="A152" s="932" t="s">
        <v>206</v>
      </c>
      <c r="B152" s="932" t="s">
        <v>1417</v>
      </c>
      <c r="C152" s="933" t="s">
        <v>233</v>
      </c>
      <c r="D152" s="934" t="str">
        <f>'Revenues 9-14'!A247</f>
        <v>Other ARRA Funds VII</v>
      </c>
      <c r="E152" s="935"/>
      <c r="F152" s="1783">
        <f>SUM('Revenues 9-14'!C247:G247,'Revenues 9-14'!J247)</f>
        <v>0</v>
      </c>
      <c r="G152" s="903"/>
    </row>
    <row r="153" spans="1:7" s="865" customFormat="1" hidden="1" x14ac:dyDescent="0.2">
      <c r="A153" s="932" t="s">
        <v>206</v>
      </c>
      <c r="B153" s="932" t="s">
        <v>2041</v>
      </c>
      <c r="C153" s="933" t="s">
        <v>234</v>
      </c>
      <c r="D153" s="934" t="str">
        <f>'Revenues 9-14'!A248</f>
        <v>Other ARRA Funds VIII</v>
      </c>
      <c r="E153" s="935"/>
      <c r="F153" s="1783">
        <f>SUM('Revenues 9-14'!C248:G248,'Revenues 9-14'!J248)</f>
        <v>0</v>
      </c>
      <c r="G153" s="903"/>
    </row>
    <row r="154" spans="1:7" s="865" customFormat="1" hidden="1" x14ac:dyDescent="0.2">
      <c r="A154" s="932" t="s">
        <v>206</v>
      </c>
      <c r="B154" s="932" t="s">
        <v>227</v>
      </c>
      <c r="C154" s="933" t="s">
        <v>235</v>
      </c>
      <c r="D154" s="934" t="str">
        <f>'Revenues 9-14'!A249</f>
        <v>Other ARRA Funds IX</v>
      </c>
      <c r="E154" s="935"/>
      <c r="F154" s="1783">
        <f>SUM('Revenues 9-14'!C249:G249,'Revenues 9-14'!J249)</f>
        <v>0</v>
      </c>
      <c r="G154" s="903"/>
    </row>
    <row r="155" spans="1:7" s="865" customFormat="1" hidden="1" x14ac:dyDescent="0.2">
      <c r="A155" s="932" t="s">
        <v>206</v>
      </c>
      <c r="B155" s="932" t="s">
        <v>229</v>
      </c>
      <c r="C155" s="933" t="s">
        <v>236</v>
      </c>
      <c r="D155" s="934" t="str">
        <f>'Revenues 9-14'!A250</f>
        <v>Other ARRA Funds X</v>
      </c>
      <c r="E155" s="935"/>
      <c r="F155" s="1783">
        <f>SUM('Revenues 9-14'!C250:G250,'Revenues 9-14'!J250)</f>
        <v>0</v>
      </c>
      <c r="G155" s="903"/>
    </row>
    <row r="156" spans="1:7" s="865" customFormat="1" hidden="1" x14ac:dyDescent="0.2">
      <c r="A156" s="932" t="s">
        <v>206</v>
      </c>
      <c r="B156" s="932" t="s">
        <v>231</v>
      </c>
      <c r="C156" s="933" t="s">
        <v>237</v>
      </c>
      <c r="D156" s="934" t="str">
        <f>'Revenues 9-14'!A251</f>
        <v>Other ARRA Funds Ed Job Fund Program</v>
      </c>
      <c r="E156" s="935"/>
      <c r="F156" s="1783">
        <f>SUM('Revenues 9-14'!C251:G251,'Revenues 9-14'!J251)</f>
        <v>0</v>
      </c>
      <c r="G156" s="903"/>
    </row>
    <row r="157" spans="1:7" s="865" customFormat="1" x14ac:dyDescent="0.2">
      <c r="A157" s="936" t="s">
        <v>500</v>
      </c>
      <c r="B157" s="937" t="s">
        <v>2042</v>
      </c>
      <c r="C157" s="938" t="s">
        <v>841</v>
      </c>
      <c r="D157" s="939" t="s">
        <v>777</v>
      </c>
      <c r="E157" s="940"/>
      <c r="F157" s="1783">
        <f>SUM(F133:F156)</f>
        <v>0</v>
      </c>
      <c r="G157" s="903"/>
    </row>
    <row r="158" spans="1:7" s="865" customFormat="1" x14ac:dyDescent="0.2">
      <c r="A158" s="936" t="s">
        <v>459</v>
      </c>
      <c r="B158" s="937" t="s">
        <v>2043</v>
      </c>
      <c r="C158" s="938" t="s">
        <v>1427</v>
      </c>
      <c r="D158" s="939" t="s">
        <v>1428</v>
      </c>
      <c r="E158" s="940"/>
      <c r="F158" s="1783">
        <f>SUM('Revenues 9-14'!C253)</f>
        <v>0</v>
      </c>
      <c r="G158" s="903"/>
    </row>
    <row r="159" spans="1:7" s="865" customFormat="1" x14ac:dyDescent="0.2">
      <c r="A159" s="936" t="s">
        <v>500</v>
      </c>
      <c r="B159" s="937" t="s">
        <v>2044</v>
      </c>
      <c r="C159" s="938" t="s">
        <v>1466</v>
      </c>
      <c r="D159" s="939" t="s">
        <v>1467</v>
      </c>
      <c r="E159" s="940"/>
      <c r="F159" s="1783">
        <f>SUM('Revenues 9-14'!C254:H254,'Revenues 9-14'!J254:K254)</f>
        <v>0</v>
      </c>
      <c r="G159" s="903"/>
    </row>
    <row r="160" spans="1:7" x14ac:dyDescent="0.2">
      <c r="A160" s="925" t="s">
        <v>5</v>
      </c>
      <c r="B160" s="925" t="s">
        <v>2045</v>
      </c>
      <c r="C160" s="930">
        <f>'Revenues 9-14'!B255</f>
        <v>4905</v>
      </c>
      <c r="D160" s="927" t="str">
        <f>'Revenues 9-14'!A255</f>
        <v>Title III - Immigrant Education Program (IEP)</v>
      </c>
      <c r="E160" s="904"/>
      <c r="F160" s="1783">
        <f>SUM('Revenues 9-14'!C255,'Revenues 9-14'!F255,'Revenues 9-14'!G255)</f>
        <v>0</v>
      </c>
      <c r="G160" s="941">
        <v>6306</v>
      </c>
    </row>
    <row r="161" spans="1:7" x14ac:dyDescent="0.2">
      <c r="A161" s="925" t="s">
        <v>5</v>
      </c>
      <c r="B161" s="925" t="s">
        <v>2046</v>
      </c>
      <c r="C161" s="930">
        <f>'Revenues 9-14'!B256</f>
        <v>4909</v>
      </c>
      <c r="D161" s="927" t="str">
        <f>'Revenues 9-14'!A256</f>
        <v>Title III - Language Inst Program - Limited Eng (LIPLEP)</v>
      </c>
      <c r="E161" s="904"/>
      <c r="F161" s="1783">
        <f>SUM('Revenues 9-14'!C256,'Revenues 9-14'!F256,'Revenues 9-14'!G256)</f>
        <v>0</v>
      </c>
      <c r="G161" s="941"/>
    </row>
    <row r="162" spans="1:7" x14ac:dyDescent="0.2">
      <c r="A162" s="925" t="s">
        <v>668</v>
      </c>
      <c r="B162" s="925" t="s">
        <v>2047</v>
      </c>
      <c r="C162" s="930">
        <f>'Revenues 9-14'!B257</f>
        <v>4920</v>
      </c>
      <c r="D162" s="927" t="str">
        <f>'Revenues 9-14'!A257</f>
        <v>McKinney Education for Homeless Children</v>
      </c>
      <c r="E162" s="904"/>
      <c r="F162" s="1783">
        <f>SUM('Revenues 9-14'!C257,'Revenues 9-14'!D257,'Revenues 9-14'!F257,'Revenues 9-14'!G257)</f>
        <v>0</v>
      </c>
      <c r="G162" s="928"/>
    </row>
    <row r="163" spans="1:7" x14ac:dyDescent="0.2">
      <c r="A163" s="942" t="s">
        <v>668</v>
      </c>
      <c r="B163" s="942" t="s">
        <v>2048</v>
      </c>
      <c r="C163" s="943">
        <f>'Revenues 9-14'!B258</f>
        <v>4930</v>
      </c>
      <c r="D163" s="944" t="str">
        <f>'Revenues 9-14'!A258</f>
        <v>Title II - Eisenhower Professional Development Formula</v>
      </c>
      <c r="E163" s="924"/>
      <c r="F163" s="1900">
        <f>SUM('Revenues 9-14'!C258:D258,'Revenues 9-14'!F258,'Revenues 9-14'!G258)</f>
        <v>0</v>
      </c>
      <c r="G163" s="928"/>
    </row>
    <row r="164" spans="1:7" x14ac:dyDescent="0.2">
      <c r="A164" s="925" t="s">
        <v>668</v>
      </c>
      <c r="B164" s="925" t="s">
        <v>2049</v>
      </c>
      <c r="C164" s="930">
        <f>'Revenues 9-14'!B259</f>
        <v>4932</v>
      </c>
      <c r="D164" s="931" t="str">
        <f>'Revenues 9-14'!A259</f>
        <v>Title II - Teacher Quality</v>
      </c>
      <c r="E164" s="904"/>
      <c r="F164" s="1900">
        <f>SUM('Revenues 9-14'!C259,'Revenues 9-14'!D259,'Revenues 9-14'!F259,'Revenues 9-14'!G259)</f>
        <v>0</v>
      </c>
      <c r="G164" s="928"/>
    </row>
    <row r="165" spans="1:7" x14ac:dyDescent="0.2">
      <c r="A165" s="925" t="s">
        <v>668</v>
      </c>
      <c r="B165" s="925" t="s">
        <v>2050</v>
      </c>
      <c r="C165" s="930">
        <f>'Revenues 9-14'!B260</f>
        <v>4960</v>
      </c>
      <c r="D165" s="927" t="str">
        <f>'Revenues 9-14'!A260</f>
        <v>Federal Charter Schools</v>
      </c>
      <c r="E165" s="904"/>
      <c r="F165" s="1783">
        <f>SUM('Revenues 9-14'!C260:D260,'Revenues 9-14'!F260:G260)</f>
        <v>0</v>
      </c>
      <c r="G165" s="928"/>
    </row>
    <row r="166" spans="1:7" x14ac:dyDescent="0.2">
      <c r="A166" s="925" t="s">
        <v>668</v>
      </c>
      <c r="B166" s="925" t="s">
        <v>1995</v>
      </c>
      <c r="C166" s="930">
        <f>'Revenues 9-14'!B261</f>
        <v>4981</v>
      </c>
      <c r="D166" s="927" t="str">
        <f>'Revenues 9-14'!A261</f>
        <v>State Assessment Grants</v>
      </c>
      <c r="E166" s="904"/>
      <c r="F166" s="1783">
        <f>SUM('Revenues 9-14'!C261:D261,'Revenues 9-14'!F261:G261)</f>
        <v>0</v>
      </c>
      <c r="G166" s="928"/>
    </row>
    <row r="167" spans="1:7" x14ac:dyDescent="0.2">
      <c r="A167" s="925" t="s">
        <v>668</v>
      </c>
      <c r="B167" s="925" t="s">
        <v>1996</v>
      </c>
      <c r="C167" s="930">
        <f>'Revenues 9-14'!B262</f>
        <v>4982</v>
      </c>
      <c r="D167" s="927" t="str">
        <f>'Revenues 9-14'!A262</f>
        <v>Grant for State Assessments and Related Activities</v>
      </c>
      <c r="E167" s="904"/>
      <c r="F167" s="1783">
        <f>SUM('Revenues 9-14'!C262:D262,'Revenues 9-14'!F262:G262)</f>
        <v>0</v>
      </c>
      <c r="G167" s="928"/>
    </row>
    <row r="168" spans="1:7" x14ac:dyDescent="0.2">
      <c r="A168" s="925" t="s">
        <v>668</v>
      </c>
      <c r="B168" s="925" t="s">
        <v>2051</v>
      </c>
      <c r="C168" s="930">
        <f>'Revenues 9-14'!B263</f>
        <v>4991</v>
      </c>
      <c r="D168" s="931" t="str">
        <f>'Revenues 9-14'!A263</f>
        <v>Medicaid Matching Funds - Administrative Outreach</v>
      </c>
      <c r="E168" s="904"/>
      <c r="F168" s="1783">
        <f>SUM('Revenues 9-14'!C263:D263,'Revenues 9-14'!F263:G263)</f>
        <v>0</v>
      </c>
      <c r="G168" s="945">
        <v>6320</v>
      </c>
    </row>
    <row r="169" spans="1:7" x14ac:dyDescent="0.2">
      <c r="A169" s="925" t="s">
        <v>668</v>
      </c>
      <c r="B169" s="925" t="s">
        <v>2052</v>
      </c>
      <c r="C169" s="930">
        <f>'Revenues 9-14'!B264</f>
        <v>4992</v>
      </c>
      <c r="D169" s="931" t="str">
        <f>'Revenues 9-14'!A264</f>
        <v>Medicaid Matching Funds - Fee-for-Service Program</v>
      </c>
      <c r="E169" s="904"/>
      <c r="F169" s="1783">
        <f>SUM('Revenues 9-14'!C264:D264,'Revenues 9-14'!F264:G264)</f>
        <v>0</v>
      </c>
      <c r="G169" s="945"/>
    </row>
    <row r="170" spans="1:7" x14ac:dyDescent="0.2">
      <c r="A170" s="946" t="s">
        <v>668</v>
      </c>
      <c r="B170" s="942" t="s">
        <v>2053</v>
      </c>
      <c r="C170" s="943">
        <f>'Revenues 9-14'!B265</f>
        <v>4999</v>
      </c>
      <c r="D170" s="944" t="str">
        <f>'Revenues 9-14'!A265</f>
        <v>Other Restricted Revenue from Federal Sources (Describe &amp; Itemize)</v>
      </c>
      <c r="E170" s="904"/>
      <c r="F170" s="1783">
        <f>SUM('Revenues 9-14'!C265:D265,'Revenues 9-14'!F265:G265)</f>
        <v>0</v>
      </c>
      <c r="G170" s="925"/>
    </row>
    <row r="171" spans="1:7" x14ac:dyDescent="0.2">
      <c r="A171" s="1911" t="s">
        <v>5</v>
      </c>
      <c r="B171" s="1912" t="s">
        <v>1919</v>
      </c>
      <c r="C171" s="1913">
        <v>3100</v>
      </c>
      <c r="D171" s="1914" t="s">
        <v>1921</v>
      </c>
      <c r="E171" s="904"/>
      <c r="F171" s="1899"/>
      <c r="G171" s="925"/>
    </row>
    <row r="172" spans="1:7" x14ac:dyDescent="0.2">
      <c r="A172" s="1911" t="s">
        <v>664</v>
      </c>
      <c r="B172" s="1912" t="s">
        <v>1919</v>
      </c>
      <c r="C172" s="1913">
        <v>3300</v>
      </c>
      <c r="D172" s="1914" t="s">
        <v>1922</v>
      </c>
      <c r="E172" s="904"/>
      <c r="F172" s="1899"/>
      <c r="G172" s="925"/>
    </row>
    <row r="173" spans="1:7" ht="6" customHeight="1" x14ac:dyDescent="0.2">
      <c r="A173" s="925"/>
      <c r="B173" s="925"/>
      <c r="C173" s="947"/>
      <c r="D173" s="925"/>
      <c r="E173" s="904"/>
      <c r="F173" s="948"/>
      <c r="G173" s="945"/>
    </row>
    <row r="174" spans="1:7" x14ac:dyDescent="0.2">
      <c r="A174" s="1764"/>
      <c r="B174" s="1778"/>
      <c r="C174" s="1779"/>
      <c r="D174" s="1780" t="s">
        <v>2054</v>
      </c>
      <c r="E174" s="1781" t="s">
        <v>958</v>
      </c>
      <c r="F174" s="1782">
        <f>SUM(F84:F132,F157:F172)</f>
        <v>798374</v>
      </c>
    </row>
    <row r="175" spans="1:7" ht="12" customHeight="1" x14ac:dyDescent="0.2">
      <c r="A175" s="1764"/>
      <c r="B175" s="1778"/>
      <c r="C175" s="1779"/>
      <c r="D175" s="1780" t="s">
        <v>2055</v>
      </c>
      <c r="E175" s="1781"/>
      <c r="F175" s="1783">
        <f>'PCTC-OEPP 27-28'!F77-F174</f>
        <v>-393088</v>
      </c>
    </row>
    <row r="176" spans="1:7" ht="12" customHeight="1" x14ac:dyDescent="0.2">
      <c r="A176" s="1764"/>
      <c r="B176" s="1778"/>
      <c r="C176" s="1779"/>
      <c r="D176" s="1780" t="s">
        <v>1817</v>
      </c>
      <c r="E176" s="1781"/>
      <c r="F176" s="1783">
        <f>'Cap Outlay Deprec 26'!I18</f>
        <v>9569</v>
      </c>
    </row>
    <row r="177" spans="1:7" ht="12" customHeight="1" x14ac:dyDescent="0.2">
      <c r="A177" s="1764"/>
      <c r="B177" s="1778"/>
      <c r="C177" s="1779"/>
      <c r="D177" s="1780" t="s">
        <v>2056</v>
      </c>
      <c r="E177" s="1781"/>
      <c r="F177" s="1783">
        <f>F175+F176</f>
        <v>-383519</v>
      </c>
    </row>
    <row r="178" spans="1:7" ht="12" customHeight="1" x14ac:dyDescent="0.2">
      <c r="A178" s="1764"/>
      <c r="B178" s="1784"/>
      <c r="C178" s="1779"/>
      <c r="D178" s="1780" t="str">
        <f>D78</f>
        <v>9 Month ADA from District Average Daily Attendance/Prior General State Aid Inquiry 2018-2019</v>
      </c>
      <c r="E178" s="1781"/>
      <c r="F178" s="1785">
        <f>'PCTC-OEPP 27-28'!F78</f>
        <v>0</v>
      </c>
      <c r="G178" s="928"/>
    </row>
    <row r="179" spans="1:7" ht="12" customHeight="1" thickBot="1" x14ac:dyDescent="0.25">
      <c r="A179" s="1764"/>
      <c r="B179" s="1784"/>
      <c r="C179" s="1779"/>
      <c r="D179" s="1780" t="s">
        <v>2057</v>
      </c>
      <c r="E179" s="1781" t="s">
        <v>1545</v>
      </c>
      <c r="F179" s="1786" t="e">
        <f>F177/F178</f>
        <v>#DIV/0!</v>
      </c>
      <c r="G179" s="854">
        <v>6323</v>
      </c>
    </row>
    <row r="180" spans="1:7" ht="12" thickTop="1" x14ac:dyDescent="0.2">
      <c r="B180" s="928"/>
      <c r="C180" s="947"/>
      <c r="D180" s="928"/>
      <c r="E180" s="947"/>
      <c r="F180" s="928"/>
      <c r="G180" s="949">
        <v>6326</v>
      </c>
    </row>
    <row r="181" spans="1:7" ht="12.2" customHeight="1" x14ac:dyDescent="0.2">
      <c r="A181" s="928" t="s">
        <v>1920</v>
      </c>
      <c r="B181" s="928"/>
      <c r="C181" s="947"/>
      <c r="D181" s="928"/>
      <c r="E181" s="947"/>
      <c r="F181" s="928"/>
      <c r="G181" s="928"/>
    </row>
    <row r="182" spans="1:7" s="1915" customFormat="1" ht="12.2" customHeight="1" x14ac:dyDescent="0.2">
      <c r="A182" s="1915" t="s">
        <v>1992</v>
      </c>
      <c r="B182" s="1916"/>
      <c r="C182" s="1917"/>
      <c r="D182" s="1916"/>
      <c r="E182" s="1917"/>
      <c r="F182" s="1916"/>
      <c r="G182" s="1916"/>
    </row>
    <row r="183" spans="1:7" s="1915" customFormat="1" ht="12.2" customHeight="1" x14ac:dyDescent="0.2">
      <c r="A183" s="1918" t="s">
        <v>1994</v>
      </c>
      <c r="C183" s="1917"/>
      <c r="D183" s="1916"/>
      <c r="E183" s="1917"/>
      <c r="F183" s="1916"/>
      <c r="G183" s="1916"/>
    </row>
    <row r="184" spans="1:7" ht="12" customHeight="1" x14ac:dyDescent="0.2">
      <c r="C184" s="947"/>
      <c r="D184" s="928"/>
      <c r="E184" s="947"/>
      <c r="F184" s="928"/>
      <c r="G184" s="928"/>
    </row>
    <row r="185" spans="1:7" x14ac:dyDescent="0.2">
      <c r="A185" s="1919" t="s">
        <v>1924</v>
      </c>
      <c r="B185" s="1920" t="s">
        <v>1923</v>
      </c>
      <c r="C185" s="947"/>
      <c r="D185" s="928"/>
      <c r="E185" s="947"/>
      <c r="F185" s="928"/>
      <c r="G185" s="928"/>
    </row>
    <row r="186" spans="1:7" x14ac:dyDescent="0.2">
      <c r="A186" s="928"/>
      <c r="B186" s="928"/>
      <c r="C186" s="947"/>
      <c r="D186" s="928"/>
      <c r="E186" s="947"/>
      <c r="F186" s="928"/>
      <c r="G186" s="928"/>
    </row>
    <row r="187" spans="1:7" x14ac:dyDescent="0.2">
      <c r="A187" s="928"/>
      <c r="B187" s="928"/>
      <c r="C187" s="947"/>
      <c r="D187" s="928"/>
      <c r="E187" s="947"/>
      <c r="F187" s="928"/>
      <c r="G187" s="928"/>
    </row>
    <row r="188" spans="1:7" x14ac:dyDescent="0.2">
      <c r="A188" s="928"/>
      <c r="B188" s="928"/>
      <c r="C188" s="947"/>
      <c r="D188" s="928"/>
      <c r="E188" s="947"/>
      <c r="F188" s="928"/>
      <c r="G188" s="928"/>
    </row>
    <row r="189" spans="1:7" x14ac:dyDescent="0.2">
      <c r="A189" s="928"/>
      <c r="B189" s="928"/>
      <c r="C189" s="947"/>
      <c r="D189" s="928"/>
      <c r="E189" s="947"/>
      <c r="F189" s="928"/>
      <c r="G189" s="928"/>
    </row>
    <row r="190" spans="1:7" x14ac:dyDescent="0.2">
      <c r="A190" s="928"/>
      <c r="B190" s="928"/>
      <c r="C190" s="947"/>
      <c r="D190" s="928"/>
      <c r="E190" s="947"/>
      <c r="F190" s="928"/>
      <c r="G190" s="928"/>
    </row>
    <row r="191" spans="1:7" x14ac:dyDescent="0.2">
      <c r="A191" s="928"/>
      <c r="B191" s="928"/>
      <c r="C191" s="947"/>
      <c r="D191" s="928"/>
      <c r="E191" s="947"/>
      <c r="F191" s="928"/>
      <c r="G191" s="928"/>
    </row>
    <row r="192" spans="1:7" x14ac:dyDescent="0.2">
      <c r="A192" s="928"/>
      <c r="B192" s="928"/>
      <c r="C192" s="947"/>
      <c r="D192" s="928"/>
      <c r="E192" s="947"/>
      <c r="F192" s="928"/>
      <c r="G192" s="928"/>
    </row>
    <row r="193" spans="1:7" x14ac:dyDescent="0.2">
      <c r="A193" s="928"/>
      <c r="B193" s="928"/>
      <c r="C193" s="947"/>
      <c r="D193" s="928"/>
      <c r="E193" s="947"/>
      <c r="F193" s="928"/>
      <c r="G193" s="928"/>
    </row>
    <row r="194" spans="1:7" x14ac:dyDescent="0.2">
      <c r="A194" s="928"/>
      <c r="B194" s="928"/>
      <c r="C194" s="947"/>
      <c r="D194" s="928"/>
      <c r="E194" s="947"/>
      <c r="F194" s="928"/>
      <c r="G194" s="928"/>
    </row>
    <row r="195" spans="1:7" x14ac:dyDescent="0.2">
      <c r="A195" s="928"/>
      <c r="B195" s="928"/>
      <c r="C195" s="947"/>
      <c r="D195" s="928"/>
      <c r="E195" s="947"/>
      <c r="F195" s="928"/>
      <c r="G195" s="928"/>
    </row>
    <row r="196" spans="1:7" x14ac:dyDescent="0.2">
      <c r="A196" s="928"/>
      <c r="B196" s="928"/>
      <c r="C196" s="947"/>
      <c r="D196" s="928"/>
      <c r="E196" s="947"/>
      <c r="F196" s="928"/>
      <c r="G196" s="928"/>
    </row>
    <row r="197" spans="1:7" x14ac:dyDescent="0.2">
      <c r="A197" s="928"/>
      <c r="B197" s="928"/>
      <c r="C197" s="947"/>
      <c r="D197" s="928"/>
      <c r="E197" s="947"/>
      <c r="F197" s="928"/>
      <c r="G197" s="928"/>
    </row>
    <row r="198" spans="1:7" x14ac:dyDescent="0.2">
      <c r="A198" s="928"/>
      <c r="B198" s="928"/>
      <c r="C198" s="947"/>
      <c r="D198" s="928"/>
      <c r="E198" s="947"/>
      <c r="F198" s="928"/>
      <c r="G198" s="928"/>
    </row>
    <row r="199" spans="1:7" x14ac:dyDescent="0.2">
      <c r="A199" s="928"/>
      <c r="B199" s="928"/>
      <c r="C199" s="947"/>
      <c r="D199" s="928"/>
      <c r="E199" s="947"/>
      <c r="F199" s="928"/>
      <c r="G199" s="928"/>
    </row>
    <row r="200" spans="1:7" x14ac:dyDescent="0.2">
      <c r="A200" s="928"/>
      <c r="B200" s="928"/>
      <c r="C200" s="947"/>
      <c r="D200" s="928"/>
      <c r="E200" s="947"/>
      <c r="F200" s="928"/>
      <c r="G200" s="928"/>
    </row>
    <row r="201" spans="1:7" x14ac:dyDescent="0.2">
      <c r="A201" s="928"/>
      <c r="B201" s="928"/>
      <c r="C201" s="947"/>
      <c r="D201" s="928"/>
      <c r="E201" s="947"/>
      <c r="F201" s="928"/>
      <c r="G201" s="928"/>
    </row>
    <row r="202" spans="1:7" x14ac:dyDescent="0.2">
      <c r="A202" s="928"/>
      <c r="B202" s="928"/>
      <c r="C202" s="947"/>
      <c r="D202" s="928"/>
      <c r="E202" s="947"/>
      <c r="F202" s="928"/>
      <c r="G202" s="928"/>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topLeftCell="A4" zoomScaleNormal="100" workbookViewId="0">
      <selection activeCell="D18" sqref="D18"/>
    </sheetView>
  </sheetViews>
  <sheetFormatPr defaultColWidth="9.140625" defaultRowHeight="15" x14ac:dyDescent="0.25"/>
  <cols>
    <col min="1" max="1" width="52" style="1540" customWidth="1"/>
    <col min="2" max="2" width="16.42578125" style="1541" bestFit="1" customWidth="1"/>
    <col min="3" max="3" width="33.7109375" style="1541" customWidth="1"/>
    <col min="4" max="4" width="16.28515625" style="1542" customWidth="1"/>
    <col min="5" max="5" width="16.42578125" style="1542" hidden="1" customWidth="1"/>
    <col min="6" max="6" width="23.5703125" style="1542" customWidth="1"/>
    <col min="7" max="7" width="23.28515625" style="1541" customWidth="1"/>
    <col min="8" max="16384" width="9.140625" style="1531"/>
  </cols>
  <sheetData>
    <row r="1" spans="1:7" ht="15" customHeight="1" x14ac:dyDescent="0.25">
      <c r="A1" s="1655" t="s">
        <v>1832</v>
      </c>
      <c r="B1" s="1656"/>
      <c r="C1" s="1656"/>
      <c r="D1" s="1656"/>
      <c r="E1" s="1656"/>
      <c r="F1" s="1656"/>
      <c r="G1" s="1656"/>
    </row>
    <row r="2" spans="1:7" x14ac:dyDescent="0.25">
      <c r="A2" s="1653"/>
      <c r="B2" s="1653"/>
      <c r="C2" s="1654" t="s">
        <v>979</v>
      </c>
      <c r="D2" s="1653"/>
      <c r="E2" s="1653"/>
      <c r="F2" s="1653"/>
      <c r="G2" s="1653"/>
    </row>
    <row r="3" spans="1:7" ht="5.25" customHeight="1" x14ac:dyDescent="0.25">
      <c r="A3" s="1543"/>
      <c r="B3" s="1543"/>
      <c r="C3" s="1543"/>
      <c r="D3" s="1543"/>
      <c r="E3" s="1543"/>
      <c r="F3" s="1543"/>
      <c r="G3" s="1543"/>
    </row>
    <row r="4" spans="1:7" ht="18.75" customHeight="1" x14ac:dyDescent="0.25">
      <c r="A4" s="2276" t="s">
        <v>1818</v>
      </c>
      <c r="B4" s="2277"/>
      <c r="C4" s="2277"/>
      <c r="D4" s="2277"/>
      <c r="E4" s="2277"/>
      <c r="F4" s="2277"/>
      <c r="G4" s="2278"/>
    </row>
    <row r="5" spans="1:7" x14ac:dyDescent="0.25">
      <c r="A5" s="2279"/>
      <c r="B5" s="2280"/>
      <c r="C5" s="2280"/>
      <c r="D5" s="2280"/>
      <c r="E5" s="2280"/>
      <c r="F5" s="2280"/>
      <c r="G5" s="2281"/>
    </row>
    <row r="6" spans="1:7" ht="18.75" x14ac:dyDescent="0.25">
      <c r="A6" s="1929" t="s">
        <v>2064</v>
      </c>
      <c r="B6" s="1930"/>
      <c r="C6" s="1930"/>
      <c r="D6" s="1930"/>
      <c r="E6" s="1930"/>
      <c r="F6" s="1930"/>
      <c r="G6" s="1931"/>
    </row>
    <row r="7" spans="1:7" ht="18.75" x14ac:dyDescent="0.25">
      <c r="A7" s="1532" t="s">
        <v>1819</v>
      </c>
      <c r="B7" s="1533"/>
      <c r="C7" s="1533"/>
      <c r="D7" s="1533"/>
      <c r="E7" s="1533"/>
      <c r="F7" s="1533"/>
      <c r="G7" s="1534"/>
    </row>
    <row r="8" spans="1:7" ht="30.75" customHeight="1" x14ac:dyDescent="0.25">
      <c r="A8" s="2282" t="s">
        <v>1931</v>
      </c>
      <c r="B8" s="2283"/>
      <c r="C8" s="2283"/>
      <c r="D8" s="2283"/>
      <c r="E8" s="2283"/>
      <c r="F8" s="2283"/>
      <c r="G8" s="2284"/>
    </row>
    <row r="9" spans="1:7" ht="15.75" customHeight="1" x14ac:dyDescent="0.25">
      <c r="A9" s="2285" t="s">
        <v>1906</v>
      </c>
      <c r="B9" s="2286"/>
      <c r="C9" s="2286"/>
      <c r="D9" s="2286"/>
      <c r="E9" s="2286"/>
      <c r="F9" s="2286"/>
      <c r="G9" s="2287"/>
    </row>
    <row r="10" spans="1:7" ht="35.25" customHeight="1" x14ac:dyDescent="0.25">
      <c r="A10" s="2282" t="s">
        <v>2063</v>
      </c>
      <c r="B10" s="2283"/>
      <c r="C10" s="2283"/>
      <c r="D10" s="2283"/>
      <c r="E10" s="2283"/>
      <c r="F10" s="2283"/>
      <c r="G10" s="2284"/>
    </row>
    <row r="11" spans="1:7" ht="15" customHeight="1" x14ac:dyDescent="0.25">
      <c r="A11" s="1535" t="s">
        <v>1820</v>
      </c>
      <c r="B11" s="1536"/>
      <c r="C11" s="1536"/>
      <c r="D11" s="1536"/>
      <c r="E11" s="1536"/>
      <c r="F11" s="1536"/>
      <c r="G11" s="1537"/>
    </row>
    <row r="12" spans="1:7" ht="17.25" customHeight="1" x14ac:dyDescent="0.25">
      <c r="A12" s="2282" t="s">
        <v>1933</v>
      </c>
      <c r="B12" s="2283"/>
      <c r="C12" s="2283"/>
      <c r="D12" s="2283"/>
      <c r="E12" s="2283"/>
      <c r="F12" s="2283"/>
      <c r="G12" s="2284"/>
    </row>
    <row r="13" spans="1:7" ht="15" customHeight="1" x14ac:dyDescent="0.25">
      <c r="A13" s="1535" t="s">
        <v>1825</v>
      </c>
      <c r="B13" s="1536"/>
      <c r="C13" s="1536"/>
      <c r="D13" s="1536"/>
      <c r="E13" s="1536"/>
      <c r="F13" s="1536"/>
      <c r="G13" s="1537"/>
    </row>
    <row r="14" spans="1:7" ht="32.25" customHeight="1" x14ac:dyDescent="0.25">
      <c r="A14" s="2273" t="s">
        <v>1974</v>
      </c>
      <c r="B14" s="2274"/>
      <c r="C14" s="2274"/>
      <c r="D14" s="2274"/>
      <c r="E14" s="2274"/>
      <c r="F14" s="2274"/>
      <c r="G14" s="2275"/>
    </row>
    <row r="15" spans="1:7" x14ac:dyDescent="0.25">
      <c r="A15" s="1657" t="s">
        <v>1833</v>
      </c>
      <c r="B15" s="1658"/>
      <c r="C15" s="1658"/>
      <c r="D15" s="1658"/>
      <c r="E15" s="1658"/>
      <c r="F15" s="1658"/>
      <c r="G15" s="1659"/>
    </row>
    <row r="16" spans="1:7" ht="61.5" customHeight="1" x14ac:dyDescent="0.25">
      <c r="A16" s="1544" t="s">
        <v>1826</v>
      </c>
      <c r="B16" s="1544" t="s">
        <v>1827</v>
      </c>
      <c r="C16" s="1544" t="s">
        <v>1828</v>
      </c>
      <c r="D16" s="1545" t="s">
        <v>1829</v>
      </c>
      <c r="E16" s="1545" t="s">
        <v>1821</v>
      </c>
      <c r="F16" s="1545" t="s">
        <v>1830</v>
      </c>
      <c r="G16" s="1545" t="s">
        <v>1831</v>
      </c>
    </row>
    <row r="17" spans="1:8" x14ac:dyDescent="0.25">
      <c r="A17" s="1646" t="s">
        <v>1834</v>
      </c>
      <c r="B17" s="1647" t="s">
        <v>1824</v>
      </c>
      <c r="C17" s="1648" t="s">
        <v>1822</v>
      </c>
      <c r="D17" s="1649">
        <v>500000</v>
      </c>
      <c r="E17" s="1649">
        <f>IF(D17&lt;=25000,D17,IF(D17&gt;25000,25000,0))</f>
        <v>25000</v>
      </c>
      <c r="F17" s="1649">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0">
        <f>IF(F17=0,"0",D17-F17)</f>
        <v>475000</v>
      </c>
    </row>
    <row r="18" spans="1:8" x14ac:dyDescent="0.25">
      <c r="A18" s="1938" t="s">
        <v>2096</v>
      </c>
      <c r="B18" s="1939"/>
      <c r="C18" s="1936"/>
      <c r="D18" s="1837"/>
      <c r="E18" s="1538">
        <f t="shared" ref="E18:E34" si="0">IF(D18&lt;=25000,D18,IF(D18&gt;25000,25000,0))</f>
        <v>0</v>
      </c>
      <c r="F18" s="1928">
        <f t="shared" ref="F18:F33"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87">
        <f>IF(F18=0,0,D18-F18)</f>
        <v>0</v>
      </c>
      <c r="H18" s="1645"/>
    </row>
    <row r="19" spans="1:8" x14ac:dyDescent="0.25">
      <c r="A19" s="1934"/>
      <c r="B19" s="1935"/>
      <c r="C19" s="1936"/>
      <c r="D19" s="1837"/>
      <c r="E19" s="1538">
        <f t="shared" ref="E19:E33" si="2">IF(D19&lt;=25000,D19,IF(D19&gt;25000,25000,0))</f>
        <v>0</v>
      </c>
      <c r="F19" s="1928">
        <f t="shared" si="1"/>
        <v>0</v>
      </c>
      <c r="G19" s="1787">
        <f t="shared" ref="G19:G33" si="3">IF(F19=0,0,D19-F19)</f>
        <v>0</v>
      </c>
    </row>
    <row r="20" spans="1:8" x14ac:dyDescent="0.25">
      <c r="A20" s="1934"/>
      <c r="B20" s="1935"/>
      <c r="C20" s="1937"/>
      <c r="D20" s="1837"/>
      <c r="E20" s="1538">
        <f t="shared" si="2"/>
        <v>0</v>
      </c>
      <c r="F20" s="1928">
        <f t="shared" si="1"/>
        <v>0</v>
      </c>
      <c r="G20" s="1787">
        <f t="shared" si="3"/>
        <v>0</v>
      </c>
    </row>
    <row r="21" spans="1:8" x14ac:dyDescent="0.25">
      <c r="A21" s="1934"/>
      <c r="B21" s="1935"/>
      <c r="C21" s="1936"/>
      <c r="D21" s="1837"/>
      <c r="E21" s="1538">
        <f t="shared" si="2"/>
        <v>0</v>
      </c>
      <c r="F21" s="1928">
        <f t="shared" si="1"/>
        <v>0</v>
      </c>
      <c r="G21" s="1787">
        <f t="shared" si="3"/>
        <v>0</v>
      </c>
    </row>
    <row r="22" spans="1:8" x14ac:dyDescent="0.25">
      <c r="A22" s="1934"/>
      <c r="B22" s="1935"/>
      <c r="C22" s="1936"/>
      <c r="D22" s="1837"/>
      <c r="E22" s="1538">
        <f t="shared" si="2"/>
        <v>0</v>
      </c>
      <c r="F22" s="1928">
        <f t="shared" si="1"/>
        <v>0</v>
      </c>
      <c r="G22" s="1787">
        <f t="shared" si="3"/>
        <v>0</v>
      </c>
    </row>
    <row r="23" spans="1:8" x14ac:dyDescent="0.25">
      <c r="A23" s="1934"/>
      <c r="B23" s="1935"/>
      <c r="C23" s="1936"/>
      <c r="D23" s="1837"/>
      <c r="E23" s="1538">
        <f t="shared" si="2"/>
        <v>0</v>
      </c>
      <c r="F23" s="1928">
        <f t="shared" si="1"/>
        <v>0</v>
      </c>
      <c r="G23" s="1787">
        <f t="shared" si="3"/>
        <v>0</v>
      </c>
    </row>
    <row r="24" spans="1:8" x14ac:dyDescent="0.25">
      <c r="A24" s="1934"/>
      <c r="B24" s="1935"/>
      <c r="C24" s="1936"/>
      <c r="D24" s="1837"/>
      <c r="E24" s="1538">
        <f t="shared" si="2"/>
        <v>0</v>
      </c>
      <c r="F24" s="1928">
        <f t="shared" si="1"/>
        <v>0</v>
      </c>
      <c r="G24" s="1787">
        <f t="shared" si="3"/>
        <v>0</v>
      </c>
    </row>
    <row r="25" spans="1:8" x14ac:dyDescent="0.25">
      <c r="A25" s="1934"/>
      <c r="B25" s="1935"/>
      <c r="C25" s="1936"/>
      <c r="D25" s="1837"/>
      <c r="E25" s="1538">
        <f t="shared" si="2"/>
        <v>0</v>
      </c>
      <c r="F25" s="1928">
        <f t="shared" si="1"/>
        <v>0</v>
      </c>
      <c r="G25" s="1787">
        <f t="shared" si="3"/>
        <v>0</v>
      </c>
    </row>
    <row r="26" spans="1:8" x14ac:dyDescent="0.25">
      <c r="A26" s="1934"/>
      <c r="B26" s="1935"/>
      <c r="C26" s="1936"/>
      <c r="D26" s="1837"/>
      <c r="E26" s="1538">
        <f t="shared" si="2"/>
        <v>0</v>
      </c>
      <c r="F26" s="1928">
        <f t="shared" si="1"/>
        <v>0</v>
      </c>
      <c r="G26" s="1787">
        <f t="shared" si="3"/>
        <v>0</v>
      </c>
    </row>
    <row r="27" spans="1:8" x14ac:dyDescent="0.25">
      <c r="A27" s="1934"/>
      <c r="B27" s="1935"/>
      <c r="C27" s="1936"/>
      <c r="D27" s="1837"/>
      <c r="E27" s="1538">
        <f t="shared" si="2"/>
        <v>0</v>
      </c>
      <c r="F27" s="1928">
        <f t="shared" si="1"/>
        <v>0</v>
      </c>
      <c r="G27" s="1787">
        <f t="shared" si="3"/>
        <v>0</v>
      </c>
    </row>
    <row r="28" spans="1:8" x14ac:dyDescent="0.25">
      <c r="A28" s="1651"/>
      <c r="B28" s="1926"/>
      <c r="C28" s="1652"/>
      <c r="D28" s="1837"/>
      <c r="E28" s="1538">
        <f t="shared" si="2"/>
        <v>0</v>
      </c>
      <c r="F28" s="1928">
        <f t="shared" si="1"/>
        <v>0</v>
      </c>
      <c r="G28" s="1787">
        <f t="shared" si="3"/>
        <v>0</v>
      </c>
    </row>
    <row r="29" spans="1:8" x14ac:dyDescent="0.25">
      <c r="A29" s="1651"/>
      <c r="B29" s="1926"/>
      <c r="C29" s="1652"/>
      <c r="D29" s="1837"/>
      <c r="E29" s="1538">
        <f t="shared" si="2"/>
        <v>0</v>
      </c>
      <c r="F29" s="1928">
        <f t="shared" si="1"/>
        <v>0</v>
      </c>
      <c r="G29" s="1787">
        <f t="shared" si="3"/>
        <v>0</v>
      </c>
    </row>
    <row r="30" spans="1:8" x14ac:dyDescent="0.25">
      <c r="A30" s="1651"/>
      <c r="B30" s="1926"/>
      <c r="C30" s="1652"/>
      <c r="D30" s="1837"/>
      <c r="E30" s="1538">
        <f t="shared" si="2"/>
        <v>0</v>
      </c>
      <c r="F30" s="1928">
        <f t="shared" si="1"/>
        <v>0</v>
      </c>
      <c r="G30" s="1787">
        <f t="shared" si="3"/>
        <v>0</v>
      </c>
    </row>
    <row r="31" spans="1:8" x14ac:dyDescent="0.25">
      <c r="A31" s="1651"/>
      <c r="B31" s="1926"/>
      <c r="C31" s="1652"/>
      <c r="D31" s="1837"/>
      <c r="E31" s="1538">
        <f t="shared" si="2"/>
        <v>0</v>
      </c>
      <c r="F31" s="1928">
        <f t="shared" si="1"/>
        <v>0</v>
      </c>
      <c r="G31" s="1787">
        <f t="shared" si="3"/>
        <v>0</v>
      </c>
    </row>
    <row r="32" spans="1:8" x14ac:dyDescent="0.25">
      <c r="A32" s="1651"/>
      <c r="B32" s="1926"/>
      <c r="C32" s="1652"/>
      <c r="D32" s="1837"/>
      <c r="E32" s="1538">
        <f t="shared" si="2"/>
        <v>0</v>
      </c>
      <c r="F32" s="1928">
        <f t="shared" si="1"/>
        <v>0</v>
      </c>
      <c r="G32" s="1787">
        <f t="shared" si="3"/>
        <v>0</v>
      </c>
    </row>
    <row r="33" spans="1:7" x14ac:dyDescent="0.25">
      <c r="A33" s="1651"/>
      <c r="B33" s="1926"/>
      <c r="C33" s="1652"/>
      <c r="D33" s="1837"/>
      <c r="E33" s="1538">
        <f t="shared" si="2"/>
        <v>0</v>
      </c>
      <c r="F33" s="1928">
        <f t="shared" si="1"/>
        <v>0</v>
      </c>
      <c r="G33" s="1787">
        <f t="shared" si="3"/>
        <v>0</v>
      </c>
    </row>
    <row r="34" spans="1:7" x14ac:dyDescent="0.25">
      <c r="A34" s="1790" t="s">
        <v>156</v>
      </c>
      <c r="B34" s="1791"/>
      <c r="C34" s="1792"/>
      <c r="D34" s="1788">
        <f>SUM(D18:D33)</f>
        <v>0</v>
      </c>
      <c r="E34" s="1539">
        <f t="shared" si="0"/>
        <v>0</v>
      </c>
      <c r="F34" s="1925">
        <f>SUM(F18:F33)</f>
        <v>0</v>
      </c>
      <c r="G34" s="1789">
        <f>SUM(G18:G33)</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F10" sqref="F10"/>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2" t="s">
        <v>1115</v>
      </c>
      <c r="B1" s="1633"/>
      <c r="C1" s="1634"/>
    </row>
    <row r="2" spans="1:9" x14ac:dyDescent="0.2">
      <c r="A2" s="950" t="s">
        <v>1116</v>
      </c>
      <c r="B2" s="951"/>
      <c r="C2" s="951"/>
      <c r="D2" s="951"/>
      <c r="E2" s="952"/>
      <c r="F2" s="952"/>
      <c r="G2" s="953"/>
    </row>
    <row r="3" spans="1:9" ht="12" customHeight="1" x14ac:dyDescent="0.2">
      <c r="A3" s="954" t="s">
        <v>1356</v>
      </c>
      <c r="B3" s="955"/>
      <c r="C3" s="955"/>
      <c r="D3" s="955"/>
      <c r="E3" s="956"/>
      <c r="F3" s="956"/>
      <c r="G3" s="957"/>
    </row>
    <row r="4" spans="1:9" x14ac:dyDescent="0.2">
      <c r="A4" s="958" t="s">
        <v>755</v>
      </c>
      <c r="B4" s="959"/>
      <c r="C4" s="959"/>
      <c r="D4" s="959"/>
      <c r="E4" s="960"/>
      <c r="F4" s="961"/>
      <c r="G4" s="962"/>
      <c r="H4" s="252"/>
      <c r="I4" s="252"/>
    </row>
    <row r="5" spans="1:9" s="343" customFormat="1" ht="57" customHeight="1" x14ac:dyDescent="0.2">
      <c r="A5" s="2288" t="s">
        <v>1679</v>
      </c>
      <c r="B5" s="2289"/>
      <c r="C5" s="2289"/>
      <c r="D5" s="2289"/>
      <c r="E5" s="2289"/>
      <c r="F5" s="2289"/>
      <c r="G5" s="2290"/>
      <c r="H5" s="252"/>
      <c r="I5" s="608"/>
    </row>
    <row r="6" spans="1:9" s="666" customFormat="1" x14ac:dyDescent="0.2">
      <c r="A6" s="1635" t="s">
        <v>205</v>
      </c>
      <c r="B6" s="964"/>
      <c r="C6" s="964"/>
      <c r="D6" s="965"/>
      <c r="E6" s="965"/>
      <c r="F6" s="966"/>
      <c r="G6" s="967"/>
      <c r="H6" s="162"/>
      <c r="I6" s="162"/>
    </row>
    <row r="7" spans="1:9" s="666" customFormat="1" ht="12" customHeight="1" x14ac:dyDescent="0.2">
      <c r="A7" s="968" t="s">
        <v>908</v>
      </c>
      <c r="B7" s="969"/>
      <c r="C7" s="969"/>
      <c r="D7" s="970"/>
      <c r="E7" s="971"/>
      <c r="F7" s="972"/>
      <c r="G7" s="973"/>
      <c r="H7" s="162"/>
      <c r="I7" s="162"/>
    </row>
    <row r="8" spans="1:9" s="666" customFormat="1" ht="12" customHeight="1" x14ac:dyDescent="0.2">
      <c r="A8" s="968" t="s">
        <v>129</v>
      </c>
      <c r="B8" s="969"/>
      <c r="C8" s="969"/>
      <c r="D8" s="970"/>
      <c r="E8" s="971"/>
      <c r="F8" s="972"/>
      <c r="G8" s="973"/>
      <c r="H8" s="162"/>
      <c r="I8" s="162"/>
    </row>
    <row r="9" spans="1:9" s="666" customFormat="1" ht="12" customHeight="1" x14ac:dyDescent="0.2">
      <c r="A9" s="968" t="s">
        <v>130</v>
      </c>
      <c r="B9" s="969"/>
      <c r="C9" s="969"/>
      <c r="D9" s="970"/>
      <c r="E9" s="971"/>
      <c r="F9" s="972"/>
      <c r="G9" s="973"/>
      <c r="H9" s="162"/>
      <c r="I9" s="162"/>
    </row>
    <row r="10" spans="1:9" s="666" customFormat="1" ht="12" customHeight="1" x14ac:dyDescent="0.2">
      <c r="A10" s="968" t="s">
        <v>1932</v>
      </c>
      <c r="B10" s="969"/>
      <c r="C10" s="974"/>
      <c r="D10" s="970"/>
      <c r="E10" s="971"/>
      <c r="F10" s="972"/>
      <c r="G10" s="973"/>
      <c r="H10" s="162"/>
      <c r="I10" s="162"/>
    </row>
    <row r="11" spans="1:9" s="666" customFormat="1" ht="22.5" customHeight="1" x14ac:dyDescent="0.2">
      <c r="A11" s="2293" t="s">
        <v>1975</v>
      </c>
      <c r="B11" s="2294"/>
      <c r="C11" s="2294"/>
      <c r="D11" s="2295"/>
      <c r="E11" s="975"/>
      <c r="F11" s="972"/>
      <c r="G11" s="976"/>
      <c r="H11" s="162"/>
      <c r="I11" s="162"/>
    </row>
    <row r="12" spans="1:9" s="666" customFormat="1" ht="12" customHeight="1" x14ac:dyDescent="0.2">
      <c r="A12" s="968" t="s">
        <v>131</v>
      </c>
      <c r="B12" s="969"/>
      <c r="C12" s="969"/>
      <c r="D12" s="970"/>
      <c r="E12" s="971"/>
      <c r="F12" s="972"/>
      <c r="G12" s="973"/>
      <c r="H12" s="162"/>
      <c r="I12" s="162"/>
    </row>
    <row r="13" spans="1:9" s="666" customFormat="1" ht="12" customHeight="1" x14ac:dyDescent="0.2">
      <c r="A13" s="968" t="s">
        <v>203</v>
      </c>
      <c r="B13" s="969"/>
      <c r="C13" s="969"/>
      <c r="D13" s="970"/>
      <c r="E13" s="971"/>
      <c r="F13" s="972"/>
      <c r="G13" s="973"/>
      <c r="H13" s="162"/>
      <c r="I13" s="162"/>
    </row>
    <row r="14" spans="1:9" s="666" customFormat="1" ht="12" customHeight="1" x14ac:dyDescent="0.2">
      <c r="A14" s="968" t="s">
        <v>204</v>
      </c>
      <c r="B14" s="969"/>
      <c r="C14" s="969"/>
      <c r="D14" s="970"/>
      <c r="E14" s="971"/>
      <c r="F14" s="977"/>
      <c r="G14" s="978"/>
      <c r="H14" s="162"/>
      <c r="I14" s="162"/>
    </row>
    <row r="15" spans="1:9" s="666" customFormat="1" ht="12" customHeight="1" x14ac:dyDescent="0.2">
      <c r="A15" s="963" t="s">
        <v>371</v>
      </c>
      <c r="B15" s="965"/>
      <c r="C15" s="965"/>
      <c r="D15" s="965"/>
      <c r="E15" s="965"/>
      <c r="F15" s="965"/>
      <c r="G15" s="979"/>
      <c r="H15" s="162"/>
      <c r="I15" s="162"/>
    </row>
    <row r="16" spans="1:9" s="666" customFormat="1" x14ac:dyDescent="0.2">
      <c r="A16" s="980" t="s">
        <v>1376</v>
      </c>
      <c r="B16" s="981"/>
      <c r="C16" s="982"/>
      <c r="D16" s="961"/>
      <c r="E16" s="956"/>
      <c r="F16" s="956"/>
      <c r="G16" s="957"/>
      <c r="H16" s="162"/>
      <c r="I16" s="162"/>
    </row>
    <row r="17" spans="1:9" s="666" customFormat="1" ht="12" customHeight="1" x14ac:dyDescent="0.2">
      <c r="A17" s="983"/>
      <c r="B17" s="984"/>
      <c r="C17" s="329"/>
      <c r="D17" s="1636" t="s">
        <v>532</v>
      </c>
      <c r="E17" s="1637"/>
      <c r="F17" s="1636" t="s">
        <v>433</v>
      </c>
      <c r="G17" s="1638"/>
      <c r="H17" s="162"/>
      <c r="I17" s="162"/>
    </row>
    <row r="18" spans="1:9" s="259" customFormat="1" ht="11.25" x14ac:dyDescent="0.2">
      <c r="A18" s="986"/>
      <c r="C18" s="987" t="s">
        <v>434</v>
      </c>
      <c r="D18" s="1639" t="s">
        <v>435</v>
      </c>
      <c r="E18" s="1639" t="s">
        <v>53</v>
      </c>
      <c r="F18" s="1639" t="s">
        <v>435</v>
      </c>
      <c r="G18" s="1639" t="s">
        <v>53</v>
      </c>
      <c r="H18" s="178"/>
      <c r="I18" s="178"/>
    </row>
    <row r="19" spans="1:9" s="666" customFormat="1" ht="12" customHeight="1" x14ac:dyDescent="0.2">
      <c r="A19" s="988" t="s">
        <v>456</v>
      </c>
      <c r="B19" s="989"/>
      <c r="C19" s="990" t="s">
        <v>570</v>
      </c>
      <c r="D19" s="1793"/>
      <c r="E19" s="1794">
        <f>'Expenditures 15-22'!K33-SUM('Expenditures 15-22'!G33,'Expenditures 15-22'!I33)+'Expenditures 15-22'!D229</f>
        <v>384245</v>
      </c>
      <c r="F19" s="1793"/>
      <c r="G19" s="1795">
        <f>'Expenditures 15-22'!K33-SUM('Expenditures 15-22'!G33,'Expenditures 15-22'!I33)+'Expenditures 15-22'!D229</f>
        <v>384245</v>
      </c>
      <c r="H19" s="985"/>
      <c r="I19" s="162"/>
    </row>
    <row r="20" spans="1:9" s="666" customFormat="1" ht="12" customHeight="1" x14ac:dyDescent="0.2">
      <c r="A20" s="988" t="s">
        <v>54</v>
      </c>
      <c r="B20" s="989"/>
      <c r="C20" s="991"/>
      <c r="D20" s="1796"/>
      <c r="E20" s="1796"/>
      <c r="F20" s="1796"/>
      <c r="G20" s="1797"/>
      <c r="H20" s="985"/>
      <c r="I20" s="162"/>
    </row>
    <row r="21" spans="1:9" s="666" customFormat="1" ht="12" customHeight="1" x14ac:dyDescent="0.2">
      <c r="A21" s="992" t="s">
        <v>401</v>
      </c>
      <c r="B21" s="993"/>
      <c r="C21" s="991">
        <v>2100</v>
      </c>
      <c r="D21" s="1796"/>
      <c r="E21" s="1798">
        <f>'Expenditures 15-22'!K42-SUM('Expenditures 15-22'!G42,'Expenditures 15-22'!I42)+'Expenditures 15-22'!K120-SUM('Expenditures 15-22'!G120,'Expenditures 15-22'!I120)+'Expenditures 15-22'!K180-SUM('Expenditures 15-22'!G180,'Expenditures 15-22'!I180)+'Expenditures 15-22'!D238</f>
        <v>0</v>
      </c>
      <c r="F21" s="1796"/>
      <c r="G21" s="1799">
        <f>'Expenditures 15-22'!K42-SUM('Expenditures 15-22'!G42,'Expenditures 15-22'!I42)+'Expenditures 15-22'!K120-SUM('Expenditures 15-22'!G120,'Expenditures 15-22'!I120)+'Expenditures 15-22'!K180-SUM('Expenditures 15-22'!G180,'Expenditures 15-22'!I180)+'Expenditures 15-22'!D238</f>
        <v>0</v>
      </c>
      <c r="H21" s="985"/>
      <c r="I21" s="162"/>
    </row>
    <row r="22" spans="1:9" s="666" customFormat="1" ht="12" customHeight="1" x14ac:dyDescent="0.2">
      <c r="A22" s="992" t="s">
        <v>564</v>
      </c>
      <c r="B22" s="993"/>
      <c r="C22" s="991">
        <v>2200</v>
      </c>
      <c r="D22" s="1796"/>
      <c r="E22" s="1798">
        <f>'Expenditures 15-22'!K47-SUM('Expenditures 15-22'!G47,'Expenditures 15-22'!I47)+'Expenditures 15-22'!D243</f>
        <v>585</v>
      </c>
      <c r="F22" s="1796"/>
      <c r="G22" s="1799">
        <f>'Expenditures 15-22'!K47-SUM('Expenditures 15-22'!G47,'Expenditures 15-22'!I47)+'Expenditures 15-22'!D243</f>
        <v>585</v>
      </c>
      <c r="H22" s="985"/>
      <c r="I22" s="162"/>
    </row>
    <row r="23" spans="1:9" s="666" customFormat="1" ht="12" customHeight="1" x14ac:dyDescent="0.2">
      <c r="A23" s="992" t="s">
        <v>565</v>
      </c>
      <c r="B23" s="993"/>
      <c r="C23" s="991">
        <v>2300</v>
      </c>
      <c r="D23" s="1796"/>
      <c r="E23" s="1798">
        <f>'Expenditures 15-22'!K53-SUM('Expenditures 15-22'!G53,'Expenditures 15-22'!I53)+'Expenditures 15-22'!D257+'Expenditures 15-22'!K330-SUM('Expenditures 15-22'!G330,'Expenditures 15-22'!I330)</f>
        <v>0</v>
      </c>
      <c r="F23" s="1796"/>
      <c r="G23" s="1798">
        <f>'Expenditures 15-22'!K53-SUM('Expenditures 15-22'!G53,'Expenditures 15-22'!I53)+'Expenditures 15-22'!D257+'Expenditures 15-22'!K330-SUM('Expenditures 15-22'!G330,'Expenditures 15-22'!I330)</f>
        <v>0</v>
      </c>
      <c r="H23" s="985"/>
      <c r="I23" s="162"/>
    </row>
    <row r="24" spans="1:9" s="666" customFormat="1" ht="12" customHeight="1" x14ac:dyDescent="0.2">
      <c r="A24" s="992" t="s">
        <v>566</v>
      </c>
      <c r="B24" s="993"/>
      <c r="C24" s="991">
        <v>2400</v>
      </c>
      <c r="D24" s="1796"/>
      <c r="E24" s="1798">
        <f>'Expenditures 15-22'!K57-SUM('Expenditures 15-22'!G57,'Expenditures 15-22'!I57)+'Expenditures 15-22'!D261</f>
        <v>20456</v>
      </c>
      <c r="F24" s="1796"/>
      <c r="G24" s="1799">
        <f>'Expenditures 15-22'!K57-SUM('Expenditures 15-22'!G57,'Expenditures 15-22'!I57)+'Expenditures 15-22'!D261</f>
        <v>20456</v>
      </c>
      <c r="H24" s="985"/>
      <c r="I24" s="162"/>
    </row>
    <row r="25" spans="1:9" s="666" customFormat="1" ht="12" customHeight="1" x14ac:dyDescent="0.2">
      <c r="A25" s="988" t="s">
        <v>567</v>
      </c>
      <c r="B25" s="994"/>
      <c r="C25" s="991"/>
      <c r="D25" s="1796"/>
      <c r="E25" s="1798"/>
      <c r="F25" s="1796"/>
      <c r="G25" s="1799"/>
      <c r="H25" s="985"/>
      <c r="I25" s="162"/>
    </row>
    <row r="26" spans="1:9" s="666" customFormat="1" ht="12" customHeight="1" x14ac:dyDescent="0.2">
      <c r="A26" s="992" t="s">
        <v>515</v>
      </c>
      <c r="B26" s="995"/>
      <c r="C26" s="991">
        <v>2510</v>
      </c>
      <c r="D26" s="1798">
        <f>'Expenditures 15-22'!K59-SUM('Expenditures 15-22'!G59,'Expenditures 15-22'!I59)+'Expenditures 15-22'!D263-E7</f>
        <v>0</v>
      </c>
      <c r="E26" s="1798">
        <f>'Expenditures 15-22'!K122-SUM('Expenditures 15-22'!G122,'Expenditures 15-22'!I122)+E7</f>
        <v>0</v>
      </c>
      <c r="F26" s="1798">
        <f>'Expenditures 15-22'!K59-SUM('Expenditures 15-22'!G59,'Expenditures 15-22'!I59)+'Expenditures 15-22'!D263-E7</f>
        <v>0</v>
      </c>
      <c r="G26" s="1799">
        <f>'Expenditures 15-22'!K122-SUM('Expenditures 15-22'!G122,'Expenditures 15-22'!I122)+E7</f>
        <v>0</v>
      </c>
      <c r="H26" s="985"/>
      <c r="I26" s="162"/>
    </row>
    <row r="27" spans="1:9" s="666" customFormat="1" ht="12" customHeight="1" x14ac:dyDescent="0.2">
      <c r="A27" s="992" t="s">
        <v>463</v>
      </c>
      <c r="B27" s="995"/>
      <c r="C27" s="991">
        <v>2520</v>
      </c>
      <c r="D27" s="1798">
        <f>'Expenditures 15-22'!K60-SUM('Expenditures 15-22'!G60,'Expenditures 15-22'!I60)+'Expenditures 15-22'!D264-E8</f>
        <v>0</v>
      </c>
      <c r="E27" s="1798">
        <f>E8</f>
        <v>0</v>
      </c>
      <c r="F27" s="1798">
        <f>'Expenditures 15-22'!K60-SUM('Expenditures 15-22'!G60,'Expenditures 15-22'!I60)+'Expenditures 15-22'!D264-E8</f>
        <v>0</v>
      </c>
      <c r="G27" s="1799">
        <f>E8</f>
        <v>0</v>
      </c>
      <c r="H27" s="985"/>
      <c r="I27" s="162"/>
    </row>
    <row r="28" spans="1:9" s="666" customFormat="1" ht="12" customHeight="1" x14ac:dyDescent="0.2">
      <c r="A28" s="992" t="s">
        <v>516</v>
      </c>
      <c r="B28" s="995"/>
      <c r="C28" s="991">
        <v>2540</v>
      </c>
      <c r="D28" s="1800"/>
      <c r="E28" s="1798">
        <f>'Expenditures 15-22'!K61-SUM('Expenditures 15-22'!G61,'Expenditures 15-22'!I61)+'Expenditures 15-22'!K124-SUM('Expenditures 15-22'!G124,'Expenditures 15-22'!I124)+'Expenditures 15-22'!D266</f>
        <v>0</v>
      </c>
      <c r="F28" s="1800">
        <f>'Expenditures 15-22'!K61-SUM('Expenditures 15-22'!G61,'Expenditures 15-22'!I61)+'Expenditures 15-22'!K124-SUM('Expenditures 15-22'!G124,'Expenditures 15-22'!I124)+'Expenditures 15-22'!D266-E9</f>
        <v>0</v>
      </c>
      <c r="G28" s="1799">
        <f>E9</f>
        <v>0</v>
      </c>
      <c r="H28" s="985"/>
      <c r="I28" s="162"/>
    </row>
    <row r="29" spans="1:9" ht="12" customHeight="1" x14ac:dyDescent="0.2">
      <c r="A29" s="992" t="s">
        <v>517</v>
      </c>
      <c r="B29" s="995"/>
      <c r="C29" s="991">
        <v>2550</v>
      </c>
      <c r="D29" s="1796"/>
      <c r="E29" s="1798">
        <f>'Expenditures 15-22'!K62-SUM('Expenditures 15-22'!G62,'Expenditures 15-22'!I62)+'Expenditures 15-22'!K125-SUM('Expenditures 15-22'!G125,'Expenditures 15-22'!I125)+'Expenditures 15-22'!K182-SUM('Expenditures 15-22'!G182,'Expenditures 15-22'!I182)+'Expenditures 15-22'!D267</f>
        <v>0</v>
      </c>
      <c r="F29" s="1796"/>
      <c r="G29" s="1799">
        <f>'Expenditures 15-22'!K62-SUM('Expenditures 15-22'!G62,'Expenditures 15-22'!I62)+'Expenditures 15-22'!K125-SUM('Expenditures 15-22'!G125,'Expenditures 15-22'!I125)+'Expenditures 15-22'!K182-SUM('Expenditures 15-22'!G182,'Expenditures 15-22'!I182)+'Expenditures 15-22'!D267</f>
        <v>0</v>
      </c>
      <c r="H29" s="983"/>
    </row>
    <row r="30" spans="1:9" ht="12" customHeight="1" x14ac:dyDescent="0.2">
      <c r="A30" s="992" t="s">
        <v>100</v>
      </c>
      <c r="B30" s="995"/>
      <c r="C30" s="991">
        <v>2560</v>
      </c>
      <c r="D30" s="1796"/>
      <c r="E30" s="1798">
        <f>'Expenditures 15-22'!K63-SUM('Expenditures 15-22'!G63,'Expenditures 15-22'!I63)+'Expenditures 15-22'!D268-E10</f>
        <v>0</v>
      </c>
      <c r="F30" s="1796"/>
      <c r="G30" s="1798">
        <f>'Expenditures 15-22'!K63-SUM('Expenditures 15-22'!G63,'Expenditures 15-22'!I63)+'Expenditures 15-22'!D268-E10</f>
        <v>0</v>
      </c>
    </row>
    <row r="31" spans="1:9" ht="12" customHeight="1" x14ac:dyDescent="0.2">
      <c r="A31" s="992" t="s">
        <v>101</v>
      </c>
      <c r="B31" s="995"/>
      <c r="C31" s="991">
        <v>2570</v>
      </c>
      <c r="D31" s="1798">
        <f>'Expenditures 15-22'!K64-SUM('Expenditures 15-22'!G64,'Expenditures 15-22'!I64)+'Expenditures 15-22'!D269-E12</f>
        <v>0</v>
      </c>
      <c r="E31" s="1798">
        <f>E12</f>
        <v>0</v>
      </c>
      <c r="F31" s="1798">
        <f>'Expenditures 15-22'!K64-SUM('Expenditures 15-22'!G64,'Expenditures 15-22'!I64)+'Expenditures 15-22'!D269-E12</f>
        <v>0</v>
      </c>
      <c r="G31" s="1798">
        <f>E12</f>
        <v>0</v>
      </c>
    </row>
    <row r="32" spans="1:9" ht="12" customHeight="1" x14ac:dyDescent="0.2">
      <c r="A32" s="988" t="s">
        <v>518</v>
      </c>
      <c r="B32" s="994"/>
      <c r="C32" s="991"/>
      <c r="D32" s="1796"/>
      <c r="E32" s="1796"/>
      <c r="F32" s="1796"/>
      <c r="G32" s="1796"/>
    </row>
    <row r="33" spans="1:7" ht="12" customHeight="1" x14ac:dyDescent="0.2">
      <c r="A33" s="992" t="s">
        <v>519</v>
      </c>
      <c r="B33" s="995"/>
      <c r="C33" s="991">
        <v>2610</v>
      </c>
      <c r="D33" s="1796"/>
      <c r="E33" s="1798">
        <f>'Expenditures 15-22'!K67-SUM('Expenditures 15-22'!G67,'Expenditures 15-22'!I67)+'Expenditures 15-22'!D272</f>
        <v>0</v>
      </c>
      <c r="F33" s="1796"/>
      <c r="G33" s="1798">
        <f>'Expenditures 15-22'!K67-SUM('Expenditures 15-22'!G67,'Expenditures 15-22'!I67)+'Expenditures 15-22'!D272</f>
        <v>0</v>
      </c>
    </row>
    <row r="34" spans="1:7" ht="12" customHeight="1" x14ac:dyDescent="0.2">
      <c r="A34" s="992" t="s">
        <v>520</v>
      </c>
      <c r="B34" s="995"/>
      <c r="C34" s="991">
        <v>2620</v>
      </c>
      <c r="D34" s="1796"/>
      <c r="E34" s="1798">
        <f>'Expenditures 15-22'!K68-SUM('Expenditures 15-22'!G68,'Expenditures 15-22'!I68)+'Expenditures 15-22'!D273</f>
        <v>0</v>
      </c>
      <c r="F34" s="1796"/>
      <c r="G34" s="1798">
        <f>'Expenditures 15-22'!K68-SUM('Expenditures 15-22'!G68,'Expenditures 15-22'!I68)+'Expenditures 15-22'!D273</f>
        <v>0</v>
      </c>
    </row>
    <row r="35" spans="1:7" ht="12" customHeight="1" x14ac:dyDescent="0.2">
      <c r="A35" s="992" t="s">
        <v>1061</v>
      </c>
      <c r="B35" s="995"/>
      <c r="C35" s="991">
        <v>2630</v>
      </c>
      <c r="D35" s="1796"/>
      <c r="E35" s="1798">
        <f>'Expenditures 15-22'!K69-SUM('Expenditures 15-22'!G69,'Expenditures 15-22'!I69)+'Expenditures 15-22'!D274</f>
        <v>0</v>
      </c>
      <c r="F35" s="1796"/>
      <c r="G35" s="1798">
        <f>'Expenditures 15-22'!K69-SUM('Expenditures 15-22'!G69,'Expenditures 15-22'!I69)+'Expenditures 15-22'!D274</f>
        <v>0</v>
      </c>
    </row>
    <row r="36" spans="1:7" ht="12" customHeight="1" x14ac:dyDescent="0.2">
      <c r="A36" s="992" t="s">
        <v>403</v>
      </c>
      <c r="B36" s="995"/>
      <c r="C36" s="991">
        <v>2640</v>
      </c>
      <c r="D36" s="1798">
        <f>'Expenditures 15-22'!K70-SUM('Expenditures 15-22'!G70,'Expenditures 15-22'!I70)+'Expenditures 15-22'!D275-E13</f>
        <v>0</v>
      </c>
      <c r="E36" s="1798">
        <f>E13</f>
        <v>0</v>
      </c>
      <c r="F36" s="1798">
        <f>'Expenditures 15-22'!K70-SUM('Expenditures 15-22'!G70,'Expenditures 15-22'!I70)+'Expenditures 15-22'!D275-E13</f>
        <v>0</v>
      </c>
      <c r="G36" s="1798">
        <f>E13</f>
        <v>0</v>
      </c>
    </row>
    <row r="37" spans="1:7" ht="12" customHeight="1" x14ac:dyDescent="0.2">
      <c r="A37" s="992" t="s">
        <v>404</v>
      </c>
      <c r="B37" s="995"/>
      <c r="C37" s="991">
        <v>2660</v>
      </c>
      <c r="D37" s="1798">
        <f>'Expenditures 15-22'!K71-SUM('Expenditures 15-22'!G71,'Expenditures 15-22'!I71)+'Expenditures 15-22'!D276-E14</f>
        <v>0</v>
      </c>
      <c r="E37" s="1798">
        <f>E14</f>
        <v>0</v>
      </c>
      <c r="F37" s="1798">
        <f>'Expenditures 15-22'!K71-SUM('Expenditures 15-22'!G71,'Expenditures 15-22'!I71)+'Expenditures 15-22'!D276-E14</f>
        <v>0</v>
      </c>
      <c r="G37" s="1798">
        <f>E14</f>
        <v>0</v>
      </c>
    </row>
    <row r="38" spans="1:7" ht="12" customHeight="1" x14ac:dyDescent="0.2">
      <c r="A38" s="988" t="s">
        <v>521</v>
      </c>
      <c r="B38" s="989"/>
      <c r="C38" s="991">
        <v>2900</v>
      </c>
      <c r="D38" s="1796"/>
      <c r="E38" s="1798">
        <f>'Expenditures 15-22'!K73-SUM('Expenditures 15-22'!G73,'Expenditures 15-22'!I73)+'Expenditures 15-22'!K128-SUM('Expenditures 15-22'!G128,'Expenditures 15-22'!I128)+'Expenditures 15-22'!K183-SUM('Expenditures 15-22'!G183,'Expenditures 15-22'!I183)+'Expenditures 15-22'!D278</f>
        <v>0</v>
      </c>
      <c r="F38" s="1796"/>
      <c r="G38" s="1798">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88" t="s">
        <v>449</v>
      </c>
      <c r="B39" s="989"/>
      <c r="C39" s="991">
        <v>3000</v>
      </c>
      <c r="D39" s="1796"/>
      <c r="E39" s="1798">
        <f>'Expenditures 15-22'!K75-SUM('Expenditures 15-22'!G75,'Expenditures 15-22'!I75)+'Expenditures 15-22'!K130-SUM('Expenditures 15-22'!G130,'Expenditures 15-22'!I130)+'Expenditures 15-22'!K185-SUM('Expenditures 15-22'!G185,'Expenditures 15-22'!I185)+'Expenditures 15-22'!D280</f>
        <v>0</v>
      </c>
      <c r="F39" s="1796"/>
      <c r="G39" s="1798">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88" t="s">
        <v>1823</v>
      </c>
      <c r="B40" s="989"/>
      <c r="C40" s="991"/>
      <c r="D40" s="1796"/>
      <c r="E40" s="1800">
        <f>-'Contracts Paid in CY 29'!G34</f>
        <v>0</v>
      </c>
      <c r="F40" s="1796"/>
      <c r="G40" s="1800">
        <f>-'Contracts Paid in CY 29'!G34</f>
        <v>0</v>
      </c>
    </row>
    <row r="41" spans="1:7" ht="12" customHeight="1" x14ac:dyDescent="0.2">
      <c r="A41" s="996" t="s">
        <v>156</v>
      </c>
      <c r="B41" s="997"/>
      <c r="C41" s="998"/>
      <c r="D41" s="1800">
        <f>SUM(D19:D39)</f>
        <v>0</v>
      </c>
      <c r="E41" s="1800">
        <f>SUM(E19:E40)</f>
        <v>405286</v>
      </c>
      <c r="F41" s="1800">
        <f>SUM(F19:F39)</f>
        <v>0</v>
      </c>
      <c r="G41" s="1800">
        <f>SUM(G19:G40)</f>
        <v>405286</v>
      </c>
    </row>
    <row r="42" spans="1:7" x14ac:dyDescent="0.2">
      <c r="A42" s="985"/>
      <c r="B42" s="162"/>
      <c r="C42" s="999"/>
      <c r="D42" s="2291" t="s">
        <v>522</v>
      </c>
      <c r="E42" s="2292"/>
      <c r="F42" s="1000" t="s">
        <v>523</v>
      </c>
      <c r="G42" s="1001"/>
    </row>
    <row r="43" spans="1:7" ht="12" customHeight="1" x14ac:dyDescent="0.2">
      <c r="A43" s="985"/>
      <c r="B43" s="162"/>
      <c r="C43" s="999"/>
      <c r="D43" s="1801" t="s">
        <v>473</v>
      </c>
      <c r="E43" s="1802">
        <f>D41</f>
        <v>0</v>
      </c>
      <c r="F43" s="1801" t="s">
        <v>473</v>
      </c>
      <c r="G43" s="1802">
        <f>F41</f>
        <v>0</v>
      </c>
    </row>
    <row r="44" spans="1:7" ht="12" customHeight="1" x14ac:dyDescent="0.2">
      <c r="A44" s="985"/>
      <c r="B44" s="162"/>
      <c r="C44" s="999"/>
      <c r="D44" s="1801" t="s">
        <v>474</v>
      </c>
      <c r="E44" s="1802">
        <f>E41</f>
        <v>405286</v>
      </c>
      <c r="F44" s="1801" t="s">
        <v>474</v>
      </c>
      <c r="G44" s="1802">
        <f>G41</f>
        <v>405286</v>
      </c>
    </row>
    <row r="45" spans="1:7" ht="12" customHeight="1" x14ac:dyDescent="0.2">
      <c r="A45" s="985"/>
      <c r="B45" s="162"/>
      <c r="C45" s="162"/>
      <c r="D45" s="1803" t="s">
        <v>1006</v>
      </c>
      <c r="E45" s="1804">
        <f>(E43/E44)</f>
        <v>0</v>
      </c>
      <c r="F45" s="1803" t="s">
        <v>1006</v>
      </c>
      <c r="G45" s="1804">
        <f>(G43/G44)</f>
        <v>0</v>
      </c>
    </row>
    <row r="46" spans="1:7" x14ac:dyDescent="0.2">
      <c r="A46" s="1002"/>
      <c r="B46" s="1003"/>
      <c r="C46" s="1003"/>
      <c r="D46" s="1004"/>
      <c r="E46" s="1005"/>
      <c r="F46" s="1004"/>
      <c r="G46" s="1005"/>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E31" sqref="E31"/>
    </sheetView>
  </sheetViews>
  <sheetFormatPr defaultColWidth="9.140625" defaultRowHeight="12.75" x14ac:dyDescent="0.2"/>
  <cols>
    <col min="1" max="1" width="54.5703125" style="1869" customWidth="1"/>
    <col min="2" max="2" width="4.140625" style="1869" customWidth="1"/>
    <col min="3" max="4" width="9.85546875" style="1840" customWidth="1"/>
    <col min="5" max="5" width="12.5703125" style="1870" customWidth="1"/>
    <col min="6" max="6" width="67.5703125" style="1840" customWidth="1"/>
    <col min="7" max="7" width="9.140625" style="1840" customWidth="1"/>
    <col min="8" max="8" width="5.5703125" style="1871" bestFit="1" customWidth="1"/>
    <col min="9" max="10" width="2" style="1871" bestFit="1" customWidth="1"/>
    <col min="11" max="11" width="9" style="1871" customWidth="1"/>
    <col min="12" max="16384" width="9.140625" style="1840"/>
  </cols>
  <sheetData>
    <row r="1" spans="1:10" x14ac:dyDescent="0.2">
      <c r="A1" s="2310" t="s">
        <v>1379</v>
      </c>
      <c r="B1" s="2310"/>
      <c r="C1" s="2310"/>
      <c r="D1" s="2310"/>
      <c r="E1" s="2310"/>
      <c r="F1" s="2310"/>
    </row>
    <row r="2" spans="1:10" x14ac:dyDescent="0.2">
      <c r="A2" s="1880" t="s">
        <v>1911</v>
      </c>
      <c r="B2" s="1841"/>
      <c r="C2" s="1880"/>
      <c r="D2" s="1841"/>
      <c r="E2" s="1841"/>
      <c r="F2" s="1842"/>
    </row>
    <row r="3" spans="1:10" x14ac:dyDescent="0.2">
      <c r="A3" s="1880" t="s">
        <v>1976</v>
      </c>
      <c r="B3" s="1841"/>
      <c r="C3" s="1880"/>
      <c r="D3" s="1841"/>
      <c r="E3" s="1841"/>
      <c r="F3" s="1842"/>
    </row>
    <row r="4" spans="1:10" ht="3.75" customHeight="1" x14ac:dyDescent="0.2">
      <c r="A4" s="1841"/>
      <c r="B4" s="1841"/>
      <c r="C4" s="1841"/>
      <c r="D4" s="1841"/>
      <c r="E4" s="1841"/>
      <c r="F4" s="1842"/>
    </row>
    <row r="5" spans="1:10" ht="15" x14ac:dyDescent="0.25">
      <c r="A5" s="2311" t="s">
        <v>1546</v>
      </c>
      <c r="B5" s="2312"/>
      <c r="C5" s="2313"/>
      <c r="D5" s="2313"/>
      <c r="E5" s="2313"/>
      <c r="F5" s="2313"/>
    </row>
    <row r="6" spans="1:10" ht="12" customHeight="1" x14ac:dyDescent="0.25">
      <c r="A6" s="1843"/>
      <c r="B6" s="1844"/>
      <c r="C6" s="2314" t="str">
        <f>COVER!A17</f>
        <v>Okaw Area Vocational Center</v>
      </c>
      <c r="D6" s="2314"/>
      <c r="E6" s="2314"/>
      <c r="F6" s="1845"/>
    </row>
    <row r="7" spans="1:10" ht="11.25" customHeight="1" thickBot="1" x14ac:dyDescent="0.3">
      <c r="A7" s="1843"/>
      <c r="B7" s="1844"/>
      <c r="C7" s="2315">
        <f>COVER!A13</f>
        <v>3026203041</v>
      </c>
      <c r="D7" s="2315"/>
      <c r="E7" s="2315"/>
      <c r="F7" s="1845"/>
    </row>
    <row r="8" spans="1:10" ht="25.5" customHeight="1" thickBot="1" x14ac:dyDescent="0.25">
      <c r="A8" s="1886" t="s">
        <v>1907</v>
      </c>
      <c r="B8" s="1846"/>
      <c r="C8" s="1882" t="s">
        <v>1681</v>
      </c>
      <c r="D8" s="1881" t="s">
        <v>1682</v>
      </c>
      <c r="E8" s="1883" t="s">
        <v>1380</v>
      </c>
      <c r="F8" s="1881" t="s">
        <v>1683</v>
      </c>
      <c r="H8" s="1847" t="b">
        <v>0</v>
      </c>
    </row>
    <row r="9" spans="1:10" ht="15.75" customHeight="1" x14ac:dyDescent="0.2">
      <c r="A9" s="1848" t="s">
        <v>1542</v>
      </c>
      <c r="B9" s="1849"/>
      <c r="C9" s="1850"/>
      <c r="D9" s="1850"/>
      <c r="E9" s="1851"/>
      <c r="F9" s="1852"/>
    </row>
    <row r="10" spans="1:10" ht="27.75" customHeight="1" x14ac:dyDescent="0.2">
      <c r="A10" s="1853" t="s">
        <v>1680</v>
      </c>
      <c r="B10" s="1854"/>
      <c r="C10" s="1855"/>
      <c r="D10" s="1855"/>
      <c r="E10" s="1884" t="s">
        <v>1381</v>
      </c>
      <c r="F10" s="1885" t="s">
        <v>1382</v>
      </c>
    </row>
    <row r="11" spans="1:10" ht="12" customHeight="1" x14ac:dyDescent="0.2">
      <c r="A11" s="1856" t="s">
        <v>1383</v>
      </c>
      <c r="B11" s="1857"/>
      <c r="C11" s="1858"/>
      <c r="D11" s="1858"/>
      <c r="E11" s="1859"/>
      <c r="F11" s="1860"/>
      <c r="H11" s="1871">
        <f>IF(C11="X",5,0)</f>
        <v>0</v>
      </c>
      <c r="I11" s="1871">
        <f>IF(D11="X",5,0)</f>
        <v>0</v>
      </c>
      <c r="J11" s="1871">
        <f>IF(E11="X",5,0)</f>
        <v>0</v>
      </c>
    </row>
    <row r="12" spans="1:10" ht="12" customHeight="1" x14ac:dyDescent="0.2">
      <c r="A12" s="1856" t="s">
        <v>1384</v>
      </c>
      <c r="B12" s="1857"/>
      <c r="C12" s="1858"/>
      <c r="D12" s="1858"/>
      <c r="E12" s="1861"/>
      <c r="F12" s="1860"/>
      <c r="H12" s="1871">
        <f t="shared" ref="H12:H33" si="0">IF(C12="X",5,0)</f>
        <v>0</v>
      </c>
      <c r="I12" s="1871">
        <f t="shared" ref="I12:I33" si="1">IF(D12="X",5,0)</f>
        <v>0</v>
      </c>
      <c r="J12" s="1871">
        <f t="shared" ref="J12:J33" si="2">IF(E12="X",5,0)</f>
        <v>0</v>
      </c>
    </row>
    <row r="13" spans="1:10" ht="12" customHeight="1" x14ac:dyDescent="0.2">
      <c r="A13" s="1856" t="s">
        <v>1385</v>
      </c>
      <c r="B13" s="1857"/>
      <c r="C13" s="1858"/>
      <c r="D13" s="1858"/>
      <c r="E13" s="1861"/>
      <c r="F13" s="1860"/>
      <c r="H13" s="1871">
        <f t="shared" si="0"/>
        <v>0</v>
      </c>
      <c r="I13" s="1871">
        <f t="shared" si="1"/>
        <v>0</v>
      </c>
      <c r="J13" s="1871">
        <f t="shared" si="2"/>
        <v>0</v>
      </c>
    </row>
    <row r="14" spans="1:10" ht="12" customHeight="1" x14ac:dyDescent="0.2">
      <c r="A14" s="1856" t="s">
        <v>1386</v>
      </c>
      <c r="B14" s="1857"/>
      <c r="C14" s="1858"/>
      <c r="D14" s="1858"/>
      <c r="E14" s="1861"/>
      <c r="F14" s="1860"/>
      <c r="H14" s="1871">
        <f t="shared" si="0"/>
        <v>0</v>
      </c>
      <c r="I14" s="1871">
        <f t="shared" si="1"/>
        <v>0</v>
      </c>
      <c r="J14" s="1871">
        <f t="shared" si="2"/>
        <v>0</v>
      </c>
    </row>
    <row r="15" spans="1:10" ht="12" customHeight="1" x14ac:dyDescent="0.2">
      <c r="A15" s="1856" t="s">
        <v>1387</v>
      </c>
      <c r="B15" s="1857"/>
      <c r="C15" s="1858"/>
      <c r="D15" s="1858"/>
      <c r="E15" s="1861"/>
      <c r="F15" s="1860"/>
      <c r="H15" s="1871">
        <f t="shared" si="0"/>
        <v>0</v>
      </c>
      <c r="I15" s="1871">
        <f t="shared" si="1"/>
        <v>0</v>
      </c>
      <c r="J15" s="1871">
        <f t="shared" si="2"/>
        <v>0</v>
      </c>
    </row>
    <row r="16" spans="1:10" ht="12" customHeight="1" x14ac:dyDescent="0.2">
      <c r="A16" s="1856" t="s">
        <v>1388</v>
      </c>
      <c r="B16" s="1857"/>
      <c r="C16" s="1858"/>
      <c r="D16" s="1858"/>
      <c r="E16" s="1861"/>
      <c r="F16" s="1860"/>
      <c r="H16" s="1871">
        <f t="shared" si="0"/>
        <v>0</v>
      </c>
      <c r="I16" s="1871">
        <f t="shared" si="1"/>
        <v>0</v>
      </c>
      <c r="J16" s="1871">
        <f t="shared" si="2"/>
        <v>0</v>
      </c>
    </row>
    <row r="17" spans="1:12" ht="12" customHeight="1" x14ac:dyDescent="0.2">
      <c r="A17" s="1856" t="s">
        <v>1389</v>
      </c>
      <c r="B17" s="1857"/>
      <c r="C17" s="1858"/>
      <c r="D17" s="1858"/>
      <c r="E17" s="1861"/>
      <c r="F17" s="1860"/>
      <c r="H17" s="1871">
        <f t="shared" si="0"/>
        <v>0</v>
      </c>
      <c r="I17" s="1871">
        <f t="shared" si="1"/>
        <v>0</v>
      </c>
      <c r="J17" s="1871">
        <f t="shared" si="2"/>
        <v>0</v>
      </c>
    </row>
    <row r="18" spans="1:12" ht="12" customHeight="1" x14ac:dyDescent="0.2">
      <c r="A18" s="1856" t="s">
        <v>1390</v>
      </c>
      <c r="B18" s="1857"/>
      <c r="C18" s="1858"/>
      <c r="D18" s="1858"/>
      <c r="E18" s="1861"/>
      <c r="F18" s="1860"/>
      <c r="H18" s="1871">
        <f t="shared" si="0"/>
        <v>0</v>
      </c>
      <c r="I18" s="1871">
        <f t="shared" si="1"/>
        <v>0</v>
      </c>
      <c r="J18" s="1871">
        <f t="shared" si="2"/>
        <v>0</v>
      </c>
    </row>
    <row r="19" spans="1:12" ht="12" customHeight="1" x14ac:dyDescent="0.2">
      <c r="A19" s="1856" t="s">
        <v>1527</v>
      </c>
      <c r="B19" s="1857"/>
      <c r="C19" s="1858"/>
      <c r="D19" s="1858"/>
      <c r="E19" s="1861"/>
      <c r="F19" s="1860"/>
      <c r="H19" s="1871">
        <f t="shared" si="0"/>
        <v>0</v>
      </c>
      <c r="I19" s="1871">
        <f t="shared" si="1"/>
        <v>0</v>
      </c>
      <c r="J19" s="1871">
        <f t="shared" si="2"/>
        <v>0</v>
      </c>
    </row>
    <row r="20" spans="1:12" ht="12" customHeight="1" x14ac:dyDescent="0.2">
      <c r="A20" s="1856" t="s">
        <v>1528</v>
      </c>
      <c r="B20" s="1857"/>
      <c r="C20" s="1858"/>
      <c r="D20" s="1858"/>
      <c r="E20" s="1861"/>
      <c r="F20" s="1860"/>
      <c r="H20" s="1871">
        <f t="shared" si="0"/>
        <v>0</v>
      </c>
      <c r="I20" s="1871">
        <f t="shared" si="1"/>
        <v>0</v>
      </c>
      <c r="J20" s="1871">
        <f t="shared" si="2"/>
        <v>0</v>
      </c>
    </row>
    <row r="21" spans="1:12" ht="12" customHeight="1" x14ac:dyDescent="0.2">
      <c r="A21" s="1856" t="s">
        <v>1529</v>
      </c>
      <c r="B21" s="1857"/>
      <c r="C21" s="1858"/>
      <c r="D21" s="1858"/>
      <c r="E21" s="1861"/>
      <c r="F21" s="1860"/>
      <c r="H21" s="1871">
        <f t="shared" si="0"/>
        <v>0</v>
      </c>
      <c r="I21" s="1871">
        <f t="shared" si="1"/>
        <v>0</v>
      </c>
      <c r="J21" s="1871">
        <f t="shared" si="2"/>
        <v>0</v>
      </c>
    </row>
    <row r="22" spans="1:12" ht="12" customHeight="1" x14ac:dyDescent="0.2">
      <c r="A22" s="1856" t="s">
        <v>1530</v>
      </c>
      <c r="B22" s="1857"/>
      <c r="C22" s="1858"/>
      <c r="D22" s="1858"/>
      <c r="E22" s="1861"/>
      <c r="F22" s="1860"/>
      <c r="H22" s="1871">
        <f t="shared" si="0"/>
        <v>0</v>
      </c>
      <c r="I22" s="1871">
        <f t="shared" si="1"/>
        <v>0</v>
      </c>
      <c r="J22" s="1871">
        <f t="shared" si="2"/>
        <v>0</v>
      </c>
    </row>
    <row r="23" spans="1:12" ht="12" customHeight="1" x14ac:dyDescent="0.2">
      <c r="A23" s="1856" t="s">
        <v>1531</v>
      </c>
      <c r="B23" s="1857"/>
      <c r="C23" s="1858"/>
      <c r="D23" s="1858"/>
      <c r="E23" s="1861"/>
      <c r="F23" s="1860"/>
      <c r="H23" s="1871">
        <f t="shared" si="0"/>
        <v>0</v>
      </c>
      <c r="I23" s="1871">
        <f t="shared" si="1"/>
        <v>0</v>
      </c>
      <c r="J23" s="1871">
        <f t="shared" si="2"/>
        <v>0</v>
      </c>
    </row>
    <row r="24" spans="1:12" ht="12" customHeight="1" x14ac:dyDescent="0.2">
      <c r="A24" s="1856" t="s">
        <v>1532</v>
      </c>
      <c r="B24" s="1857"/>
      <c r="C24" s="1858"/>
      <c r="D24" s="1858"/>
      <c r="E24" s="1861"/>
      <c r="F24" s="1860"/>
      <c r="H24" s="1871">
        <f t="shared" si="0"/>
        <v>0</v>
      </c>
      <c r="I24" s="1871">
        <f t="shared" si="1"/>
        <v>0</v>
      </c>
      <c r="J24" s="1871">
        <f t="shared" si="2"/>
        <v>0</v>
      </c>
    </row>
    <row r="25" spans="1:12" ht="12" customHeight="1" x14ac:dyDescent="0.2">
      <c r="A25" s="1856" t="s">
        <v>1533</v>
      </c>
      <c r="B25" s="1857"/>
      <c r="C25" s="1858"/>
      <c r="D25" s="1858"/>
      <c r="E25" s="1861"/>
      <c r="F25" s="1860"/>
      <c r="H25" s="1871">
        <f t="shared" si="0"/>
        <v>0</v>
      </c>
      <c r="I25" s="1871">
        <f t="shared" si="1"/>
        <v>0</v>
      </c>
      <c r="J25" s="1871">
        <f t="shared" si="2"/>
        <v>0</v>
      </c>
    </row>
    <row r="26" spans="1:12" ht="12" customHeight="1" x14ac:dyDescent="0.2">
      <c r="A26" s="1856" t="s">
        <v>1534</v>
      </c>
      <c r="B26" s="1857"/>
      <c r="C26" s="1858"/>
      <c r="D26" s="1858"/>
      <c r="E26" s="1861"/>
      <c r="F26" s="1860"/>
      <c r="H26" s="1871">
        <f t="shared" si="0"/>
        <v>0</v>
      </c>
      <c r="I26" s="1871">
        <f t="shared" si="1"/>
        <v>0</v>
      </c>
      <c r="J26" s="1871">
        <f t="shared" si="2"/>
        <v>0</v>
      </c>
    </row>
    <row r="27" spans="1:12" ht="18.75" x14ac:dyDescent="0.2">
      <c r="A27" s="1856" t="s">
        <v>1535</v>
      </c>
      <c r="B27" s="1857"/>
      <c r="C27" s="1858"/>
      <c r="D27" s="1858"/>
      <c r="E27" s="1861"/>
      <c r="F27" s="1860"/>
      <c r="H27" s="1871">
        <f t="shared" si="0"/>
        <v>0</v>
      </c>
      <c r="I27" s="1871">
        <f t="shared" si="1"/>
        <v>0</v>
      </c>
      <c r="J27" s="1871">
        <f t="shared" si="2"/>
        <v>0</v>
      </c>
    </row>
    <row r="28" spans="1:12" ht="12" customHeight="1" x14ac:dyDescent="0.2">
      <c r="A28" s="1856" t="s">
        <v>1536</v>
      </c>
      <c r="B28" s="1857"/>
      <c r="C28" s="1858"/>
      <c r="D28" s="1858"/>
      <c r="E28" s="1861"/>
      <c r="F28" s="1860"/>
      <c r="H28" s="1871">
        <f t="shared" si="0"/>
        <v>0</v>
      </c>
      <c r="I28" s="1871">
        <f t="shared" si="1"/>
        <v>0</v>
      </c>
      <c r="J28" s="1871">
        <f t="shared" si="2"/>
        <v>0</v>
      </c>
    </row>
    <row r="29" spans="1:12" ht="12" customHeight="1" x14ac:dyDescent="0.2">
      <c r="A29" s="1856" t="s">
        <v>1537</v>
      </c>
      <c r="B29" s="1857"/>
      <c r="C29" s="1858"/>
      <c r="D29" s="1858"/>
      <c r="E29" s="1861"/>
      <c r="F29" s="1860"/>
      <c r="H29" s="1871">
        <f t="shared" si="0"/>
        <v>0</v>
      </c>
      <c r="I29" s="1871">
        <f t="shared" si="1"/>
        <v>0</v>
      </c>
      <c r="J29" s="1871">
        <f t="shared" si="2"/>
        <v>0</v>
      </c>
    </row>
    <row r="30" spans="1:12" ht="12" customHeight="1" x14ac:dyDescent="0.2">
      <c r="A30" s="1856" t="s">
        <v>1538</v>
      </c>
      <c r="B30" s="1857"/>
      <c r="C30" s="1858"/>
      <c r="D30" s="1858"/>
      <c r="E30" s="1861"/>
      <c r="F30" s="1860"/>
      <c r="H30" s="1871">
        <f t="shared" si="0"/>
        <v>0</v>
      </c>
      <c r="I30" s="1871">
        <f t="shared" si="1"/>
        <v>0</v>
      </c>
      <c r="J30" s="1871">
        <f t="shared" si="2"/>
        <v>0</v>
      </c>
    </row>
    <row r="31" spans="1:12" ht="12" customHeight="1" x14ac:dyDescent="0.2">
      <c r="A31" s="1856" t="s">
        <v>1539</v>
      </c>
      <c r="B31" s="1857"/>
      <c r="C31" s="1858"/>
      <c r="D31" s="1858"/>
      <c r="E31" s="1861"/>
      <c r="F31" s="1860"/>
      <c r="H31" s="1871">
        <f t="shared" si="0"/>
        <v>0</v>
      </c>
      <c r="I31" s="1871">
        <f t="shared" si="1"/>
        <v>0</v>
      </c>
      <c r="J31" s="1871">
        <f t="shared" si="2"/>
        <v>0</v>
      </c>
      <c r="L31" s="1862"/>
    </row>
    <row r="32" spans="1:12" ht="12" customHeight="1" x14ac:dyDescent="0.2">
      <c r="A32" s="1856" t="s">
        <v>1540</v>
      </c>
      <c r="B32" s="1857"/>
      <c r="C32" s="1858" t="s">
        <v>2065</v>
      </c>
      <c r="D32" s="1858" t="s">
        <v>2065</v>
      </c>
      <c r="E32" s="1861"/>
      <c r="F32" s="1860" t="s">
        <v>2087</v>
      </c>
      <c r="H32" s="1871">
        <f t="shared" si="0"/>
        <v>5</v>
      </c>
      <c r="I32" s="1871">
        <f t="shared" si="1"/>
        <v>5</v>
      </c>
      <c r="J32" s="1871">
        <f t="shared" si="2"/>
        <v>0</v>
      </c>
    </row>
    <row r="33" spans="1:11" ht="12" customHeight="1" x14ac:dyDescent="0.2">
      <c r="A33" s="1856" t="s">
        <v>1541</v>
      </c>
      <c r="B33" s="1857"/>
      <c r="C33" s="1858"/>
      <c r="D33" s="1858"/>
      <c r="E33" s="1861"/>
      <c r="F33" s="1860"/>
      <c r="H33" s="1871">
        <f t="shared" si="0"/>
        <v>0</v>
      </c>
      <c r="I33" s="1871">
        <f t="shared" si="1"/>
        <v>0</v>
      </c>
      <c r="J33" s="1871">
        <f t="shared" si="2"/>
        <v>0</v>
      </c>
    </row>
    <row r="34" spans="1:11" ht="12" customHeight="1" x14ac:dyDescent="0.25">
      <c r="A34" s="1863"/>
      <c r="B34" s="1863"/>
      <c r="C34" s="1863"/>
      <c r="D34" s="1863"/>
      <c r="E34" s="1863"/>
      <c r="F34" s="1863"/>
      <c r="H34" s="1871">
        <f>SUM(H11:H32)</f>
        <v>5</v>
      </c>
      <c r="I34" s="1871">
        <f>SUM(I11:I32)</f>
        <v>5</v>
      </c>
      <c r="J34" s="1871">
        <f>SUM(J11:J32)</f>
        <v>0</v>
      </c>
      <c r="K34" s="1871">
        <f>SUM(H34:J34)</f>
        <v>10</v>
      </c>
    </row>
    <row r="35" spans="1:11" ht="12" customHeight="1" x14ac:dyDescent="0.2">
      <c r="A35" s="1864" t="s">
        <v>1392</v>
      </c>
      <c r="B35" s="1865"/>
      <c r="C35" s="2316"/>
      <c r="D35" s="2316"/>
      <c r="E35" s="2316"/>
      <c r="F35" s="2317"/>
    </row>
    <row r="36" spans="1:11" ht="12" customHeight="1" x14ac:dyDescent="0.2">
      <c r="A36" s="2299"/>
      <c r="B36" s="2300"/>
      <c r="C36" s="2300"/>
      <c r="D36" s="2300"/>
      <c r="E36" s="2300"/>
      <c r="F36" s="2301"/>
    </row>
    <row r="37" spans="1:11" ht="12" customHeight="1" x14ac:dyDescent="0.2">
      <c r="A37" s="2299"/>
      <c r="B37" s="2300"/>
      <c r="C37" s="2300"/>
      <c r="D37" s="2300"/>
      <c r="E37" s="2300"/>
      <c r="F37" s="2301"/>
    </row>
    <row r="38" spans="1:11" ht="12" customHeight="1" x14ac:dyDescent="0.2">
      <c r="A38" s="2302"/>
      <c r="B38" s="2303"/>
      <c r="C38" s="2303"/>
      <c r="D38" s="2303"/>
      <c r="E38" s="2303"/>
      <c r="F38" s="2304"/>
    </row>
    <row r="39" spans="1:11" ht="4.5" hidden="1" customHeight="1" x14ac:dyDescent="0.2">
      <c r="A39" s="1866"/>
      <c r="B39" s="1866"/>
      <c r="C39" s="1866"/>
      <c r="D39" s="1866"/>
      <c r="E39" s="1866"/>
      <c r="F39" s="1866"/>
    </row>
    <row r="40" spans="1:11" s="1863" customFormat="1" ht="12" customHeight="1" x14ac:dyDescent="0.25">
      <c r="A40" s="1867" t="s">
        <v>1391</v>
      </c>
      <c r="B40" s="1868"/>
      <c r="C40" s="2305"/>
      <c r="D40" s="2305"/>
      <c r="E40" s="2305"/>
      <c r="F40" s="2306"/>
      <c r="H40" s="1872"/>
      <c r="I40" s="1872"/>
      <c r="J40" s="1872"/>
      <c r="K40" s="1872"/>
    </row>
    <row r="41" spans="1:11" s="1863" customFormat="1" ht="12" customHeight="1" x14ac:dyDescent="0.25">
      <c r="A41" s="2307"/>
      <c r="B41" s="2308"/>
      <c r="C41" s="2308"/>
      <c r="D41" s="2308"/>
      <c r="E41" s="2308"/>
      <c r="F41" s="2309"/>
      <c r="H41" s="1872"/>
      <c r="I41" s="1872"/>
      <c r="J41" s="1872"/>
      <c r="K41" s="1872"/>
    </row>
    <row r="42" spans="1:11" s="1863" customFormat="1" ht="12" customHeight="1" x14ac:dyDescent="0.25">
      <c r="A42" s="2307"/>
      <c r="B42" s="2308"/>
      <c r="C42" s="2308"/>
      <c r="D42" s="2308"/>
      <c r="E42" s="2308"/>
      <c r="F42" s="2309"/>
      <c r="H42" s="1872"/>
      <c r="I42" s="1872"/>
      <c r="J42" s="1872"/>
      <c r="K42" s="1872"/>
    </row>
    <row r="43" spans="1:11" s="1863" customFormat="1" ht="15" x14ac:dyDescent="0.25">
      <c r="A43" s="2296"/>
      <c r="B43" s="2297"/>
      <c r="C43" s="2297"/>
      <c r="D43" s="2297"/>
      <c r="E43" s="2297"/>
      <c r="F43" s="2298"/>
      <c r="H43" s="1872"/>
      <c r="I43" s="1872"/>
      <c r="J43" s="1872"/>
      <c r="K43" s="1872"/>
    </row>
    <row r="44" spans="1:11" s="1863" customFormat="1" ht="12" hidden="1" customHeight="1" x14ac:dyDescent="0.25">
      <c r="A44" s="2296"/>
      <c r="B44" s="2297"/>
      <c r="C44" s="2297"/>
      <c r="D44" s="2297"/>
      <c r="E44" s="2297"/>
      <c r="F44" s="2298"/>
      <c r="H44" s="1872"/>
      <c r="I44" s="1872"/>
      <c r="J44" s="1872"/>
      <c r="K44" s="1872"/>
    </row>
    <row r="45" spans="1:11" s="1863" customFormat="1" ht="12" customHeight="1" x14ac:dyDescent="0.25">
      <c r="H45" s="1872"/>
      <c r="I45" s="1872"/>
      <c r="J45" s="1872"/>
      <c r="K45" s="1872"/>
    </row>
    <row r="46" spans="1:11" s="1863" customFormat="1" ht="9.75" customHeight="1" x14ac:dyDescent="0.25">
      <c r="H46" s="1872"/>
      <c r="I46" s="1872"/>
      <c r="J46" s="1872"/>
      <c r="K46" s="1872"/>
    </row>
    <row r="47" spans="1:11" s="1863" customFormat="1" ht="13.5" customHeight="1" x14ac:dyDescent="0.25">
      <c r="H47" s="1872"/>
      <c r="I47" s="1872"/>
      <c r="J47" s="1872"/>
      <c r="K47" s="1872"/>
    </row>
    <row r="48" spans="1:11" s="1863" customFormat="1" ht="15" x14ac:dyDescent="0.25">
      <c r="H48" s="1872"/>
      <c r="I48" s="1872"/>
      <c r="J48" s="1872"/>
      <c r="K48" s="1872"/>
    </row>
    <row r="49" spans="1:11" s="1863" customFormat="1" ht="15" hidden="1" x14ac:dyDescent="0.25">
      <c r="A49" s="1863" t="b">
        <v>0</v>
      </c>
      <c r="H49" s="1872"/>
      <c r="I49" s="1872"/>
      <c r="J49" s="1872"/>
      <c r="K49" s="1872"/>
    </row>
    <row r="50" spans="1:11" s="1863" customFormat="1" ht="15" x14ac:dyDescent="0.25">
      <c r="H50" s="1872"/>
      <c r="I50" s="1872"/>
      <c r="J50" s="1872"/>
      <c r="K50" s="1872"/>
    </row>
    <row r="51" spans="1:11" s="1863" customFormat="1" ht="15" x14ac:dyDescent="0.25">
      <c r="H51" s="1872"/>
      <c r="I51" s="1872"/>
      <c r="J51" s="1872"/>
      <c r="K51" s="1872"/>
    </row>
    <row r="52" spans="1:11" s="1863" customFormat="1" ht="15" x14ac:dyDescent="0.25">
      <c r="H52" s="1872"/>
      <c r="I52" s="1872"/>
      <c r="J52" s="1872"/>
      <c r="K52" s="1872"/>
    </row>
    <row r="53" spans="1:11" s="1863" customFormat="1" ht="15" x14ac:dyDescent="0.25">
      <c r="H53" s="1872"/>
      <c r="I53" s="1872"/>
      <c r="J53" s="1872"/>
      <c r="K53" s="1872"/>
    </row>
    <row r="54" spans="1:11" s="1863" customFormat="1" ht="15" x14ac:dyDescent="0.25">
      <c r="H54" s="1872"/>
      <c r="I54" s="1872"/>
      <c r="J54" s="1872"/>
      <c r="K54" s="1872"/>
    </row>
    <row r="55" spans="1:11" s="1863" customFormat="1" ht="15" x14ac:dyDescent="0.25">
      <c r="H55" s="1872"/>
      <c r="I55" s="1872"/>
      <c r="J55" s="1872"/>
      <c r="K55" s="1872"/>
    </row>
    <row r="56" spans="1:11" s="1863" customFormat="1" ht="15" x14ac:dyDescent="0.25">
      <c r="H56" s="1872"/>
      <c r="I56" s="1872"/>
      <c r="J56" s="1872"/>
      <c r="K56" s="1872"/>
    </row>
    <row r="57" spans="1:11" s="1863" customFormat="1" ht="15" x14ac:dyDescent="0.25">
      <c r="H57" s="1872"/>
      <c r="I57" s="1872"/>
      <c r="J57" s="1872"/>
      <c r="K57" s="1872"/>
    </row>
    <row r="58" spans="1:11" s="1863" customFormat="1" ht="15" x14ac:dyDescent="0.25">
      <c r="H58" s="1872"/>
      <c r="I58" s="1872"/>
      <c r="J58" s="1872"/>
      <c r="K58" s="1872"/>
    </row>
    <row r="59" spans="1:11" s="1863" customFormat="1" ht="15" x14ac:dyDescent="0.25">
      <c r="H59" s="1872"/>
      <c r="I59" s="1872"/>
      <c r="J59" s="1872"/>
      <c r="K59" s="1872"/>
    </row>
    <row r="60" spans="1:11" s="1863" customFormat="1" ht="15" x14ac:dyDescent="0.25">
      <c r="H60" s="1872"/>
      <c r="I60" s="1872"/>
      <c r="J60" s="1872"/>
      <c r="K60" s="1872"/>
    </row>
    <row r="61" spans="1:11" s="1863" customFormat="1" ht="15" x14ac:dyDescent="0.25">
      <c r="H61" s="1872"/>
      <c r="I61" s="1872"/>
      <c r="J61" s="1872"/>
      <c r="K61" s="1872"/>
    </row>
    <row r="62" spans="1:11" s="1863" customFormat="1" ht="15" x14ac:dyDescent="0.25">
      <c r="H62" s="1872"/>
      <c r="I62" s="1872"/>
      <c r="J62" s="1872"/>
      <c r="K62" s="1872"/>
    </row>
    <row r="63" spans="1:11" s="1863" customFormat="1" ht="15" x14ac:dyDescent="0.25">
      <c r="H63" s="1872"/>
      <c r="I63" s="1872"/>
      <c r="J63" s="1872"/>
      <c r="K63" s="1872"/>
    </row>
    <row r="64" spans="1:11" s="1863" customFormat="1" ht="15" x14ac:dyDescent="0.25">
      <c r="H64" s="1872"/>
      <c r="I64" s="1872"/>
      <c r="J64" s="1872"/>
      <c r="K64" s="1872"/>
    </row>
    <row r="65" spans="8:11" s="1863" customFormat="1" ht="15" x14ac:dyDescent="0.25">
      <c r="H65" s="1872"/>
      <c r="I65" s="1872"/>
      <c r="J65" s="1872"/>
      <c r="K65" s="1872"/>
    </row>
    <row r="66" spans="8:11" s="1863" customFormat="1" ht="15" x14ac:dyDescent="0.25">
      <c r="H66" s="1872"/>
      <c r="I66" s="1872"/>
      <c r="J66" s="1872"/>
      <c r="K66" s="1872"/>
    </row>
    <row r="67" spans="8:11" s="1863" customFormat="1" ht="15" x14ac:dyDescent="0.25">
      <c r="H67" s="1872"/>
      <c r="I67" s="1872"/>
      <c r="J67" s="1872"/>
      <c r="K67" s="1872"/>
    </row>
    <row r="68" spans="8:11" s="1863" customFormat="1" ht="15" x14ac:dyDescent="0.25">
      <c r="H68" s="1872"/>
      <c r="I68" s="1872"/>
      <c r="J68" s="1872"/>
      <c r="K68" s="1872"/>
    </row>
    <row r="69" spans="8:11" s="1863" customFormat="1" ht="15" x14ac:dyDescent="0.25">
      <c r="H69" s="1872"/>
      <c r="I69" s="1872"/>
      <c r="J69" s="1872"/>
      <c r="K69" s="1872"/>
    </row>
    <row r="70" spans="8:11" s="1863" customFormat="1" ht="15" x14ac:dyDescent="0.25">
      <c r="H70" s="1872"/>
      <c r="I70" s="1872"/>
      <c r="J70" s="1872"/>
      <c r="K70" s="1872"/>
    </row>
    <row r="71" spans="8:11" s="1863" customFormat="1" ht="15" x14ac:dyDescent="0.25">
      <c r="H71" s="1872"/>
      <c r="I71" s="1872"/>
      <c r="J71" s="1872"/>
      <c r="K71" s="1872"/>
    </row>
    <row r="72" spans="8:11" s="1863" customFormat="1" ht="15" x14ac:dyDescent="0.25">
      <c r="H72" s="1872"/>
      <c r="I72" s="1872"/>
      <c r="J72" s="1872"/>
      <c r="K72" s="1872"/>
    </row>
    <row r="73" spans="8:11" s="1863" customFormat="1" ht="15" x14ac:dyDescent="0.25">
      <c r="H73" s="1872"/>
      <c r="I73" s="1872"/>
      <c r="J73" s="1872"/>
      <c r="K73" s="1872"/>
    </row>
    <row r="74" spans="8:11" s="1863" customFormat="1" ht="15" x14ac:dyDescent="0.25">
      <c r="H74" s="1872"/>
      <c r="I74" s="1872"/>
      <c r="J74" s="1872"/>
      <c r="K74" s="1872"/>
    </row>
    <row r="75" spans="8:11" s="1863" customFormat="1" ht="15" x14ac:dyDescent="0.25">
      <c r="H75" s="1872"/>
      <c r="I75" s="1872"/>
      <c r="J75" s="1872"/>
      <c r="K75" s="1872"/>
    </row>
    <row r="76" spans="8:11" s="1863" customFormat="1" ht="15" x14ac:dyDescent="0.25">
      <c r="H76" s="1872"/>
      <c r="I76" s="1872"/>
      <c r="J76" s="1872"/>
      <c r="K76" s="1872"/>
    </row>
    <row r="77" spans="8:11" s="1863" customFormat="1" ht="15" x14ac:dyDescent="0.25">
      <c r="H77" s="1872"/>
      <c r="I77" s="1872"/>
      <c r="J77" s="1872"/>
      <c r="K77" s="1872"/>
    </row>
    <row r="78" spans="8:11" s="1863" customFormat="1" ht="15" x14ac:dyDescent="0.25">
      <c r="H78" s="1872"/>
      <c r="I78" s="1872"/>
      <c r="J78" s="1872"/>
      <c r="K78" s="1872"/>
    </row>
    <row r="79" spans="8:11" s="1863" customFormat="1" ht="15" x14ac:dyDescent="0.25">
      <c r="H79" s="1872"/>
      <c r="I79" s="1872"/>
      <c r="J79" s="1872"/>
      <c r="K79" s="1872"/>
    </row>
    <row r="80" spans="8:11" s="1863" customFormat="1" ht="15" x14ac:dyDescent="0.25">
      <c r="H80" s="1872"/>
      <c r="I80" s="1872"/>
      <c r="J80" s="1872"/>
      <c r="K80" s="1872"/>
    </row>
    <row r="81" spans="8:11" s="1863" customFormat="1" ht="15" x14ac:dyDescent="0.25">
      <c r="H81" s="1872"/>
      <c r="I81" s="1872"/>
      <c r="J81" s="1872"/>
      <c r="K81" s="1872"/>
    </row>
    <row r="82" spans="8:11" s="1863" customFormat="1" ht="15" x14ac:dyDescent="0.25">
      <c r="H82" s="1872"/>
      <c r="I82" s="1872"/>
      <c r="J82" s="1872"/>
      <c r="K82" s="1872"/>
    </row>
    <row r="83" spans="8:11" s="1863" customFormat="1" ht="15" x14ac:dyDescent="0.25">
      <c r="H83" s="1872"/>
      <c r="I83" s="1872"/>
      <c r="J83" s="1872"/>
      <c r="K83" s="1872"/>
    </row>
    <row r="84" spans="8:11" s="1863" customFormat="1" ht="15" x14ac:dyDescent="0.25">
      <c r="H84" s="1872"/>
      <c r="I84" s="1872"/>
      <c r="J84" s="1872"/>
      <c r="K84" s="1872"/>
    </row>
    <row r="85" spans="8:11" s="1863" customFormat="1" ht="15" x14ac:dyDescent="0.25">
      <c r="H85" s="1872"/>
      <c r="I85" s="1872"/>
      <c r="J85" s="1872"/>
      <c r="K85" s="1872"/>
    </row>
    <row r="86" spans="8:11" s="1863" customFormat="1" ht="15" x14ac:dyDescent="0.25">
      <c r="H86" s="1872"/>
      <c r="I86" s="1872"/>
      <c r="J86" s="1872"/>
      <c r="K86" s="1872"/>
    </row>
    <row r="87" spans="8:11" s="1863" customFormat="1" ht="15" x14ac:dyDescent="0.25">
      <c r="H87" s="1872"/>
      <c r="I87" s="1872"/>
      <c r="J87" s="1872"/>
      <c r="K87" s="1872"/>
    </row>
    <row r="88" spans="8:11" s="1863" customFormat="1" ht="15" x14ac:dyDescent="0.25">
      <c r="H88" s="1872"/>
      <c r="I88" s="1872"/>
      <c r="J88" s="1872"/>
      <c r="K88" s="1872"/>
    </row>
    <row r="89" spans="8:11" s="1863" customFormat="1" ht="15" x14ac:dyDescent="0.25">
      <c r="H89" s="1872"/>
      <c r="I89" s="1872"/>
      <c r="J89" s="1872"/>
      <c r="K89" s="1872"/>
    </row>
    <row r="90" spans="8:11" s="1863" customFormat="1" ht="15" x14ac:dyDescent="0.25">
      <c r="H90" s="1872"/>
      <c r="I90" s="1872"/>
      <c r="J90" s="1872"/>
      <c r="K90" s="1872"/>
    </row>
    <row r="91" spans="8:11" s="1863" customFormat="1" ht="15" x14ac:dyDescent="0.25">
      <c r="H91" s="1872"/>
      <c r="I91" s="1872"/>
      <c r="J91" s="1872"/>
      <c r="K91" s="1872"/>
    </row>
    <row r="92" spans="8:11" s="1863" customFormat="1" ht="15" x14ac:dyDescent="0.25">
      <c r="H92" s="1872"/>
      <c r="I92" s="1872"/>
      <c r="J92" s="1872"/>
      <c r="K92" s="1872"/>
    </row>
    <row r="93" spans="8:11" s="1863" customFormat="1" ht="15" x14ac:dyDescent="0.25">
      <c r="H93" s="1872"/>
      <c r="I93" s="1872"/>
      <c r="J93" s="1872"/>
      <c r="K93" s="1872"/>
    </row>
    <row r="94" spans="8:11" s="1863" customFormat="1" ht="15" x14ac:dyDescent="0.25">
      <c r="H94" s="1872"/>
      <c r="I94" s="1872"/>
      <c r="J94" s="1872"/>
      <c r="K94" s="1872"/>
    </row>
    <row r="95" spans="8:11" s="1863" customFormat="1" ht="15" x14ac:dyDescent="0.25">
      <c r="H95" s="1872"/>
      <c r="I95" s="1872"/>
      <c r="J95" s="1872"/>
      <c r="K95" s="1872"/>
    </row>
    <row r="96" spans="8:11" s="1863" customFormat="1" ht="15" x14ac:dyDescent="0.25">
      <c r="H96" s="1872"/>
      <c r="I96" s="1872"/>
      <c r="J96" s="1872"/>
      <c r="K96" s="1872"/>
    </row>
    <row r="97" spans="8:11" s="1863" customFormat="1" ht="15" x14ac:dyDescent="0.25">
      <c r="H97" s="1872"/>
      <c r="I97" s="1872"/>
      <c r="J97" s="1872"/>
      <c r="K97" s="1872"/>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4"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4" colorId="8" zoomScale="110" zoomScaleNormal="110" workbookViewId="0">
      <selection activeCell="H12" sqref="H12"/>
    </sheetView>
  </sheetViews>
  <sheetFormatPr defaultColWidth="9.140625" defaultRowHeight="12.75" x14ac:dyDescent="0.2"/>
  <cols>
    <col min="1" max="1" width="3" style="1008" customWidth="1"/>
    <col min="2" max="2" width="2.7109375" style="1008" customWidth="1"/>
    <col min="3" max="3" width="38.5703125" style="1008" customWidth="1"/>
    <col min="4" max="4" width="6.42578125" style="1008" customWidth="1"/>
    <col min="5" max="10" width="15.7109375" style="1008" customWidth="1"/>
    <col min="11" max="14" width="4.7109375" style="1008" customWidth="1"/>
    <col min="15" max="16384" width="9.140625" style="1008"/>
  </cols>
  <sheetData>
    <row r="1" spans="1:17" ht="11.85" customHeight="1" x14ac:dyDescent="0.2">
      <c r="A1" s="1006"/>
      <c r="B1" s="1007"/>
      <c r="E1" s="1009"/>
      <c r="F1" s="1010" t="s">
        <v>405</v>
      </c>
      <c r="G1" s="1011"/>
    </row>
    <row r="2" spans="1:17" ht="11.85" customHeight="1" x14ac:dyDescent="0.2">
      <c r="A2" s="1006"/>
      <c r="B2" s="1007"/>
      <c r="E2" s="1009"/>
      <c r="F2" s="1012" t="s">
        <v>290</v>
      </c>
      <c r="G2" s="1011"/>
    </row>
    <row r="3" spans="1:17" ht="11.85" customHeight="1" x14ac:dyDescent="0.2">
      <c r="E3" s="1009"/>
      <c r="F3" s="1012" t="s">
        <v>406</v>
      </c>
      <c r="G3" s="1009"/>
    </row>
    <row r="4" spans="1:17" ht="11.85" customHeight="1" x14ac:dyDescent="0.2">
      <c r="E4" s="1009"/>
      <c r="F4" s="1012" t="s">
        <v>868</v>
      </c>
      <c r="G4" s="1009"/>
    </row>
    <row r="5" spans="1:17" ht="12.2" customHeight="1" x14ac:dyDescent="0.2">
      <c r="F5" s="1012"/>
    </row>
    <row r="6" spans="1:17" x14ac:dyDescent="0.2">
      <c r="A6" s="1887" t="s">
        <v>672</v>
      </c>
      <c r="B6" s="1640"/>
      <c r="C6" s="1640"/>
      <c r="D6" s="1640"/>
      <c r="E6" s="1641"/>
      <c r="F6" s="1013"/>
      <c r="G6" s="1007"/>
      <c r="H6" s="1014" t="s">
        <v>1028</v>
      </c>
      <c r="I6" s="2323" t="str">
        <f>COVER!A17</f>
        <v>Okaw Area Vocational Center</v>
      </c>
      <c r="J6" s="2324"/>
      <c r="Q6" s="1660"/>
    </row>
    <row r="7" spans="1:17" x14ac:dyDescent="0.2">
      <c r="A7" s="2325" t="s">
        <v>869</v>
      </c>
      <c r="B7" s="2326"/>
      <c r="C7" s="2326"/>
      <c r="D7" s="2326"/>
      <c r="E7" s="2327"/>
      <c r="F7" s="1015"/>
      <c r="G7" s="1007"/>
      <c r="H7" s="1014" t="s">
        <v>372</v>
      </c>
      <c r="I7" s="2328">
        <f>COVER!A13</f>
        <v>3026203041</v>
      </c>
      <c r="J7" s="2328"/>
    </row>
    <row r="8" spans="1:17" ht="8.25" customHeight="1" x14ac:dyDescent="0.2">
      <c r="A8" s="1642"/>
      <c r="B8" s="1643"/>
      <c r="C8" s="1643"/>
      <c r="D8" s="1643"/>
      <c r="E8" s="1644"/>
      <c r="F8" s="1016"/>
      <c r="G8" s="1017"/>
      <c r="H8" s="1017"/>
      <c r="I8" s="1017"/>
      <c r="J8" s="1017"/>
    </row>
    <row r="9" spans="1:17" ht="13.5" customHeight="1" x14ac:dyDescent="0.2">
      <c r="A9" s="1018"/>
      <c r="B9" s="1019"/>
      <c r="C9" s="1019"/>
      <c r="D9" s="1020"/>
      <c r="E9" s="1888" t="s">
        <v>1977</v>
      </c>
      <c r="F9" s="1021"/>
      <c r="G9" s="1021"/>
      <c r="H9" s="1889" t="s">
        <v>1978</v>
      </c>
      <c r="I9" s="1021"/>
      <c r="J9" s="1022"/>
    </row>
    <row r="10" spans="1:17" s="1030" customFormat="1" ht="13.5" customHeight="1" x14ac:dyDescent="0.2">
      <c r="A10" s="1023"/>
      <c r="B10" s="1024"/>
      <c r="C10" s="1025"/>
      <c r="D10" s="1026"/>
      <c r="E10" s="1027" t="s">
        <v>425</v>
      </c>
      <c r="F10" s="1028" t="s">
        <v>426</v>
      </c>
      <c r="G10" s="1029"/>
      <c r="H10" s="1028" t="s">
        <v>425</v>
      </c>
      <c r="I10" s="1028" t="s">
        <v>426</v>
      </c>
      <c r="J10" s="1028"/>
    </row>
    <row r="11" spans="1:17" s="1030" customFormat="1" ht="22.5" x14ac:dyDescent="0.2">
      <c r="A11" s="2329" t="s">
        <v>481</v>
      </c>
      <c r="B11" s="2330"/>
      <c r="C11" s="2331"/>
      <c r="D11" s="1031" t="s">
        <v>871</v>
      </c>
      <c r="E11" s="1031" t="s">
        <v>64</v>
      </c>
      <c r="F11" s="1031" t="s">
        <v>6</v>
      </c>
      <c r="G11" s="1032" t="s">
        <v>156</v>
      </c>
      <c r="H11" s="1032" t="s">
        <v>64</v>
      </c>
      <c r="I11" s="1031" t="s">
        <v>6</v>
      </c>
      <c r="J11" s="1032" t="s">
        <v>156</v>
      </c>
    </row>
    <row r="12" spans="1:17" ht="15" customHeight="1" x14ac:dyDescent="0.2">
      <c r="A12" s="1033">
        <v>1</v>
      </c>
      <c r="B12" s="1034" t="s">
        <v>818</v>
      </c>
      <c r="C12" s="1035"/>
      <c r="D12" s="1036">
        <v>2320</v>
      </c>
      <c r="E12" s="1805">
        <f>'Expenditures 15-22'!K50</f>
        <v>0</v>
      </c>
      <c r="F12" s="1037"/>
      <c r="G12" s="1805">
        <f t="shared" ref="G12:G18" si="0">SUM(E12:F12)</f>
        <v>0</v>
      </c>
      <c r="H12" s="1038"/>
      <c r="I12" s="1037"/>
      <c r="J12" s="1805">
        <f t="shared" ref="J12:J18" si="1">SUM(H12:I12)</f>
        <v>0</v>
      </c>
    </row>
    <row r="13" spans="1:17" ht="15" customHeight="1" x14ac:dyDescent="0.2">
      <c r="A13" s="1033">
        <v>2</v>
      </c>
      <c r="B13" s="1034" t="s">
        <v>42</v>
      </c>
      <c r="C13" s="1035"/>
      <c r="D13" s="1036">
        <v>2330</v>
      </c>
      <c r="E13" s="1805">
        <f>'Expenditures 15-22'!K51</f>
        <v>0</v>
      </c>
      <c r="F13" s="1037"/>
      <c r="G13" s="1805">
        <f t="shared" si="0"/>
        <v>0</v>
      </c>
      <c r="H13" s="1038"/>
      <c r="I13" s="1037"/>
      <c r="J13" s="1805">
        <f t="shared" si="1"/>
        <v>0</v>
      </c>
    </row>
    <row r="14" spans="1:17" ht="15" customHeight="1" x14ac:dyDescent="0.2">
      <c r="A14" s="1033">
        <v>3</v>
      </c>
      <c r="B14" s="1034" t="s">
        <v>43</v>
      </c>
      <c r="C14" s="1035"/>
      <c r="D14" s="1039">
        <v>2490</v>
      </c>
      <c r="E14" s="1805">
        <f>'Expenditures 15-22'!K56</f>
        <v>0</v>
      </c>
      <c r="F14" s="1037"/>
      <c r="G14" s="1805">
        <f t="shared" si="0"/>
        <v>0</v>
      </c>
      <c r="H14" s="1038"/>
      <c r="I14" s="1037"/>
      <c r="J14" s="1805">
        <f t="shared" si="1"/>
        <v>0</v>
      </c>
    </row>
    <row r="15" spans="1:17" ht="15" customHeight="1" x14ac:dyDescent="0.2">
      <c r="A15" s="1033">
        <v>4</v>
      </c>
      <c r="B15" s="1034" t="s">
        <v>1068</v>
      </c>
      <c r="C15" s="1035"/>
      <c r="D15" s="1036">
        <v>2510</v>
      </c>
      <c r="E15" s="1805">
        <f>'Expenditures 15-22'!K59</f>
        <v>0</v>
      </c>
      <c r="F15" s="1805">
        <f>'Expenditures 15-22'!K122</f>
        <v>0</v>
      </c>
      <c r="G15" s="1805">
        <f t="shared" si="0"/>
        <v>0</v>
      </c>
      <c r="H15" s="1038"/>
      <c r="I15" s="1038"/>
      <c r="J15" s="1805">
        <f t="shared" si="1"/>
        <v>0</v>
      </c>
    </row>
    <row r="16" spans="1:17" ht="15" customHeight="1" x14ac:dyDescent="0.2">
      <c r="A16" s="1033">
        <v>5</v>
      </c>
      <c r="B16" s="1034" t="s">
        <v>101</v>
      </c>
      <c r="C16" s="1035"/>
      <c r="D16" s="1036">
        <v>2570</v>
      </c>
      <c r="E16" s="1805">
        <f>'Expenditures 15-22'!K64</f>
        <v>0</v>
      </c>
      <c r="F16" s="1037"/>
      <c r="G16" s="1805">
        <f t="shared" si="0"/>
        <v>0</v>
      </c>
      <c r="H16" s="1038"/>
      <c r="I16" s="1037"/>
      <c r="J16" s="1805">
        <f t="shared" si="1"/>
        <v>0</v>
      </c>
    </row>
    <row r="17" spans="1:10" ht="15" customHeight="1" x14ac:dyDescent="0.2">
      <c r="A17" s="1033">
        <v>6</v>
      </c>
      <c r="B17" s="1034" t="s">
        <v>1060</v>
      </c>
      <c r="C17" s="1035"/>
      <c r="D17" s="1036">
        <v>2610</v>
      </c>
      <c r="E17" s="1805">
        <f>'Expenditures 15-22'!K67</f>
        <v>0</v>
      </c>
      <c r="F17" s="1037"/>
      <c r="G17" s="1805">
        <f t="shared" si="0"/>
        <v>0</v>
      </c>
      <c r="H17" s="1038"/>
      <c r="I17" s="1037"/>
      <c r="J17" s="1805">
        <f t="shared" si="1"/>
        <v>0</v>
      </c>
    </row>
    <row r="18" spans="1:10" ht="22.5" customHeight="1" x14ac:dyDescent="0.2">
      <c r="A18" s="1040">
        <v>7</v>
      </c>
      <c r="B18" s="2332" t="s">
        <v>7</v>
      </c>
      <c r="C18" s="2333"/>
      <c r="D18" s="2334"/>
      <c r="E18" s="1041"/>
      <c r="F18" s="1041"/>
      <c r="G18" s="1806">
        <f t="shared" si="0"/>
        <v>0</v>
      </c>
      <c r="H18" s="1038"/>
      <c r="I18" s="1038"/>
      <c r="J18" s="1805">
        <f t="shared" si="1"/>
        <v>0</v>
      </c>
    </row>
    <row r="19" spans="1:10" ht="12.75" customHeight="1" thickBot="1" x14ac:dyDescent="0.25">
      <c r="A19" s="1033">
        <v>8</v>
      </c>
      <c r="B19" s="1042" t="s">
        <v>1161</v>
      </c>
      <c r="D19" s="1043"/>
      <c r="E19" s="1807">
        <f t="shared" ref="E19:J19" si="2">SUM(E12:E17)-E18</f>
        <v>0</v>
      </c>
      <c r="F19" s="1807">
        <f t="shared" si="2"/>
        <v>0</v>
      </c>
      <c r="G19" s="1807">
        <f t="shared" si="2"/>
        <v>0</v>
      </c>
      <c r="H19" s="1807">
        <f t="shared" si="2"/>
        <v>0</v>
      </c>
      <c r="I19" s="1807">
        <f t="shared" si="2"/>
        <v>0</v>
      </c>
      <c r="J19" s="1807">
        <f t="shared" si="2"/>
        <v>0</v>
      </c>
    </row>
    <row r="20" spans="1:10" ht="13.5" thickTop="1" x14ac:dyDescent="0.2">
      <c r="A20" s="1033">
        <v>9</v>
      </c>
      <c r="B20" s="2335" t="s">
        <v>1979</v>
      </c>
      <c r="C20" s="2335"/>
      <c r="D20" s="2336"/>
      <c r="E20" s="1044"/>
      <c r="F20" s="1044"/>
      <c r="G20" s="1044"/>
      <c r="H20" s="1044"/>
      <c r="I20" s="1044"/>
      <c r="J20" s="1808" t="str">
        <f>IF(AND(G19&gt;0,J19&gt;0),(((J19-G19)/G19)),"Enter Budget Data")</f>
        <v>Enter Budget Data</v>
      </c>
    </row>
    <row r="21" spans="1:10" ht="9" customHeight="1" x14ac:dyDescent="0.2">
      <c r="B21" s="1045"/>
    </row>
    <row r="22" spans="1:10" x14ac:dyDescent="0.2">
      <c r="A22" s="1046" t="s">
        <v>133</v>
      </c>
      <c r="B22" s="1045"/>
    </row>
    <row r="23" spans="1:10" x14ac:dyDescent="0.2">
      <c r="A23" s="1009" t="s">
        <v>1980</v>
      </c>
      <c r="B23" s="1045"/>
    </row>
    <row r="24" spans="1:10" x14ac:dyDescent="0.2">
      <c r="A24" s="1009" t="s">
        <v>1993</v>
      </c>
      <c r="B24" s="1045"/>
    </row>
    <row r="25" spans="1:10" x14ac:dyDescent="0.2">
      <c r="A25" s="1047"/>
      <c r="B25" s="1045"/>
    </row>
    <row r="26" spans="1:10" ht="20.100000000000001" customHeight="1" x14ac:dyDescent="0.2">
      <c r="B26" s="1045"/>
      <c r="C26" s="2341"/>
      <c r="D26" s="2341"/>
      <c r="E26" s="1048"/>
      <c r="F26" s="2340"/>
      <c r="G26" s="2340"/>
    </row>
    <row r="27" spans="1:10" x14ac:dyDescent="0.2">
      <c r="B27" s="1045"/>
      <c r="C27" s="1049" t="s">
        <v>1033</v>
      </c>
      <c r="D27" s="1050"/>
      <c r="E27" s="1051"/>
      <c r="F27" s="2337" t="s">
        <v>1509</v>
      </c>
      <c r="G27" s="2337"/>
    </row>
    <row r="28" spans="1:10" ht="28.5" customHeight="1" x14ac:dyDescent="0.2">
      <c r="B28" s="1045"/>
      <c r="C28" s="2339"/>
      <c r="D28" s="2339"/>
      <c r="E28" s="1052"/>
      <c r="F28" s="2339"/>
      <c r="G28" s="2339"/>
    </row>
    <row r="29" spans="1:10" x14ac:dyDescent="0.2">
      <c r="B29" s="1045"/>
      <c r="C29" s="1053" t="s">
        <v>1561</v>
      </c>
      <c r="E29" s="1054"/>
      <c r="F29" s="2338" t="s">
        <v>1510</v>
      </c>
      <c r="G29" s="2338"/>
    </row>
    <row r="30" spans="1:10" ht="9" customHeight="1" x14ac:dyDescent="0.2">
      <c r="B30" s="1045"/>
      <c r="C30" s="1055"/>
      <c r="E30" s="1056"/>
      <c r="F30" s="1057"/>
      <c r="G30" s="1057"/>
    </row>
    <row r="31" spans="1:10" ht="15" customHeight="1" x14ac:dyDescent="0.2">
      <c r="A31" s="1009"/>
      <c r="B31" s="1058" t="s">
        <v>1034</v>
      </c>
    </row>
    <row r="32" spans="1:10" ht="9" customHeight="1" x14ac:dyDescent="0.2">
      <c r="A32" s="1009"/>
      <c r="B32" s="1046"/>
    </row>
    <row r="33" spans="1:10" ht="12.75" customHeight="1" x14ac:dyDescent="0.2">
      <c r="A33" s="1009"/>
      <c r="B33" s="1059"/>
      <c r="C33" s="2320" t="s">
        <v>132</v>
      </c>
      <c r="D33" s="2321"/>
      <c r="E33" s="2321"/>
      <c r="F33" s="2321"/>
      <c r="G33" s="2321"/>
      <c r="H33" s="2321"/>
      <c r="I33" s="2321"/>
    </row>
    <row r="34" spans="1:10" ht="10.35" customHeight="1" x14ac:dyDescent="0.2">
      <c r="C34" s="2321"/>
      <c r="D34" s="2321"/>
      <c r="E34" s="2321"/>
      <c r="F34" s="2321"/>
      <c r="G34" s="2321"/>
      <c r="H34" s="2321"/>
      <c r="I34" s="2321"/>
    </row>
    <row r="35" spans="1:10" ht="7.5" customHeight="1" x14ac:dyDescent="0.2">
      <c r="C35" s="1060"/>
    </row>
    <row r="36" spans="1:10" ht="13.5" customHeight="1" x14ac:dyDescent="0.2">
      <c r="B36" s="1059"/>
      <c r="C36" s="2322" t="s">
        <v>1981</v>
      </c>
      <c r="D36" s="2321"/>
      <c r="E36" s="2321"/>
      <c r="F36" s="2321"/>
      <c r="G36" s="2321"/>
      <c r="H36" s="2321"/>
      <c r="I36" s="2321"/>
      <c r="J36" s="1061"/>
    </row>
    <row r="37" spans="1:10" ht="22.5" customHeight="1" x14ac:dyDescent="0.2">
      <c r="C37" s="2321"/>
      <c r="D37" s="2321"/>
      <c r="E37" s="2321"/>
      <c r="F37" s="2321"/>
      <c r="G37" s="2321"/>
      <c r="H37" s="2321"/>
      <c r="I37" s="2321"/>
      <c r="J37" s="1061"/>
    </row>
    <row r="38" spans="1:10" ht="7.5" customHeight="1" x14ac:dyDescent="0.2">
      <c r="C38" s="1060"/>
      <c r="D38" s="1062"/>
      <c r="E38" s="1063"/>
      <c r="F38" s="1064"/>
      <c r="G38" s="1063"/>
    </row>
    <row r="39" spans="1:10" ht="13.5" customHeight="1" x14ac:dyDescent="0.2">
      <c r="B39" s="1059"/>
      <c r="C39" s="2318" t="s">
        <v>882</v>
      </c>
      <c r="D39" s="2319"/>
      <c r="E39" s="2319"/>
      <c r="F39" s="2319"/>
      <c r="G39" s="2319"/>
      <c r="H39" s="2319"/>
      <c r="I39" s="2319"/>
    </row>
    <row r="40" spans="1:10" ht="13.35" customHeight="1" x14ac:dyDescent="0.2">
      <c r="A40" s="1009"/>
      <c r="C40" s="1065"/>
      <c r="D40" s="1065"/>
      <c r="E40" s="1065"/>
      <c r="F40" s="1065"/>
      <c r="G40" s="1065"/>
      <c r="H40" s="1065"/>
      <c r="I40" s="1065"/>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57"/>
  <sheetViews>
    <sheetView showGridLines="0" zoomScale="110" zoomScaleNormal="110" workbookViewId="0">
      <selection activeCell="B6" sqref="B6"/>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1" x14ac:dyDescent="0.2">
      <c r="A2" s="389" t="s">
        <v>258</v>
      </c>
    </row>
    <row r="3" spans="1:1" x14ac:dyDescent="0.2">
      <c r="A3" s="329" t="s">
        <v>259</v>
      </c>
    </row>
    <row r="5" spans="1:1" x14ac:dyDescent="0.2">
      <c r="A5" s="1066">
        <v>1</v>
      </c>
    </row>
    <row r="6" spans="1:1" x14ac:dyDescent="0.2">
      <c r="A6" s="1066">
        <v>2</v>
      </c>
    </row>
    <row r="7" spans="1:1" x14ac:dyDescent="0.2">
      <c r="A7" s="1066">
        <v>3</v>
      </c>
    </row>
    <row r="8" spans="1:1" x14ac:dyDescent="0.2">
      <c r="A8" s="1066">
        <v>4</v>
      </c>
    </row>
    <row r="9" spans="1:1" x14ac:dyDescent="0.2">
      <c r="A9" s="1067"/>
    </row>
    <row r="10" spans="1:1" x14ac:dyDescent="0.2">
      <c r="A10" s="1067"/>
    </row>
    <row r="11" spans="1:1" x14ac:dyDescent="0.2">
      <c r="A11" s="1067"/>
    </row>
    <row r="12" spans="1:1" x14ac:dyDescent="0.2">
      <c r="A12" s="1067"/>
    </row>
    <row r="13" spans="1:1" x14ac:dyDescent="0.2">
      <c r="A13" s="1067"/>
    </row>
    <row r="14" spans="1:1" x14ac:dyDescent="0.2">
      <c r="A14" s="1067"/>
    </row>
    <row r="15" spans="1:1" x14ac:dyDescent="0.2">
      <c r="A15" s="1067"/>
    </row>
    <row r="16" spans="1:1" x14ac:dyDescent="0.2">
      <c r="A16" s="1067"/>
    </row>
    <row r="17" spans="1:1" x14ac:dyDescent="0.2">
      <c r="A17" s="1067"/>
    </row>
    <row r="18" spans="1:1" x14ac:dyDescent="0.2">
      <c r="A18" s="1067"/>
    </row>
    <row r="19" spans="1:1" x14ac:dyDescent="0.2">
      <c r="A19" s="1067"/>
    </row>
    <row r="20" spans="1:1" x14ac:dyDescent="0.2">
      <c r="A20" s="1067"/>
    </row>
    <row r="21" spans="1:1" x14ac:dyDescent="0.2">
      <c r="A21" s="1067"/>
    </row>
    <row r="22" spans="1:1" x14ac:dyDescent="0.2">
      <c r="A22" s="1067"/>
    </row>
    <row r="23" spans="1:1" x14ac:dyDescent="0.2">
      <c r="A23" s="1067"/>
    </row>
    <row r="24" spans="1:1" x14ac:dyDescent="0.2">
      <c r="A24" s="1067"/>
    </row>
    <row r="25" spans="1:1" x14ac:dyDescent="0.2">
      <c r="A25" s="1067"/>
    </row>
    <row r="26" spans="1:1" x14ac:dyDescent="0.2">
      <c r="A26" s="1067"/>
    </row>
    <row r="27" spans="1:1" x14ac:dyDescent="0.2">
      <c r="A27" s="1067"/>
    </row>
    <row r="28" spans="1:1" x14ac:dyDescent="0.2">
      <c r="A28" s="1067"/>
    </row>
    <row r="29" spans="1:1" x14ac:dyDescent="0.2">
      <c r="A29" s="1067"/>
    </row>
    <row r="30" spans="1:1" x14ac:dyDescent="0.2">
      <c r="A30" s="1067"/>
    </row>
    <row r="31" spans="1:1" x14ac:dyDescent="0.2">
      <c r="A31" s="1067"/>
    </row>
    <row r="32" spans="1:1" x14ac:dyDescent="0.2">
      <c r="A32" s="1067"/>
    </row>
    <row r="33" spans="1:1" x14ac:dyDescent="0.2">
      <c r="A33" s="1067"/>
    </row>
    <row r="34" spans="1:1" x14ac:dyDescent="0.2">
      <c r="A34" s="1067"/>
    </row>
    <row r="35" spans="1:1" x14ac:dyDescent="0.2">
      <c r="A35" s="1067"/>
    </row>
    <row r="36" spans="1:1" x14ac:dyDescent="0.2">
      <c r="A36" s="1067"/>
    </row>
    <row r="37" spans="1:1" x14ac:dyDescent="0.2">
      <c r="A37" s="1067"/>
    </row>
    <row r="38" spans="1:1" x14ac:dyDescent="0.2">
      <c r="A38" s="1067"/>
    </row>
    <row r="39" spans="1:1" x14ac:dyDescent="0.2">
      <c r="A39" s="1067"/>
    </row>
    <row r="40" spans="1:1" x14ac:dyDescent="0.2">
      <c r="A40" s="1067"/>
    </row>
    <row r="41" spans="1:1" x14ac:dyDescent="0.2">
      <c r="A41" s="1067"/>
    </row>
    <row r="42" spans="1:1" x14ac:dyDescent="0.2">
      <c r="A42" s="1067"/>
    </row>
    <row r="43" spans="1:1" x14ac:dyDescent="0.2">
      <c r="A43" s="1067"/>
    </row>
    <row r="44" spans="1:1" x14ac:dyDescent="0.2">
      <c r="A44" s="1067"/>
    </row>
    <row r="45" spans="1:1" x14ac:dyDescent="0.2">
      <c r="A45" s="1067"/>
    </row>
    <row r="46" spans="1:1" x14ac:dyDescent="0.2">
      <c r="A46" s="1067"/>
    </row>
    <row r="47" spans="1:1" x14ac:dyDescent="0.2">
      <c r="A47" s="1067"/>
    </row>
    <row r="48" spans="1:1" x14ac:dyDescent="0.2">
      <c r="A48" s="1067"/>
    </row>
    <row r="49" spans="1:2" x14ac:dyDescent="0.2">
      <c r="A49" s="1067"/>
    </row>
    <row r="50" spans="1:2" x14ac:dyDescent="0.2">
      <c r="A50" s="1067"/>
    </row>
    <row r="51" spans="1:2" x14ac:dyDescent="0.2">
      <c r="A51" s="1067"/>
    </row>
    <row r="52" spans="1:2" x14ac:dyDescent="0.2">
      <c r="A52" s="1067"/>
    </row>
    <row r="53" spans="1:2" x14ac:dyDescent="0.2">
      <c r="A53" s="1067"/>
    </row>
    <row r="54" spans="1:2" x14ac:dyDescent="0.2">
      <c r="A54" s="1067"/>
    </row>
    <row r="55" spans="1:2" x14ac:dyDescent="0.2">
      <c r="A55" s="1067"/>
    </row>
    <row r="56" spans="1:2" x14ac:dyDescent="0.2">
      <c r="A56" s="1067"/>
      <c r="B56" s="258" t="str">
        <f>COVER!A17</f>
        <v>Okaw Area Vocational Center</v>
      </c>
    </row>
    <row r="57" spans="1:2" x14ac:dyDescent="0.2">
      <c r="B57" s="1068">
        <f>COVER!A13</f>
        <v>3026203041</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0" t="s">
        <v>1611</v>
      </c>
    </row>
    <row r="23" spans="1:5" x14ac:dyDescent="0.2">
      <c r="A23" s="168"/>
      <c r="B23" s="162" t="s">
        <v>1856</v>
      </c>
      <c r="D23" s="167" t="s">
        <v>637</v>
      </c>
      <c r="E23" s="1830"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9" t="s">
        <v>1065</v>
      </c>
      <c r="B35" s="2059"/>
      <c r="C35" s="2059"/>
      <c r="D35" s="2059"/>
      <c r="E35" s="205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6" t="s">
        <v>691</v>
      </c>
      <c r="B40" s="2056"/>
      <c r="C40" s="2056"/>
      <c r="D40" s="2056"/>
      <c r="E40" s="2056"/>
    </row>
    <row r="41" spans="1:5" x14ac:dyDescent="0.2">
      <c r="A41" s="2057" t="s">
        <v>1608</v>
      </c>
      <c r="B41" s="2057"/>
      <c r="C41" s="2057"/>
      <c r="D41" s="2057"/>
      <c r="E41" s="2057"/>
    </row>
    <row r="42" spans="1:5" ht="12.75" customHeight="1" x14ac:dyDescent="0.2">
      <c r="A42" s="2058" t="s">
        <v>1022</v>
      </c>
      <c r="B42" s="2058"/>
      <c r="C42" s="2058"/>
      <c r="D42" s="2058"/>
      <c r="E42" s="2058"/>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3" t="s">
        <v>1776</v>
      </c>
    </row>
    <row r="60" spans="1:3" x14ac:dyDescent="0.2">
      <c r="A60" s="196"/>
      <c r="B60" s="1483"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5"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4"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topLeftCell="B1"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15" sqref="E15"/>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9"/>
      <c r="C11" s="1069"/>
      <c r="D11" s="1069"/>
      <c r="E11" s="1069"/>
      <c r="F11" s="1069"/>
    </row>
    <row r="13" spans="1:6" x14ac:dyDescent="0.2">
      <c r="A13" s="1070" t="s">
        <v>1493</v>
      </c>
    </row>
    <row r="15" spans="1:6" x14ac:dyDescent="0.2">
      <c r="A15" s="389" t="s">
        <v>857</v>
      </c>
    </row>
    <row r="16" spans="1:6" s="1069" customFormat="1" ht="45" customHeight="1" x14ac:dyDescent="0.2">
      <c r="A16" s="1071"/>
      <c r="B16" s="1071" t="s">
        <v>1684</v>
      </c>
    </row>
    <row r="17" spans="1:2" ht="6" customHeight="1" x14ac:dyDescent="0.2"/>
    <row r="18" spans="1:2" ht="24.75" customHeight="1" x14ac:dyDescent="0.2">
      <c r="A18" s="2342" t="s">
        <v>1685</v>
      </c>
      <c r="B18" s="2342"/>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47625</xdr:colOff>
                <xdr:row>0</xdr:row>
                <xdr:rowOff>66675</xdr:rowOff>
              </from>
              <to>
                <xdr:col>1</xdr:col>
                <xdr:colOff>838200</xdr:colOff>
                <xdr:row>4</xdr:row>
                <xdr:rowOff>104775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942975</xdr:colOff>
                <xdr:row>0</xdr:row>
                <xdr:rowOff>76200</xdr:rowOff>
              </from>
              <to>
                <xdr:col>1</xdr:col>
                <xdr:colOff>1857375</xdr:colOff>
                <xdr:row>4</xdr:row>
                <xdr:rowOff>104775</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1914525</xdr:colOff>
                <xdr:row>0</xdr:row>
                <xdr:rowOff>85725</xdr:rowOff>
              </from>
              <to>
                <xdr:col>1</xdr:col>
                <xdr:colOff>2828925</xdr:colOff>
                <xdr:row>4</xdr:row>
                <xdr:rowOff>123825</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0</xdr:col>
                <xdr:colOff>47625</xdr:colOff>
                <xdr:row>5</xdr:row>
                <xdr:rowOff>0</xdr:rowOff>
              </from>
              <to>
                <xdr:col>1</xdr:col>
                <xdr:colOff>828675</xdr:colOff>
                <xdr:row>9</xdr:row>
                <xdr:rowOff>38100</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933450</xdr:colOff>
                <xdr:row>5</xdr:row>
                <xdr:rowOff>0</xdr:rowOff>
              </from>
              <to>
                <xdr:col>1</xdr:col>
                <xdr:colOff>1847850</xdr:colOff>
                <xdr:row>9</xdr:row>
                <xdr:rowOff>38100</xdr:rowOff>
              </to>
            </anchor>
          </objectPr>
        </oleObject>
      </mc:Choice>
      <mc:Fallback>
        <oleObject progId="Acrobat Document" dvAspect="DVASPECT_ICON" shapeId="35845" r:id="rId12"/>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4"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3" t="s">
        <v>1690</v>
      </c>
      <c r="B1" s="2344"/>
      <c r="C1" s="2344"/>
      <c r="D1" s="2344"/>
      <c r="E1" s="2344"/>
      <c r="F1" s="2345"/>
    </row>
    <row r="2" spans="1:8" ht="45" customHeight="1" x14ac:dyDescent="0.2">
      <c r="A2" s="2353" t="s">
        <v>1985</v>
      </c>
      <c r="B2" s="2354"/>
      <c r="C2" s="2354"/>
      <c r="D2" s="2354"/>
      <c r="E2" s="2354"/>
      <c r="F2" s="2355"/>
      <c r="G2" s="1072"/>
      <c r="H2" s="1072"/>
    </row>
    <row r="3" spans="1:8" ht="57" customHeight="1" x14ac:dyDescent="0.2">
      <c r="A3" s="2356" t="s">
        <v>1686</v>
      </c>
      <c r="B3" s="2357"/>
      <c r="C3" s="2357"/>
      <c r="D3" s="2357"/>
      <c r="E3" s="2357"/>
      <c r="F3" s="2358"/>
      <c r="G3" s="1072"/>
      <c r="H3" s="1072"/>
    </row>
    <row r="4" spans="1:8" ht="14.25" customHeight="1" x14ac:dyDescent="0.2">
      <c r="A4" s="2362" t="s">
        <v>1986</v>
      </c>
      <c r="B4" s="2363"/>
      <c r="C4" s="2363"/>
      <c r="D4" s="2363"/>
      <c r="E4" s="2363"/>
      <c r="F4" s="2364"/>
      <c r="G4" s="1072"/>
      <c r="H4" s="1072"/>
    </row>
    <row r="5" spans="1:8" ht="14.25" customHeight="1" x14ac:dyDescent="0.2">
      <c r="A5" s="2365" t="s">
        <v>1982</v>
      </c>
      <c r="B5" s="2366"/>
      <c r="C5" s="2366"/>
      <c r="D5" s="2366"/>
      <c r="E5" s="2366"/>
      <c r="F5" s="2367"/>
      <c r="G5" s="1072"/>
      <c r="H5" s="1072"/>
    </row>
    <row r="6" spans="1:8" s="1073" customFormat="1" ht="41.25" customHeight="1" x14ac:dyDescent="0.2">
      <c r="A6" s="2359" t="s">
        <v>1691</v>
      </c>
      <c r="B6" s="2360"/>
      <c r="C6" s="2360"/>
      <c r="D6" s="2360"/>
      <c r="E6" s="2360"/>
      <c r="F6" s="2361"/>
    </row>
    <row r="7" spans="1:8" ht="42" customHeight="1" x14ac:dyDescent="0.2">
      <c r="A7" s="1074" t="s">
        <v>481</v>
      </c>
      <c r="B7" s="1075" t="s">
        <v>1496</v>
      </c>
      <c r="C7" s="1075" t="s">
        <v>1497</v>
      </c>
      <c r="D7" s="1075" t="s">
        <v>1495</v>
      </c>
      <c r="E7" s="1075" t="s">
        <v>1498</v>
      </c>
      <c r="F7" s="1075" t="s">
        <v>1367</v>
      </c>
    </row>
    <row r="8" spans="1:8" s="1077" customFormat="1" ht="14.25" customHeight="1" x14ac:dyDescent="0.2">
      <c r="A8" s="1076" t="s">
        <v>1368</v>
      </c>
      <c r="B8" s="1809">
        <f>'Acct Summary 7-8'!C8</f>
        <v>1281667</v>
      </c>
      <c r="C8" s="1809">
        <f>'Acct Summary 7-8'!D8</f>
        <v>0</v>
      </c>
      <c r="D8" s="1809">
        <f>'Acct Summary 7-8'!F8</f>
        <v>0</v>
      </c>
      <c r="E8" s="1809">
        <f>'Acct Summary 7-8'!I8</f>
        <v>0</v>
      </c>
      <c r="F8" s="1809">
        <f>SUM(B8:E8)</f>
        <v>1281667</v>
      </c>
    </row>
    <row r="9" spans="1:8" s="1077" customFormat="1" ht="14.25" customHeight="1" thickBot="1" x14ac:dyDescent="0.25">
      <c r="A9" s="1076" t="s">
        <v>1369</v>
      </c>
      <c r="B9" s="1810">
        <f>'Acct Summary 7-8'!C17</f>
        <v>1215498</v>
      </c>
      <c r="C9" s="1810">
        <f>'Acct Summary 7-8'!D17</f>
        <v>0</v>
      </c>
      <c r="D9" s="1810">
        <f>'Acct Summary 7-8'!F17</f>
        <v>0</v>
      </c>
      <c r="E9" s="1809"/>
      <c r="F9" s="1809">
        <f>SUM(B9:E9)</f>
        <v>1215498</v>
      </c>
    </row>
    <row r="10" spans="1:8" s="1077" customFormat="1" ht="14.25" thickTop="1" thickBot="1" x14ac:dyDescent="0.25">
      <c r="A10" s="1078" t="s">
        <v>1370</v>
      </c>
      <c r="B10" s="1811">
        <f>(B8-B9)</f>
        <v>66169</v>
      </c>
      <c r="C10" s="1811">
        <f>(C8-C9)</f>
        <v>0</v>
      </c>
      <c r="D10" s="1811">
        <f>(D8-D9)</f>
        <v>0</v>
      </c>
      <c r="E10" s="1810">
        <f>(E8-E9)</f>
        <v>0</v>
      </c>
      <c r="F10" s="1812">
        <f>SUM(F8-F9)</f>
        <v>66169</v>
      </c>
    </row>
    <row r="11" spans="1:8" s="1077" customFormat="1" ht="14.25" thickTop="1" thickBot="1" x14ac:dyDescent="0.25">
      <c r="A11" s="1079" t="s">
        <v>1983</v>
      </c>
      <c r="B11" s="1813">
        <f>'Acct Summary 7-8'!C81</f>
        <v>1278854</v>
      </c>
      <c r="C11" s="1813">
        <f>'Acct Summary 7-8'!D81</f>
        <v>0</v>
      </c>
      <c r="D11" s="1813">
        <f>'Acct Summary 7-8'!F81</f>
        <v>0</v>
      </c>
      <c r="E11" s="1813">
        <f>'Acct Summary 7-8'!I81</f>
        <v>0</v>
      </c>
      <c r="F11" s="1814">
        <f>SUM(B11:E11)</f>
        <v>1278854</v>
      </c>
    </row>
    <row r="12" spans="1:8" ht="16.5" customHeight="1" thickTop="1" x14ac:dyDescent="0.2">
      <c r="A12" s="1080"/>
      <c r="B12" s="1081"/>
      <c r="C12" s="2347" t="str">
        <f>IF(AND(F10&lt;0,F11&gt;=0,ABS(F10*3)&gt;ABS(F11)),A16,IF(AND(F10&lt;0,F11&gt;0,ABS(F10*3)&lt;=ABS(F11)),A17,IF(AND(F10&lt;0,F11&lt;0),A16,IF(F11=0,A19,A18))))</f>
        <v>Balanced - no deficit reduction plan is required.</v>
      </c>
      <c r="D12" s="2348"/>
      <c r="E12" s="2348"/>
      <c r="F12" s="2349"/>
    </row>
    <row r="13" spans="1:8" ht="19.5" customHeight="1" x14ac:dyDescent="0.2">
      <c r="A13" s="1082"/>
      <c r="B13" s="1083"/>
      <c r="C13" s="2347"/>
      <c r="D13" s="2348"/>
      <c r="E13" s="2348"/>
      <c r="F13" s="2349"/>
      <c r="H13" s="1072"/>
    </row>
    <row r="14" spans="1:8" ht="19.5" customHeight="1" x14ac:dyDescent="0.2">
      <c r="A14" s="1082"/>
      <c r="B14" s="1083"/>
      <c r="C14" s="2347"/>
      <c r="D14" s="2348"/>
      <c r="E14" s="2348"/>
      <c r="F14" s="2349"/>
      <c r="H14" s="1072"/>
    </row>
    <row r="15" spans="1:8" ht="17.25" customHeight="1" x14ac:dyDescent="0.2">
      <c r="A15" s="1082"/>
      <c r="B15" s="1083"/>
      <c r="C15" s="2350"/>
      <c r="D15" s="2351"/>
      <c r="E15" s="2351"/>
      <c r="F15" s="2352"/>
      <c r="H15" s="1072"/>
    </row>
    <row r="16" spans="1:8" s="310" customFormat="1" ht="51.75" hidden="1" customHeight="1" x14ac:dyDescent="0.2">
      <c r="A16" s="2346" t="s">
        <v>1687</v>
      </c>
      <c r="B16" s="2346"/>
      <c r="C16" s="2346"/>
      <c r="D16" s="2346"/>
      <c r="E16" s="2346"/>
      <c r="F16" s="310" t="s">
        <v>1371</v>
      </c>
    </row>
    <row r="17" spans="1:6" hidden="1" x14ac:dyDescent="0.2">
      <c r="A17" s="316" t="s">
        <v>1688</v>
      </c>
      <c r="F17" s="1084"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5"/>
    </row>
    <row r="48" spans="3:3" x14ac:dyDescent="0.2">
      <c r="C48" s="1084"/>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7" colorId="8" zoomScale="110" zoomScaleNormal="110" workbookViewId="0">
      <selection activeCell="G8" sqref="G8"/>
    </sheetView>
  </sheetViews>
  <sheetFormatPr defaultColWidth="9.140625" defaultRowHeight="12" x14ac:dyDescent="0.2"/>
  <cols>
    <col min="1" max="1" width="2.7109375" style="1131" customWidth="1"/>
    <col min="2" max="2" width="3.140625" style="1131" customWidth="1"/>
    <col min="3" max="3" width="96.140625" style="1071" customWidth="1"/>
    <col min="4" max="4" width="42.140625" style="242" customWidth="1"/>
    <col min="5" max="5" width="2.7109375" style="1090" customWidth="1"/>
    <col min="6" max="6" width="1" style="1090" customWidth="1"/>
    <col min="7" max="16384" width="9.140625" style="1090"/>
  </cols>
  <sheetData>
    <row r="1" spans="1:4" ht="4.5" customHeight="1" thickBot="1" x14ac:dyDescent="0.25">
      <c r="A1" s="1086"/>
      <c r="B1" s="1087"/>
      <c r="C1" s="1088"/>
      <c r="D1" s="1089"/>
    </row>
    <row r="2" spans="1:4" ht="7.5" customHeight="1" thickTop="1" x14ac:dyDescent="0.2">
      <c r="A2" s="1890"/>
      <c r="B2" s="1891"/>
      <c r="C2" s="1892"/>
      <c r="D2" s="1893"/>
    </row>
    <row r="3" spans="1:4" ht="36" customHeight="1" x14ac:dyDescent="0.2">
      <c r="A3" s="2368" t="s">
        <v>665</v>
      </c>
      <c r="B3" s="2369"/>
      <c r="C3" s="2369"/>
      <c r="D3" s="2370"/>
    </row>
    <row r="4" spans="1:4" x14ac:dyDescent="0.2">
      <c r="A4" s="1150" t="s">
        <v>1692</v>
      </c>
      <c r="B4" s="1151"/>
      <c r="C4" s="1152"/>
      <c r="D4" s="1153"/>
    </row>
    <row r="5" spans="1:4" ht="21" customHeight="1" x14ac:dyDescent="0.2">
      <c r="A5" s="1146"/>
      <c r="B5" s="1147">
        <v>1</v>
      </c>
      <c r="C5" s="1148" t="s">
        <v>1835</v>
      </c>
      <c r="D5" s="1149"/>
    </row>
    <row r="6" spans="1:4" s="666" customFormat="1" ht="14.25" customHeight="1" x14ac:dyDescent="0.2">
      <c r="A6" s="1136"/>
      <c r="B6" s="1091">
        <f t="shared" ref="B6:B13" si="0">B5+1</f>
        <v>2</v>
      </c>
      <c r="C6" s="1092" t="s">
        <v>864</v>
      </c>
      <c r="D6" s="1093"/>
    </row>
    <row r="7" spans="1:4" s="666" customFormat="1" ht="12.75" x14ac:dyDescent="0.2">
      <c r="A7" s="1136"/>
      <c r="B7" s="1091">
        <f t="shared" si="0"/>
        <v>3</v>
      </c>
      <c r="C7" s="2379" t="s">
        <v>1504</v>
      </c>
      <c r="D7" s="2380"/>
    </row>
    <row r="8" spans="1:4" s="666" customFormat="1" ht="12.75" x14ac:dyDescent="0.2">
      <c r="A8" s="1136"/>
      <c r="B8" s="1091"/>
      <c r="C8" s="1094" t="s">
        <v>1503</v>
      </c>
      <c r="D8" s="1095"/>
    </row>
    <row r="9" spans="1:4" s="666" customFormat="1" ht="14.25" customHeight="1" x14ac:dyDescent="0.2">
      <c r="A9" s="1136"/>
      <c r="B9" s="1091">
        <f>B7+1</f>
        <v>4</v>
      </c>
      <c r="C9" s="1092" t="s">
        <v>1912</v>
      </c>
      <c r="D9" s="1093"/>
    </row>
    <row r="10" spans="1:4" s="666" customFormat="1" ht="14.25" customHeight="1" x14ac:dyDescent="0.2">
      <c r="A10" s="1136"/>
      <c r="B10" s="1091">
        <f t="shared" si="0"/>
        <v>5</v>
      </c>
      <c r="C10" s="1092" t="s">
        <v>639</v>
      </c>
      <c r="D10" s="1093"/>
    </row>
    <row r="11" spans="1:4" s="666" customFormat="1" ht="14.25" customHeight="1" x14ac:dyDescent="0.2">
      <c r="A11" s="1136"/>
      <c r="B11" s="1091">
        <f t="shared" si="0"/>
        <v>6</v>
      </c>
      <c r="C11" s="1092" t="s">
        <v>778</v>
      </c>
      <c r="D11" s="1093"/>
    </row>
    <row r="12" spans="1:4" s="666" customFormat="1" ht="14.25" customHeight="1" x14ac:dyDescent="0.2">
      <c r="A12" s="1136"/>
      <c r="B12" s="1091">
        <f t="shared" si="0"/>
        <v>7</v>
      </c>
      <c r="C12" s="1092" t="s">
        <v>1062</v>
      </c>
      <c r="D12" s="1093"/>
    </row>
    <row r="13" spans="1:4" s="666" customFormat="1" ht="14.25" customHeight="1" x14ac:dyDescent="0.2">
      <c r="A13" s="1136"/>
      <c r="B13" s="1091">
        <f t="shared" si="0"/>
        <v>8</v>
      </c>
      <c r="C13" s="1132" t="s">
        <v>779</v>
      </c>
      <c r="D13" s="1093"/>
    </row>
    <row r="14" spans="1:4" s="666" customFormat="1" ht="14.25" customHeight="1" x14ac:dyDescent="0.2">
      <c r="A14" s="1136"/>
      <c r="B14" s="1133">
        <v>9</v>
      </c>
      <c r="C14" s="1134" t="s">
        <v>1505</v>
      </c>
      <c r="D14" s="1135"/>
    </row>
    <row r="15" spans="1:4" s="666" customFormat="1" ht="21.75" customHeight="1" x14ac:dyDescent="0.2">
      <c r="A15" s="2371" t="s">
        <v>1008</v>
      </c>
      <c r="B15" s="2372"/>
      <c r="C15" s="2372"/>
      <c r="D15" s="2373"/>
    </row>
    <row r="16" spans="1:4" s="666" customFormat="1" ht="24" customHeight="1" x14ac:dyDescent="0.2">
      <c r="A16" s="2374" t="s">
        <v>663</v>
      </c>
      <c r="B16" s="2375"/>
      <c r="C16" s="2375"/>
      <c r="D16" s="2376"/>
    </row>
    <row r="17" spans="1:10" s="666" customFormat="1" ht="12.75" customHeight="1" x14ac:dyDescent="0.2">
      <c r="A17" s="1154" t="s">
        <v>1693</v>
      </c>
      <c r="B17" s="1155"/>
      <c r="C17" s="1156"/>
      <c r="D17" s="1157"/>
    </row>
    <row r="18" spans="1:10" s="666" customFormat="1" ht="12.75" customHeight="1" x14ac:dyDescent="0.2">
      <c r="A18" s="1158" t="s">
        <v>1694</v>
      </c>
      <c r="B18" s="1159"/>
      <c r="C18" s="1160"/>
      <c r="D18" s="1161"/>
    </row>
    <row r="19" spans="1:10" ht="6.75" customHeight="1" thickBot="1" x14ac:dyDescent="0.25">
      <c r="A19" s="1162"/>
      <c r="B19" s="1163"/>
      <c r="C19" s="1164"/>
      <c r="D19" s="1165"/>
    </row>
    <row r="20" spans="1:10" s="1169" customFormat="1" ht="12.75" thickTop="1" x14ac:dyDescent="0.2">
      <c r="A20" s="1166"/>
      <c r="B20" s="1167" t="s">
        <v>1695</v>
      </c>
      <c r="C20" s="1168"/>
      <c r="D20" s="1171" t="s">
        <v>710</v>
      </c>
    </row>
    <row r="21" spans="1:10" x14ac:dyDescent="0.2">
      <c r="A21" s="1096"/>
      <c r="B21" s="1097">
        <v>1</v>
      </c>
      <c r="C21" s="2383" t="s">
        <v>314</v>
      </c>
      <c r="D21" s="2384"/>
    </row>
    <row r="22" spans="1:10" ht="12.75" x14ac:dyDescent="0.2">
      <c r="A22" s="1137"/>
      <c r="B22" s="1138">
        <v>2</v>
      </c>
      <c r="C22" s="2381" t="s">
        <v>1524</v>
      </c>
      <c r="D22" s="2382"/>
    </row>
    <row r="23" spans="1:10" ht="12.2" customHeight="1" x14ac:dyDescent="0.2">
      <c r="A23" s="1137"/>
      <c r="B23" s="1138"/>
      <c r="C23" s="1139" t="s">
        <v>954</v>
      </c>
      <c r="D23" s="1140" t="str">
        <f>IF(COVER!O11="X","CASH",IF(COVER!O12="X","ACCRUAL ","PLEASE CHECK AN ACCOUNTING BASIS."))</f>
        <v>CASH</v>
      </c>
    </row>
    <row r="24" spans="1:10" ht="12.2" customHeight="1" x14ac:dyDescent="0.2">
      <c r="A24" s="1137"/>
      <c r="B24" s="1138"/>
      <c r="C24" s="1139" t="s">
        <v>1332</v>
      </c>
      <c r="D24" s="1140" t="str">
        <f>IF(COVER!O11="X","OK",IF(AND('Aud Quest 2'!J90=0,'Aud Quest 2'!I77&lt;DATE(2017,12,31)),"ENTER ACCOUNTING INFO",IF(AND('Aud Quest 2'!J90&gt;0,'Aud Quest 2'!I77&lt;DATE(2017,12,31)),"OK")))</f>
        <v>OK</v>
      </c>
    </row>
    <row r="25" spans="1:10" x14ac:dyDescent="0.2">
      <c r="A25" s="1098"/>
      <c r="B25" s="1099"/>
      <c r="C25" s="1100" t="s">
        <v>1526</v>
      </c>
      <c r="D25" s="1101" t="str">
        <f>IF(AND(COVER!J29="X",COVER!J30="X",COVER!L30&lt;&gt;"X"),"OK",IF(AND(COVER!J29="X",COVER!J30&lt;&gt;"X",COVER!L30="X"),"OK",IF(AND(COVER!L29="X",COVER!J30&lt;&gt;"X"),"OK","PLEASE CHECK YES or NO.")))</f>
        <v>OK</v>
      </c>
    </row>
    <row r="26" spans="1:10" x14ac:dyDescent="0.2">
      <c r="A26" s="1098"/>
      <c r="B26" s="1141"/>
      <c r="C26" s="1102" t="s">
        <v>1525</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975</v>
      </c>
      <c r="D27" s="1103" t="str">
        <f>IF(AND(COVER!J29="X",COVER!J31="X",COVER!L29&lt;&gt;"X"),"OK",IF(AND(COVER!J29="X",COVER!J31&lt;&gt;"X",COVER!L31="X"),"NO FINDINGS WERE ISSUED",IF(AND(COVER!L29="X",COVER!J31&lt;&gt;"X"),"OK","PLEASE CHECK YES or NO.")))</f>
        <v>PLEASE CHECK YES or NO.</v>
      </c>
    </row>
    <row r="28" spans="1:10" ht="24" hidden="1" customHeight="1" x14ac:dyDescent="0.2">
      <c r="A28" s="1104"/>
      <c r="B28" s="1141"/>
      <c r="C28" s="1100" t="s">
        <v>842</v>
      </c>
      <c r="D28" s="1105" t="b">
        <f>IF('Aud Quest 2'!B53="X",IF('Aud Quest 2'!F53&gt;"00/00/00 ","Enter Effective Date","ok"))</f>
        <v>0</v>
      </c>
    </row>
    <row r="29" spans="1:10" x14ac:dyDescent="0.2">
      <c r="A29" s="1098"/>
      <c r="B29" s="1141"/>
      <c r="C29" s="1102" t="s">
        <v>1373</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825</v>
      </c>
      <c r="D30" s="1107"/>
    </row>
    <row r="31" spans="1:10" x14ac:dyDescent="0.2">
      <c r="A31" s="1098"/>
      <c r="B31" s="1108"/>
      <c r="C31" s="1142" t="s">
        <v>253</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978</v>
      </c>
      <c r="D32" s="1101" t="str">
        <f>IF(OR(COVER!B6="x",'FP Info 3'!B31="X",'FP Info 3'!B32="X"),"OK","ENTRY IS REQUIRED!")</f>
        <v>OK</v>
      </c>
    </row>
    <row r="33" spans="1:12" s="1114" customFormat="1" ht="12.75" customHeight="1" x14ac:dyDescent="0.2">
      <c r="A33" s="1111"/>
      <c r="B33" s="1138">
        <f>B30+1</f>
        <v>4</v>
      </c>
      <c r="C33" s="1112" t="s">
        <v>780</v>
      </c>
      <c r="D33" s="1113"/>
    </row>
    <row r="34" spans="1:12" s="1114" customFormat="1" x14ac:dyDescent="0.2">
      <c r="A34" s="1115"/>
      <c r="B34" s="1138"/>
      <c r="C34" s="1116" t="s">
        <v>826</v>
      </c>
      <c r="D34" s="1101" t="str">
        <f>IF('Assets-Liab 5-6'!C4&lt;-0.49, "ERROR!","OK")</f>
        <v>OK</v>
      </c>
    </row>
    <row r="35" spans="1:12" x14ac:dyDescent="0.2">
      <c r="A35" s="1115"/>
      <c r="B35" s="1138"/>
      <c r="C35" s="1116" t="s">
        <v>306</v>
      </c>
      <c r="D35" s="1101" t="str">
        <f>IF('Assets-Liab 5-6'!D4&lt;-0.49, "ERROR!","OK")</f>
        <v>OK</v>
      </c>
      <c r="L35" s="1170"/>
    </row>
    <row r="36" spans="1:12" x14ac:dyDescent="0.2">
      <c r="A36" s="1115"/>
      <c r="B36" s="1138"/>
      <c r="C36" s="1116" t="s">
        <v>781</v>
      </c>
      <c r="D36" s="1101" t="str">
        <f>IF('Assets-Liab 5-6'!E4&lt;-0.49, "ERROR!","OK")</f>
        <v>OK</v>
      </c>
    </row>
    <row r="37" spans="1:12" x14ac:dyDescent="0.2">
      <c r="A37" s="1115"/>
      <c r="B37" s="1138"/>
      <c r="C37" s="1116" t="s">
        <v>307</v>
      </c>
      <c r="D37" s="1101" t="str">
        <f>IF('Assets-Liab 5-6'!F4&lt;-0.49, "ERROR!","OK")</f>
        <v>OK</v>
      </c>
    </row>
    <row r="38" spans="1:12" x14ac:dyDescent="0.2">
      <c r="A38" s="1115"/>
      <c r="B38" s="1138"/>
      <c r="C38" s="1116" t="s">
        <v>308</v>
      </c>
      <c r="D38" s="1101" t="str">
        <f>IF('Assets-Liab 5-6'!G4&lt;-0.49, "ERROR!","OK")</f>
        <v>OK</v>
      </c>
    </row>
    <row r="39" spans="1:12" x14ac:dyDescent="0.2">
      <c r="A39" s="1115"/>
      <c r="B39" s="1138"/>
      <c r="C39" s="1116" t="s">
        <v>782</v>
      </c>
      <c r="D39" s="1101" t="str">
        <f>IF('Assets-Liab 5-6'!H4&lt;-0.49, "ERROR!","OK")</f>
        <v>OK</v>
      </c>
    </row>
    <row r="40" spans="1:12" x14ac:dyDescent="0.2">
      <c r="A40" s="1115"/>
      <c r="B40" s="1138"/>
      <c r="C40" s="1116" t="s">
        <v>309</v>
      </c>
      <c r="D40" s="1101" t="str">
        <f>IF('Assets-Liab 5-6'!I4&lt;-0.49, "ERROR!","OK")</f>
        <v>OK</v>
      </c>
    </row>
    <row r="41" spans="1:12" x14ac:dyDescent="0.2">
      <c r="A41" s="1115"/>
      <c r="B41" s="1138"/>
      <c r="C41" s="1116" t="s">
        <v>783</v>
      </c>
      <c r="D41" s="1101" t="str">
        <f>IF('Assets-Liab 5-6'!J4&lt;-0.49, "ERROR!","OK")</f>
        <v>OK</v>
      </c>
    </row>
    <row r="42" spans="1:12" x14ac:dyDescent="0.2">
      <c r="A42" s="1115"/>
      <c r="B42" s="1138"/>
      <c r="C42" s="1116" t="s">
        <v>310</v>
      </c>
      <c r="D42" s="1101" t="str">
        <f>IF('Assets-Liab 5-6'!K4&lt;-0.49, "ERROR!","OK")</f>
        <v>OK</v>
      </c>
    </row>
    <row r="43" spans="1:12" x14ac:dyDescent="0.2">
      <c r="A43" s="1117"/>
      <c r="B43" s="1118">
        <f>B33+1</f>
        <v>5</v>
      </c>
      <c r="C43" s="2385" t="s">
        <v>536</v>
      </c>
      <c r="D43" s="2386"/>
    </row>
    <row r="44" spans="1:12" x14ac:dyDescent="0.2">
      <c r="A44" s="1117"/>
      <c r="B44" s="1119"/>
      <c r="C44" s="1120" t="s">
        <v>1335</v>
      </c>
      <c r="D44" s="1121" t="str">
        <f>IF(SUM('Assets-Liab 5-6'!C13)&lt;&gt;SUM('Assets-Liab 5-6'!C41),"ERROR!","OK")</f>
        <v>OK</v>
      </c>
    </row>
    <row r="45" spans="1:12" x14ac:dyDescent="0.2">
      <c r="A45" s="1117"/>
      <c r="B45" s="1119"/>
      <c r="C45" s="1120" t="s">
        <v>1336</v>
      </c>
      <c r="D45" s="1121" t="str">
        <f>IF(SUM('Assets-Liab 5-6'!D13)&lt;&gt;SUM('Assets-Liab 5-6'!D41),"ERROR!","OK")</f>
        <v>OK</v>
      </c>
    </row>
    <row r="46" spans="1:12" x14ac:dyDescent="0.2">
      <c r="A46" s="1117"/>
      <c r="B46" s="1119"/>
      <c r="C46" s="1120" t="s">
        <v>1337</v>
      </c>
      <c r="D46" s="1121" t="str">
        <f>IF(SUM('Assets-Liab 5-6'!E13)&lt;&gt;SUM('Assets-Liab 5-6'!E41),"ERROR!","OK")</f>
        <v>OK</v>
      </c>
    </row>
    <row r="47" spans="1:12" x14ac:dyDescent="0.2">
      <c r="A47" s="1117"/>
      <c r="B47" s="1119"/>
      <c r="C47" s="1120" t="s">
        <v>1338</v>
      </c>
      <c r="D47" s="1121" t="str">
        <f>IF(SUM('Assets-Liab 5-6'!F13)&lt;&gt;SUM('Assets-Liab 5-6'!F41),"ERROR!","OK")</f>
        <v>OK</v>
      </c>
    </row>
    <row r="48" spans="1:12" x14ac:dyDescent="0.2">
      <c r="A48" s="1117"/>
      <c r="B48" s="1119"/>
      <c r="C48" s="1120" t="s">
        <v>1339</v>
      </c>
      <c r="D48" s="1121" t="str">
        <f>IF(SUM('Assets-Liab 5-6'!G13)&lt;&gt;SUM('Assets-Liab 5-6'!G41),"ERROR!","OK")</f>
        <v>OK</v>
      </c>
    </row>
    <row r="49" spans="1:4" x14ac:dyDescent="0.2">
      <c r="A49" s="1117"/>
      <c r="B49" s="1119"/>
      <c r="C49" s="1120" t="s">
        <v>1340</v>
      </c>
      <c r="D49" s="1121" t="str">
        <f>IF(SUM('Assets-Liab 5-6'!H13)&lt;&gt;SUM('Assets-Liab 5-6'!H41),"ERROR!","OK")</f>
        <v>OK</v>
      </c>
    </row>
    <row r="50" spans="1:4" x14ac:dyDescent="0.2">
      <c r="A50" s="1117"/>
      <c r="B50" s="1119"/>
      <c r="C50" s="1120" t="s">
        <v>1341</v>
      </c>
      <c r="D50" s="1121" t="str">
        <f>IF(SUM('Assets-Liab 5-6'!I13)&lt;&gt;SUM('Assets-Liab 5-6'!I41),"ERROR!","OK")</f>
        <v>OK</v>
      </c>
    </row>
    <row r="51" spans="1:4" x14ac:dyDescent="0.2">
      <c r="A51" s="1117"/>
      <c r="B51" s="1119"/>
      <c r="C51" s="1120" t="s">
        <v>1342</v>
      </c>
      <c r="D51" s="1121" t="str">
        <f>IF(SUM('Assets-Liab 5-6'!J13)&lt;&gt;SUM('Assets-Liab 5-6'!J41),"ERROR!","OK")</f>
        <v>OK</v>
      </c>
    </row>
    <row r="52" spans="1:4" x14ac:dyDescent="0.2">
      <c r="A52" s="1117"/>
      <c r="B52" s="1119"/>
      <c r="C52" s="1120" t="s">
        <v>1343</v>
      </c>
      <c r="D52" s="1121" t="str">
        <f>IF(SUM('Assets-Liab 5-6'!K13)&lt;&gt;SUM('Assets-Liab 5-6'!K41),"ERROR!","OK")</f>
        <v>OK</v>
      </c>
    </row>
    <row r="53" spans="1:4" x14ac:dyDescent="0.2">
      <c r="A53" s="1117"/>
      <c r="B53" s="1119"/>
      <c r="C53" s="1120" t="s">
        <v>1344</v>
      </c>
      <c r="D53" s="1121" t="str">
        <f>IF(SUM('Assets-Liab 5-6'!L13)&lt;&gt;('Assets-Liab 5-6'!L41),"ERROR!","OK")</f>
        <v>OK</v>
      </c>
    </row>
    <row r="54" spans="1:4" x14ac:dyDescent="0.2">
      <c r="A54" s="1117"/>
      <c r="B54" s="1119"/>
      <c r="C54" s="1120" t="s">
        <v>1345</v>
      </c>
      <c r="D54" s="1121" t="str">
        <f>IF(SUM('Assets-Liab 5-6'!M23)&lt;&gt;('Assets-Liab 5-6'!M41),"ERROR!","OK")</f>
        <v>OK</v>
      </c>
    </row>
    <row r="55" spans="1:4" x14ac:dyDescent="0.2">
      <c r="A55" s="1117"/>
      <c r="B55" s="1119"/>
      <c r="C55" s="1120" t="s">
        <v>1346</v>
      </c>
      <c r="D55" s="1121" t="str">
        <f>IF(SUM('Assets-Liab 5-6'!N23)&lt;&gt;('Assets-Liab 5-6'!N41),"ERROR!","OK")</f>
        <v>OK</v>
      </c>
    </row>
    <row r="56" spans="1:4" x14ac:dyDescent="0.2">
      <c r="A56" s="1098"/>
      <c r="B56" s="1118">
        <f>B43+1</f>
        <v>6</v>
      </c>
      <c r="C56" s="2377" t="s">
        <v>784</v>
      </c>
      <c r="D56" s="2378"/>
    </row>
    <row r="57" spans="1:4" s="1114" customFormat="1" x14ac:dyDescent="0.2">
      <c r="A57" s="1098"/>
      <c r="B57" s="1108"/>
      <c r="C57" s="1116" t="s">
        <v>1347</v>
      </c>
      <c r="D57" s="1122" t="str">
        <f>IF('Assets-Liab 5-6'!C38+'Assets-Liab 5-6'!C39='Acct Summary 7-8'!C81,"OK","ERROR!")</f>
        <v>OK</v>
      </c>
    </row>
    <row r="58" spans="1:4" x14ac:dyDescent="0.2">
      <c r="A58" s="1098"/>
      <c r="B58" s="1108"/>
      <c r="C58" s="1116" t="s">
        <v>1348</v>
      </c>
      <c r="D58" s="1122" t="str">
        <f>IF((('Assets-Liab 5-6'!D38+'Assets-Liab 5-6'!D39) ='Acct Summary 7-8'!D81), "OK", "ERROR!" )</f>
        <v>OK</v>
      </c>
    </row>
    <row r="59" spans="1:4" s="1114" customFormat="1" x14ac:dyDescent="0.2">
      <c r="A59" s="1098"/>
      <c r="B59" s="1108"/>
      <c r="C59" s="1116" t="s">
        <v>1349</v>
      </c>
      <c r="D59" s="1122" t="str">
        <f>IF((('Assets-Liab 5-6'!E38 + 'Assets-Liab 5-6'!E39) ='Acct Summary 7-8'!E81), "OK", "ERROR!" )</f>
        <v>OK</v>
      </c>
    </row>
    <row r="60" spans="1:4" x14ac:dyDescent="0.2">
      <c r="A60" s="1098"/>
      <c r="B60" s="1108"/>
      <c r="C60" s="1116" t="s">
        <v>1350</v>
      </c>
      <c r="D60" s="1122" t="str">
        <f>IF((('Assets-Liab 5-6'!F38 + 'Assets-Liab 5-6'!F39) ='Acct Summary 7-8'!F81), "OK", "ERROR!" )</f>
        <v>OK</v>
      </c>
    </row>
    <row r="61" spans="1:4" ht="12.75" customHeight="1" x14ac:dyDescent="0.2">
      <c r="A61" s="1098"/>
      <c r="B61" s="1108"/>
      <c r="C61" s="1116" t="s">
        <v>1363</v>
      </c>
      <c r="D61" s="1122" t="str">
        <f>IF((('Assets-Liab 5-6'!G38 + 'Assets-Liab 5-6'!G39) ='Acct Summary 7-8'!G81), "OK", "ERROR!" )</f>
        <v>OK</v>
      </c>
    </row>
    <row r="62" spans="1:4" x14ac:dyDescent="0.2">
      <c r="A62" s="1098"/>
      <c r="B62" s="1108"/>
      <c r="C62" s="1116" t="s">
        <v>1351</v>
      </c>
      <c r="D62" s="1122" t="str">
        <f>IF((('Assets-Liab 5-6'!H38 + 'Assets-Liab 5-6'!H39) ='Acct Summary 7-8'!H81), "OK", "ERROR!" )</f>
        <v>OK</v>
      </c>
    </row>
    <row r="63" spans="1:4" ht="12.75" customHeight="1" x14ac:dyDescent="0.2">
      <c r="A63" s="1098"/>
      <c r="B63" s="1108"/>
      <c r="C63" s="1116" t="s">
        <v>1352</v>
      </c>
      <c r="D63" s="1122" t="str">
        <f>IF((('Assets-Liab 5-6'!I38 + 'Assets-Liab 5-6'!I39) ='Acct Summary 7-8'!I81), "OK", "ERROR!" )</f>
        <v>OK</v>
      </c>
    </row>
    <row r="64" spans="1:4" x14ac:dyDescent="0.2">
      <c r="A64" s="1098"/>
      <c r="B64" s="1108"/>
      <c r="C64" s="1116" t="s">
        <v>1353</v>
      </c>
      <c r="D64" s="1122" t="str">
        <f>IF((('Assets-Liab 5-6'!J38 + 'Assets-Liab 5-6'!J39) ='Acct Summary 7-8'!J81), "OK", "ERROR!" )</f>
        <v>OK</v>
      </c>
    </row>
    <row r="65" spans="1:4" x14ac:dyDescent="0.2">
      <c r="A65" s="1115"/>
      <c r="B65" s="1108"/>
      <c r="C65" s="1116" t="s">
        <v>1364</v>
      </c>
      <c r="D65" s="1122" t="str">
        <f>IF((('Assets-Liab 5-6'!K38 + 'Assets-Liab 5-6'!K39) ='Acct Summary 7-8'!K81), "OK", "ERROR!" )</f>
        <v>OK</v>
      </c>
    </row>
    <row r="66" spans="1:4" x14ac:dyDescent="0.2">
      <c r="A66" s="1096"/>
      <c r="B66" s="1138">
        <f>B56+1+1</f>
        <v>8</v>
      </c>
      <c r="C66" s="1144" t="s">
        <v>1913</v>
      </c>
      <c r="D66" s="1123"/>
    </row>
    <row r="67" spans="1:4" x14ac:dyDescent="0.2">
      <c r="A67" s="1117"/>
      <c r="B67" s="1138"/>
      <c r="C67" s="1145" t="s">
        <v>1021</v>
      </c>
      <c r="D67" s="1123"/>
    </row>
    <row r="68" spans="1:4" x14ac:dyDescent="0.2">
      <c r="A68" s="1098"/>
      <c r="B68" s="1108"/>
      <c r="C68" s="1100" t="s">
        <v>1914</v>
      </c>
      <c r="D68" s="1122" t="str">
        <f>IF('Short-Term Long-Term Debt 24'!F49=SUM(,'Acct Summary 7-8'!C33:K33),"OK","ERROR!")</f>
        <v>OK</v>
      </c>
    </row>
    <row r="69" spans="1:4" x14ac:dyDescent="0.2">
      <c r="A69" s="1098"/>
      <c r="B69" s="1108"/>
      <c r="C69" s="1100" t="s">
        <v>1915</v>
      </c>
      <c r="D69" s="1122" t="str">
        <f>IF('Expenditures 15-22'!H170&lt;&gt;'Short-Term Long-Term Debt 24'!H49,"ERROR!","OK")</f>
        <v>OK</v>
      </c>
    </row>
    <row r="70" spans="1:4" x14ac:dyDescent="0.2">
      <c r="A70" s="1096"/>
      <c r="B70" s="1118">
        <f>B66+1</f>
        <v>9</v>
      </c>
      <c r="C70" s="2377" t="s">
        <v>1696</v>
      </c>
      <c r="D70" s="2378"/>
    </row>
    <row r="71" spans="1:4" x14ac:dyDescent="0.2">
      <c r="A71" s="1096"/>
      <c r="B71" s="1118"/>
      <c r="C71" s="1100" t="s">
        <v>1354</v>
      </c>
      <c r="D71" s="1124" t="str">
        <f>IF(SUM('Acct Summary 7-8'!C27:K27) =SUM( 'Acct Summary 7-8'!C49:K49),"OK", "ERROR")</f>
        <v>OK</v>
      </c>
    </row>
    <row r="72" spans="1:4" x14ac:dyDescent="0.2">
      <c r="A72" s="1098"/>
      <c r="B72" s="1108"/>
      <c r="C72" s="1116" t="s">
        <v>1355</v>
      </c>
      <c r="D72" s="1122" t="str">
        <f>IF(SUM('Acct Summary 7-8'!C28:K28)=SUM('Acct Summary 7-8'!C50:K50),"OK","ERROR!")</f>
        <v>OK</v>
      </c>
    </row>
    <row r="73" spans="1:4" ht="24" x14ac:dyDescent="0.2">
      <c r="A73" s="1125"/>
      <c r="B73" s="1108"/>
      <c r="C73" s="1116" t="s">
        <v>1697</v>
      </c>
      <c r="D73" s="1124" t="str">
        <f>IF(SUM('Acct Summary 7-8'!C42:K42)&gt;=SUM( 'Acct Summary 7-8'!C74:K74),"OK", "ERROR")</f>
        <v>OK</v>
      </c>
    </row>
    <row r="74" spans="1:4" x14ac:dyDescent="0.2">
      <c r="A74" s="1096"/>
      <c r="B74" s="1118">
        <f>B70+1</f>
        <v>10</v>
      </c>
      <c r="C74" s="1112" t="s">
        <v>1916</v>
      </c>
      <c r="D74" s="1126"/>
    </row>
    <row r="75" spans="1:4" x14ac:dyDescent="0.2">
      <c r="A75" s="1098"/>
      <c r="B75" s="1108"/>
      <c r="C75" s="1116" t="s">
        <v>1377</v>
      </c>
      <c r="D75" s="1122" t="str">
        <f>IF(SUM('Assets-Liab 5-6'!C38:H38)&gt;=SUM('Rest Tax Levies-Tort Im 25'!G25:K25),"OK","ERROR")</f>
        <v>OK</v>
      </c>
    </row>
    <row r="76" spans="1:4" x14ac:dyDescent="0.2">
      <c r="A76" s="1098"/>
      <c r="B76" s="1108"/>
      <c r="C76" s="1116" t="s">
        <v>1418</v>
      </c>
      <c r="D76" s="1122" t="str">
        <f>IF(SUM('Assets-Liab 5-6'!C39:K39)&gt;0,"OK","ENTRY IS REQUIRED!")</f>
        <v>OK</v>
      </c>
    </row>
    <row r="77" spans="1:4" x14ac:dyDescent="0.2">
      <c r="A77" s="1098"/>
      <c r="B77" s="1127">
        <f>B74+1</f>
        <v>11</v>
      </c>
      <c r="C77" s="1172" t="s">
        <v>1378</v>
      </c>
      <c r="D77" s="1122"/>
    </row>
    <row r="78" spans="1:4" x14ac:dyDescent="0.2">
      <c r="A78" s="1098"/>
      <c r="B78" s="1108"/>
      <c r="C78" s="1116" t="s">
        <v>1917</v>
      </c>
      <c r="D78" s="1122" t="str">
        <f>IF(ISNUMBER('Acct Summary 7-8'!C9),"OK","ENTRY IS REQUIRED!")</f>
        <v>OK</v>
      </c>
    </row>
    <row r="79" spans="1:4" x14ac:dyDescent="0.2">
      <c r="A79" s="1117"/>
      <c r="B79" s="1118">
        <f>B74+1+1</f>
        <v>12</v>
      </c>
      <c r="C79" s="1128" t="s">
        <v>1902</v>
      </c>
      <c r="D79" s="1129" t="str">
        <f>IF(OR(COVER!$B$6="X",'PCTC-OEPP 27-28'!F78&gt;0),"OK","PLEASE ENTER 9 MO ADA.")</f>
        <v>OK</v>
      </c>
    </row>
    <row r="80" spans="1:4" x14ac:dyDescent="0.2">
      <c r="A80" s="1096"/>
      <c r="B80" s="1118">
        <v>13</v>
      </c>
      <c r="C80" s="1128" t="s">
        <v>1918</v>
      </c>
      <c r="D80" s="1129" t="str">
        <f>IF('Contracts Paid in CY 29'!D34&gt;0,"OK","PLEASE ENTER CONTRACTS PAID IN CURRENT YEAR.")</f>
        <v>PLEASE ENTER CONTRACTS PAID IN CURRENT YEAR.</v>
      </c>
    </row>
    <row r="81" spans="1:4" x14ac:dyDescent="0.2">
      <c r="A81" s="1096"/>
      <c r="B81" s="1118">
        <v>14</v>
      </c>
      <c r="C81" s="1128" t="s">
        <v>1424</v>
      </c>
      <c r="D81" s="1121" t="str">
        <f>IF('Shared Outsourced Services 31'!B8="X","OK",IF('Shared Outsourced Services 31'!K34&gt;0,"OK","ENTRY REQUIRED!"))</f>
        <v>OK</v>
      </c>
    </row>
    <row r="82" spans="1:4" x14ac:dyDescent="0.2">
      <c r="A82" s="1117"/>
      <c r="B82" s="1118">
        <v>15</v>
      </c>
      <c r="C82" s="1128" t="s">
        <v>1423</v>
      </c>
      <c r="D82" s="1130"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3026203041</v>
      </c>
    </row>
    <row r="3" spans="1:2" x14ac:dyDescent="0.2">
      <c r="A3" t="s">
        <v>956</v>
      </c>
      <c r="B3" s="138" t="str">
        <f>COVER!A15</f>
        <v>FAYETTE</v>
      </c>
    </row>
    <row r="4" spans="1:2" x14ac:dyDescent="0.2">
      <c r="A4" t="s">
        <v>1007</v>
      </c>
      <c r="B4" s="138" t="str">
        <f>COVER!A17</f>
        <v>Okaw Area Vocational Center</v>
      </c>
    </row>
    <row r="5" spans="1:2" x14ac:dyDescent="0.2">
      <c r="A5" t="s">
        <v>704</v>
      </c>
      <c r="B5" s="138" t="str">
        <f>COVER!A38</f>
        <v>DR. JENNIFER GARRISON</v>
      </c>
    </row>
    <row r="6" spans="1:2" x14ac:dyDescent="0.2">
      <c r="A6" t="s">
        <v>709</v>
      </c>
      <c r="B6" s="138">
        <f>COVER!P35</f>
        <v>0</v>
      </c>
    </row>
    <row r="7" spans="1:2" x14ac:dyDescent="0.2">
      <c r="A7" t="s">
        <v>705</v>
      </c>
      <c r="B7" s="138">
        <f>COVER!I38</f>
        <v>0</v>
      </c>
    </row>
    <row r="8" spans="1:2" x14ac:dyDescent="0.2">
      <c r="A8" t="s">
        <v>706</v>
      </c>
      <c r="B8" s="138" t="str">
        <f>COVER!T38</f>
        <v>JULIE WOLLERMAN</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Yes</v>
      </c>
    </row>
    <row r="15" spans="1:2" x14ac:dyDescent="0.2">
      <c r="A15" t="s">
        <v>577</v>
      </c>
      <c r="B15" s="138" t="str">
        <f>COVER!T23</f>
        <v>066-003845</v>
      </c>
    </row>
    <row r="16" spans="1:2" x14ac:dyDescent="0.2">
      <c r="A16" t="s">
        <v>422</v>
      </c>
      <c r="B16" s="138" t="str">
        <f>COVER!T13</f>
        <v>MOSE, YOCKEY, BROWN &amp; KULL, LLC</v>
      </c>
    </row>
    <row r="17" spans="1:2" x14ac:dyDescent="0.2">
      <c r="A17" t="s">
        <v>884</v>
      </c>
      <c r="B17" s="138" t="str">
        <f>COVER!T15</f>
        <v>ROBIN R. YOCKEY</v>
      </c>
    </row>
    <row r="18" spans="1:2" x14ac:dyDescent="0.2">
      <c r="A18" t="s">
        <v>1150</v>
      </c>
      <c r="B18" s="138" t="str">
        <f>COVER!T17</f>
        <v>230 N MORGAN, PO BOX 317</v>
      </c>
    </row>
    <row r="19" spans="1:2" x14ac:dyDescent="0.2">
      <c r="A19" t="s">
        <v>886</v>
      </c>
      <c r="B19" s="138" t="str">
        <f>COVER!T25</f>
        <v>mybkcpas@consolidated.net</v>
      </c>
    </row>
    <row r="20" spans="1:2" x14ac:dyDescent="0.2">
      <c r="A20" t="s">
        <v>887</v>
      </c>
      <c r="B20" s="138" t="str">
        <f>COVER!T19</f>
        <v>SHELBYVILLE</v>
      </c>
    </row>
    <row r="21" spans="1:2" x14ac:dyDescent="0.2">
      <c r="A21" t="s">
        <v>479</v>
      </c>
      <c r="B21" s="138" t="str">
        <f>COVER!X19</f>
        <v>IL</v>
      </c>
    </row>
    <row r="22" spans="1:2" x14ac:dyDescent="0.2">
      <c r="A22" t="s">
        <v>888</v>
      </c>
      <c r="B22" s="138">
        <f>COVER!Z19</f>
        <v>62565</v>
      </c>
    </row>
    <row r="23" spans="1:2" x14ac:dyDescent="0.2">
      <c r="A23" t="s">
        <v>1152</v>
      </c>
      <c r="B23" s="138" t="str">
        <f>COVER!T21</f>
        <v>217-774-9587</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859582</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1278854</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1278854</v>
      </c>
      <c r="D92" s="2" t="str">
        <f t="shared" si="0"/>
        <v>Error?</v>
      </c>
    </row>
    <row r="93" spans="1:4" x14ac:dyDescent="0.2">
      <c r="A93" s="5">
        <v>32</v>
      </c>
      <c r="B93" s="138">
        <f>'Assets-Liab 5-6'!C41</f>
        <v>1278854</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163516</v>
      </c>
      <c r="D274" s="2" t="str">
        <f t="shared" si="3"/>
        <v>Error?</v>
      </c>
    </row>
    <row r="275" spans="1:4" x14ac:dyDescent="0.2">
      <c r="A275" s="5">
        <v>214</v>
      </c>
      <c r="B275" s="138">
        <f>'Assets-Liab 5-6'!M18</f>
        <v>0</v>
      </c>
      <c r="D275" s="2" t="str">
        <f t="shared" si="3"/>
        <v>Error?</v>
      </c>
    </row>
    <row r="276" spans="1:4" x14ac:dyDescent="0.2">
      <c r="A276" s="5">
        <v>215</v>
      </c>
      <c r="B276" s="138">
        <f>'Assets-Liab 5-6'!M19</f>
        <v>62994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226510</v>
      </c>
      <c r="C279" s="2" t="s">
        <v>573</v>
      </c>
      <c r="D279" s="2" t="str">
        <f t="shared" si="3"/>
        <v>Error?</v>
      </c>
    </row>
    <row r="280" spans="1:4" x14ac:dyDescent="0.2">
      <c r="A280" s="5">
        <v>219</v>
      </c>
      <c r="B280" s="138">
        <f>'Assets-Liab 5-6'!M40</f>
        <v>226510</v>
      </c>
      <c r="D280" s="2" t="str">
        <f t="shared" si="3"/>
        <v>Error?</v>
      </c>
    </row>
    <row r="281" spans="1:4" x14ac:dyDescent="0.2">
      <c r="A281" s="5">
        <v>220</v>
      </c>
      <c r="B281" s="138">
        <f>'Assets-Liab 5-6'!M41</f>
        <v>226510</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0</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0</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0</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0</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0</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136219</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136219</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585</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585</v>
      </c>
      <c r="C847" s="2" t="s">
        <v>573</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0</v>
      </c>
      <c r="C850" s="2" t="s">
        <v>573</v>
      </c>
      <c r="D850" s="2" t="str">
        <f t="shared" si="12"/>
        <v>Error?</v>
      </c>
    </row>
    <row r="851" spans="1:4" x14ac:dyDescent="0.2">
      <c r="A851" s="5">
        <v>790</v>
      </c>
      <c r="B851" s="138">
        <f>'Expenditures 15-22'!E55</f>
        <v>9861</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9861</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10446</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146665</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247976</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247976</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0</v>
      </c>
      <c r="C908" s="2" t="s">
        <v>573</v>
      </c>
      <c r="D908" s="2" t="str">
        <f t="shared" si="13"/>
        <v>Error?</v>
      </c>
    </row>
    <row r="909" spans="1:4" x14ac:dyDescent="0.2">
      <c r="A909" s="5">
        <v>848</v>
      </c>
      <c r="B909" s="138">
        <f>'Expenditures 15-22'!F55</f>
        <v>10243</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10243</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10243</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258219</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50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573</v>
      </c>
      <c r="D1024" s="2" t="str">
        <f t="shared" si="15"/>
        <v>Error?</v>
      </c>
    </row>
    <row r="1025" spans="1:4" x14ac:dyDescent="0.2">
      <c r="A1025" s="5">
        <v>964</v>
      </c>
      <c r="B1025" s="138">
        <f>'Expenditures 15-22'!H55</f>
        <v>352</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352</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352</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810212</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810614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384245</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384245</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0</v>
      </c>
      <c r="C1115" s="2" t="s">
        <v>573</v>
      </c>
      <c r="D1115" s="2" t="str">
        <f t="shared" si="16"/>
        <v>Error?</v>
      </c>
    </row>
    <row r="1116" spans="1:4" x14ac:dyDescent="0.2">
      <c r="A1116" s="5">
        <v>1055</v>
      </c>
      <c r="B1116" s="138">
        <f>'Expenditures 15-22'!K44</f>
        <v>0</v>
      </c>
      <c r="C1116" s="2" t="s">
        <v>573</v>
      </c>
      <c r="D1116" s="2" t="str">
        <f t="shared" si="16"/>
        <v>Error?</v>
      </c>
    </row>
    <row r="1117" spans="1:4" x14ac:dyDescent="0.2">
      <c r="A1117" s="5">
        <v>1056</v>
      </c>
      <c r="B1117" s="138">
        <f>'Expenditures 15-22'!K45</f>
        <v>585</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585</v>
      </c>
      <c r="C1119" s="2" t="s">
        <v>573</v>
      </c>
      <c r="D1119" s="2" t="str">
        <f t="shared" si="16"/>
        <v>Error?</v>
      </c>
    </row>
    <row r="1120" spans="1:4" x14ac:dyDescent="0.2">
      <c r="A1120" s="5">
        <v>1059</v>
      </c>
      <c r="B1120" s="138">
        <f>'Expenditures 15-22'!K49</f>
        <v>0</v>
      </c>
      <c r="C1120" s="2" t="s">
        <v>573</v>
      </c>
      <c r="D1120" s="2" t="str">
        <f t="shared" si="16"/>
        <v>Error?</v>
      </c>
    </row>
    <row r="1121" spans="1:4" x14ac:dyDescent="0.2">
      <c r="A1121" s="5">
        <v>1060</v>
      </c>
      <c r="B1121" s="138">
        <f>'Expenditures 15-22'!K50</f>
        <v>0</v>
      </c>
      <c r="C1121" s="2" t="s">
        <v>573</v>
      </c>
      <c r="D1121" s="2" t="str">
        <f t="shared" si="16"/>
        <v>Error?</v>
      </c>
    </row>
    <row r="1122" spans="1:4" x14ac:dyDescent="0.2">
      <c r="A1122" s="5">
        <v>1061</v>
      </c>
      <c r="B1122" s="138">
        <f>'Expenditures 15-22'!K53</f>
        <v>0</v>
      </c>
      <c r="C1122" s="2" t="s">
        <v>573</v>
      </c>
      <c r="D1122" s="2" t="str">
        <f t="shared" si="16"/>
        <v>Error?</v>
      </c>
    </row>
    <row r="1123" spans="1:4" x14ac:dyDescent="0.2">
      <c r="A1123" s="5">
        <v>1062</v>
      </c>
      <c r="B1123" s="138">
        <f>'Expenditures 15-22'!K55</f>
        <v>20456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20456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0</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21041</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810212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1215498</v>
      </c>
      <c r="C1152" s="2" t="s">
        <v>573</v>
      </c>
      <c r="D1152" s="2" t="str">
        <f t="shared" si="17"/>
        <v>Error?</v>
      </c>
    </row>
    <row r="1153" spans="1:4" x14ac:dyDescent="0.2">
      <c r="A1153" s="5">
        <v>1092</v>
      </c>
      <c r="B1153" s="138">
        <f>'Expenditures 15-22'!K115</f>
        <v>66169</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573</v>
      </c>
      <c r="D1241" s="2" t="str">
        <f t="shared" si="18"/>
        <v>Error?</v>
      </c>
    </row>
    <row r="1242" spans="1:4" x14ac:dyDescent="0.2">
      <c r="A1242" s="5">
        <v>1181</v>
      </c>
      <c r="B1242" s="138">
        <f>'Expenditures 15-22'!E151</f>
        <v>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573</v>
      </c>
      <c r="D1249" s="2" t="str">
        <f t="shared" si="18"/>
        <v>Error?</v>
      </c>
    </row>
    <row r="1250" spans="1:4" x14ac:dyDescent="0.2">
      <c r="A1250" s="5">
        <v>1189</v>
      </c>
      <c r="B1250" s="138">
        <f>'Expenditures 15-22'!F151</f>
        <v>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0</v>
      </c>
      <c r="C1288" s="2" t="s">
        <v>573</v>
      </c>
      <c r="D1288" s="2" t="str">
        <f t="shared" si="19"/>
        <v>Error?</v>
      </c>
    </row>
    <row r="1289" spans="1:4" x14ac:dyDescent="0.2">
      <c r="A1289" s="5">
        <v>1228</v>
      </c>
      <c r="B1289" s="138">
        <f>'Expenditures 15-22'!K152</f>
        <v>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1212685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1278854</v>
      </c>
      <c r="C1630" s="2" t="s">
        <v>573</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163516</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62994</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226510</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163516</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62994</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226510</v>
      </c>
      <c r="C2031" s="2" t="s">
        <v>573</v>
      </c>
      <c r="D2031" s="2" t="str">
        <f t="shared" si="30"/>
        <v>Error?</v>
      </c>
    </row>
    <row r="2032" spans="1:4" x14ac:dyDescent="0.2">
      <c r="A2032" s="10">
        <v>1971</v>
      </c>
      <c r="D2032" s="2" t="str">
        <f t="shared" si="30"/>
        <v>OK</v>
      </c>
    </row>
    <row r="2033" spans="1:4" x14ac:dyDescent="0.2">
      <c r="A2033" s="5">
        <v>1972</v>
      </c>
      <c r="B2033" s="138">
        <f>'Cap Outlay Deprec 26'!H8</f>
        <v>11445</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20509</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31954</v>
      </c>
      <c r="C2037" s="2" t="s">
        <v>573</v>
      </c>
      <c r="D2037" s="2" t="str">
        <f t="shared" si="30"/>
        <v>Error?</v>
      </c>
    </row>
    <row r="2038" spans="1:4" x14ac:dyDescent="0.2">
      <c r="A2038" s="10">
        <v>1977</v>
      </c>
      <c r="D2038" s="2" t="str">
        <f t="shared" si="30"/>
        <v>OK</v>
      </c>
    </row>
    <row r="2039" spans="1:4" x14ac:dyDescent="0.2">
      <c r="A2039" s="5">
        <v>1978</v>
      </c>
      <c r="B2039" s="138">
        <f>'Cap Outlay Deprec 26'!I8</f>
        <v>3270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6299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9569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14715</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26808</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41523</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148801</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36186</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184987</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810212</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810212</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691161</v>
      </c>
      <c r="C2551" s="2" t="s">
        <v>573</v>
      </c>
      <c r="D2551" s="2" t="str">
        <f t="shared" si="38"/>
        <v>Error?</v>
      </c>
    </row>
    <row r="2552" spans="1:4" x14ac:dyDescent="0.2">
      <c r="A2552" s="10">
        <v>2491</v>
      </c>
      <c r="D2552" s="2" t="str">
        <f t="shared" si="38"/>
        <v>OK</v>
      </c>
    </row>
    <row r="2553" spans="1:4" x14ac:dyDescent="0.2">
      <c r="A2553" s="5">
        <v>2492</v>
      </c>
      <c r="B2553" s="138">
        <f>'Acct Summary 7-8'!C6</f>
        <v>590506</v>
      </c>
      <c r="C2553" s="2" t="s">
        <v>573</v>
      </c>
      <c r="D2553" s="2" t="str">
        <f t="shared" si="38"/>
        <v>Error?</v>
      </c>
    </row>
    <row r="2554" spans="1:4" x14ac:dyDescent="0.2">
      <c r="A2554" s="5">
        <v>2493</v>
      </c>
      <c r="B2554" s="138">
        <f>'Acct Summary 7-8'!C7</f>
        <v>0</v>
      </c>
      <c r="C2554" s="2" t="s">
        <v>573</v>
      </c>
      <c r="D2554" s="2" t="str">
        <f t="shared" si="38"/>
        <v>Error?</v>
      </c>
    </row>
    <row r="2555" spans="1:4" x14ac:dyDescent="0.2">
      <c r="A2555" s="5">
        <v>2494</v>
      </c>
      <c r="B2555" s="138">
        <f>'Acct Summary 7-8'!C8</f>
        <v>1281667</v>
      </c>
      <c r="C2555" s="2" t="s">
        <v>573</v>
      </c>
      <c r="D2555" s="2" t="str">
        <f t="shared" si="38"/>
        <v>Error?</v>
      </c>
    </row>
    <row r="2556" spans="1:4" x14ac:dyDescent="0.2">
      <c r="A2556" s="5">
        <v>2495</v>
      </c>
      <c r="B2556" s="138">
        <f>'Acct Summary 7-8'!C12</f>
        <v>384245</v>
      </c>
      <c r="C2556" s="2" t="s">
        <v>573</v>
      </c>
      <c r="D2556" s="2" t="str">
        <f t="shared" si="38"/>
        <v>Error?</v>
      </c>
    </row>
    <row r="2557" spans="1:4" x14ac:dyDescent="0.2">
      <c r="A2557" s="5">
        <v>2496</v>
      </c>
      <c r="B2557" s="138">
        <f>'Acct Summary 7-8'!C13</f>
        <v>21041</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810212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1215498</v>
      </c>
      <c r="C2561" s="2" t="s">
        <v>573</v>
      </c>
      <c r="D2561" s="2" t="str">
        <f t="shared" si="39"/>
        <v>Error?</v>
      </c>
    </row>
    <row r="2562" spans="1:4" x14ac:dyDescent="0.2">
      <c r="A2562" s="5">
        <v>2501</v>
      </c>
      <c r="B2562" s="138">
        <f>'Acct Summary 7-8'!C20</f>
        <v>66169</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0</v>
      </c>
      <c r="C2568" s="2" t="s">
        <v>573</v>
      </c>
      <c r="D2568" s="2" t="str">
        <f t="shared" si="39"/>
        <v>Error?</v>
      </c>
    </row>
    <row r="2569" spans="1:4" x14ac:dyDescent="0.2">
      <c r="A2569" s="5">
        <v>2508</v>
      </c>
      <c r="B2569" s="138">
        <f>'Acct Summary 7-8'!D13</f>
        <v>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0</v>
      </c>
      <c r="C2573" s="2" t="s">
        <v>573</v>
      </c>
      <c r="D2573" s="2" t="str">
        <f t="shared" si="39"/>
        <v>Error?</v>
      </c>
    </row>
    <row r="2574" spans="1:4" x14ac:dyDescent="0.2">
      <c r="A2574" s="5">
        <v>2513</v>
      </c>
      <c r="B2574" s="138">
        <f>'Acct Summary 7-8'!D20</f>
        <v>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810212</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810212</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66169</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419272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t="str">
        <f>'Expenditures 15-22'!K354</f>
        <v xml:space="preserve"> </v>
      </c>
      <c r="C3673" s="2" t="s">
        <v>573</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1281667</v>
      </c>
      <c r="C4122" s="2" t="s">
        <v>573</v>
      </c>
      <c r="D4122" s="2" t="str">
        <f t="shared" si="63"/>
        <v>Error?</v>
      </c>
    </row>
    <row r="4123" spans="1:4" x14ac:dyDescent="0.2">
      <c r="A4123" s="5">
        <v>4062</v>
      </c>
      <c r="B4123" s="138">
        <f>'Acct Summary 7-8'!D10</f>
        <v>0</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0</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1215498</v>
      </c>
      <c r="C4136" s="2" t="s">
        <v>573</v>
      </c>
      <c r="D4136" s="2" t="str">
        <f t="shared" si="63"/>
        <v>Error?</v>
      </c>
    </row>
    <row r="4137" spans="1:4" x14ac:dyDescent="0.2">
      <c r="A4137" s="5">
        <v>4076</v>
      </c>
      <c r="B4137" s="138">
        <f>'Acct Summary 7-8'!D19</f>
        <v>0</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1278854</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13035</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477774</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477774</v>
      </c>
      <c r="C5087" s="2" t="s">
        <v>573</v>
      </c>
      <c r="D5087" s="2" t="str">
        <f t="shared" si="78"/>
        <v>Error?</v>
      </c>
    </row>
    <row r="5088" spans="1:4" x14ac:dyDescent="0.2">
      <c r="A5088" s="5">
        <v>5027</v>
      </c>
      <c r="B5088" s="138">
        <f>'Revenues 9-14'!C65</f>
        <v>5519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5519</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189712</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189712</v>
      </c>
      <c r="C5102" s="2" t="s">
        <v>573</v>
      </c>
      <c r="D5102" s="2" t="str">
        <f t="shared" si="78"/>
        <v>Error?</v>
      </c>
    </row>
    <row r="5103" spans="1:4" x14ac:dyDescent="0.2">
      <c r="A5103" s="5">
        <v>5042</v>
      </c>
      <c r="B5103" s="138">
        <f>'Revenues 9-14'!C84</f>
        <v>1393</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1393</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3728</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16763</v>
      </c>
      <c r="C5120" s="2" t="s">
        <v>573</v>
      </c>
      <c r="D5120" s="2" t="str">
        <f t="shared" si="79"/>
        <v>Error?</v>
      </c>
    </row>
    <row r="5121" spans="1:4" x14ac:dyDescent="0.2">
      <c r="A5121" s="5">
        <v>5060</v>
      </c>
      <c r="B5121" s="138">
        <f>'Revenues 9-14'!C109</f>
        <v>691161</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590506</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590506</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590506</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590506</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0</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0</v>
      </c>
      <c r="C5326" s="2" t="s">
        <v>573</v>
      </c>
      <c r="D5326" s="2" t="str">
        <f t="shared" si="82"/>
        <v>Error?</v>
      </c>
    </row>
    <row r="5327" spans="1:5" x14ac:dyDescent="0.2">
      <c r="A5327" s="5">
        <v>5266</v>
      </c>
      <c r="B5327" s="138">
        <f>'Revenues 9-14'!C268</f>
        <v>1281667</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0</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t="str">
        <f>'Assets-Liab 5-6'!I10</f>
        <v xml:space="preserve"> </v>
      </c>
      <c r="D6111" s="2" t="e">
        <f t="shared" si="94"/>
        <v>#VALUE!</v>
      </c>
      <c r="E6111" s="2" t="s">
        <v>190</v>
      </c>
    </row>
    <row r="6112" spans="1:5" x14ac:dyDescent="0.2">
      <c r="A6112">
        <v>6051</v>
      </c>
      <c r="B6112" s="138" t="str">
        <f>'Assets-Liab 5-6'!J10</f>
        <v xml:space="preserve"> </v>
      </c>
      <c r="D6112" s="2" t="e">
        <f t="shared" si="94"/>
        <v>#VALUE!</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t="str">
        <f>'Assets-Liab 5-6'!H11</f>
        <v xml:space="preserve"> </v>
      </c>
      <c r="D6118" s="2" t="e">
        <f t="shared" si="94"/>
        <v>#VALUE!</v>
      </c>
      <c r="E6118" s="2" t="s">
        <v>190</v>
      </c>
    </row>
    <row r="6119" spans="1:5" x14ac:dyDescent="0.2">
      <c r="A6119">
        <v>6058</v>
      </c>
      <c r="B6119" s="138" t="str">
        <f>'Assets-Liab 5-6'!I11</f>
        <v xml:space="preserve"> </v>
      </c>
      <c r="D6119" s="2" t="e">
        <f t="shared" si="94"/>
        <v>#VALUE!</v>
      </c>
      <c r="E6119" s="2" t="s">
        <v>190</v>
      </c>
    </row>
    <row r="6120" spans="1:5" x14ac:dyDescent="0.2">
      <c r="A6120">
        <v>6059</v>
      </c>
      <c r="B6120" s="138" t="str">
        <f>'Assets-Liab 5-6'!J11</f>
        <v xml:space="preserve"> </v>
      </c>
      <c r="D6120" s="2" t="e">
        <f t="shared" si="94"/>
        <v>#VALUE!</v>
      </c>
      <c r="E6120" s="2" t="s">
        <v>190</v>
      </c>
    </row>
    <row r="6121" spans="1:5" x14ac:dyDescent="0.2">
      <c r="A6121">
        <v>6060</v>
      </c>
      <c r="B6121" s="138" t="str">
        <f>'Assets-Liab 5-6'!K11</f>
        <v xml:space="preserve"> </v>
      </c>
      <c r="D6121" s="2" t="e">
        <f t="shared" si="94"/>
        <v>#VALUE!</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66169</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5.1740855484676121E-2</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t="str">
        <f>'Revenues 9-14'!C97</f>
        <v xml:space="preserve"> </v>
      </c>
      <c r="D6320" s="2" t="e">
        <f t="shared" si="97"/>
        <v>#VALUE!</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t="str">
        <f>'Expenditures 15-22'!I51</f>
        <v xml:space="preserve"> </v>
      </c>
      <c r="D6930" s="2" t="e">
        <f t="shared" si="107"/>
        <v>#VALUE!</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t="str">
        <f>'Expenditures 15-22'!J69</f>
        <v xml:space="preserve"> </v>
      </c>
      <c r="D6968" s="2" t="e">
        <f t="shared" si="107"/>
        <v>#VALUE!</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9569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t="str">
        <f>'Revenues 9-14'!C253</f>
        <v xml:space="preserve"> </v>
      </c>
      <c r="D7761" s="2" t="e">
        <f t="shared" si="127"/>
        <v>#VALUE!</v>
      </c>
      <c r="E7761" s="4" t="s">
        <v>1422</v>
      </c>
    </row>
    <row r="7762" spans="1:5" x14ac:dyDescent="0.2">
      <c r="A7762">
        <v>7701</v>
      </c>
      <c r="B7762" s="138" t="str">
        <f>'Expenditures 15-22'!E6</f>
        <v xml:space="preserve"> </v>
      </c>
      <c r="D7762" s="2" t="e">
        <f t="shared" si="127"/>
        <v>#VALUE!</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t="str">
        <f>'Revenues 9-14'!C254</f>
        <v xml:space="preserve"> </v>
      </c>
      <c r="D7765" s="2" t="e">
        <f t="shared" si="127"/>
        <v>#VALUE!</v>
      </c>
      <c r="E7765" s="4" t="s">
        <v>1464</v>
      </c>
    </row>
    <row r="7766" spans="1:5" x14ac:dyDescent="0.2">
      <c r="A7766">
        <v>7705</v>
      </c>
      <c r="B7766" s="138" t="str">
        <f>'Revenues 9-14'!D254</f>
        <v xml:space="preserve"> </v>
      </c>
      <c r="D7766" s="2" t="e">
        <f t="shared" si="127"/>
        <v>#VALUE!</v>
      </c>
      <c r="E7766" s="4" t="s">
        <v>1464</v>
      </c>
    </row>
    <row r="7767" spans="1:5" x14ac:dyDescent="0.2">
      <c r="A7767" s="129">
        <v>7706</v>
      </c>
      <c r="E7767" s="4"/>
    </row>
    <row r="7768" spans="1:5" x14ac:dyDescent="0.2">
      <c r="A7768">
        <v>7707</v>
      </c>
      <c r="B7768" s="138" t="str">
        <f>'Revenues 9-14'!F254</f>
        <v xml:space="preserve"> </v>
      </c>
      <c r="D7768" s="2" t="e">
        <f t="shared" si="127"/>
        <v>#VALUE!</v>
      </c>
      <c r="E7768" s="4" t="s">
        <v>1464</v>
      </c>
    </row>
    <row r="7769" spans="1:5" x14ac:dyDescent="0.2">
      <c r="A7769">
        <v>7708</v>
      </c>
      <c r="B7769" s="138" t="str">
        <f>'Revenues 9-14'!G254</f>
        <v xml:space="preserve"> </v>
      </c>
      <c r="D7769" s="2" t="e">
        <f t="shared" si="127"/>
        <v>#VALUE!</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t="str">
        <f>'Expenditures 15-22'!E133</f>
        <v xml:space="preserve"> </v>
      </c>
      <c r="D7774" s="2" t="e">
        <f t="shared" si="127"/>
        <v>#VALUE!</v>
      </c>
      <c r="E7774" s="4" t="s">
        <v>1854</v>
      </c>
    </row>
    <row r="7775" spans="1:5" x14ac:dyDescent="0.2">
      <c r="A7775">
        <v>7714</v>
      </c>
      <c r="B7775" s="138" t="str">
        <f>'Expenditures 15-22'!H133</f>
        <v xml:space="preserve"> </v>
      </c>
      <c r="D7775" s="2" t="e">
        <f t="shared" si="127"/>
        <v>#VALUE!</v>
      </c>
      <c r="E7775" s="4" t="s">
        <v>1854</v>
      </c>
    </row>
    <row r="7776" spans="1:5" x14ac:dyDescent="0.2">
      <c r="A7776">
        <v>7715</v>
      </c>
      <c r="B7776" s="138">
        <f>'Expenditures 15-22'!K133</f>
        <v>0</v>
      </c>
      <c r="D7776" s="2" t="str">
        <f t="shared" si="127"/>
        <v>Error?</v>
      </c>
      <c r="E7776" s="4" t="s">
        <v>1854</v>
      </c>
    </row>
    <row r="7777" spans="1:5" x14ac:dyDescent="0.2">
      <c r="A7777">
        <v>7716</v>
      </c>
      <c r="B7777" s="138" t="str">
        <f>'Expenditures 15-22'!H157</f>
        <v xml:space="preserve"> </v>
      </c>
      <c r="D7777" s="2" t="e">
        <f t="shared" si="127"/>
        <v>#VALUE!</v>
      </c>
      <c r="E7777" s="4" t="s">
        <v>1854</v>
      </c>
    </row>
    <row r="7778" spans="1:5" x14ac:dyDescent="0.2">
      <c r="A7778">
        <v>7717</v>
      </c>
      <c r="B7778" s="138" t="str">
        <f>'Expenditures 15-22'!K157</f>
        <v xml:space="preserve"> </v>
      </c>
      <c r="D7778" s="2" t="e">
        <f t="shared" si="127"/>
        <v>#VALUE!</v>
      </c>
      <c r="E7778" s="4" t="s">
        <v>1854</v>
      </c>
    </row>
    <row r="7779" spans="1:5" x14ac:dyDescent="0.2">
      <c r="A7779">
        <v>7718</v>
      </c>
      <c r="B7779" s="138" t="str">
        <f>'Expenditures 15-22'!H158</f>
        <v xml:space="preserve"> </v>
      </c>
      <c r="D7779" s="2" t="e">
        <f t="shared" si="127"/>
        <v>#VALUE!</v>
      </c>
      <c r="E7779" s="4" t="s">
        <v>1854</v>
      </c>
    </row>
    <row r="7780" spans="1:5" x14ac:dyDescent="0.2">
      <c r="A7780">
        <v>7719</v>
      </c>
      <c r="B7780" s="138" t="str">
        <f>'Expenditures 15-22'!K158</f>
        <v xml:space="preserve"> </v>
      </c>
      <c r="D7780" s="2" t="e">
        <f t="shared" si="127"/>
        <v>#VALUE!</v>
      </c>
      <c r="E7780" s="4" t="s">
        <v>1854</v>
      </c>
    </row>
    <row r="7781" spans="1:5" x14ac:dyDescent="0.2">
      <c r="A7781">
        <v>7720</v>
      </c>
      <c r="B7781" s="138" t="str">
        <f>'Expenditures 15-22'!H159</f>
        <v xml:space="preserve"> </v>
      </c>
      <c r="D7781" s="2" t="e">
        <f t="shared" si="127"/>
        <v>#VALUE!</v>
      </c>
      <c r="E7781" s="4" t="s">
        <v>1854</v>
      </c>
    </row>
    <row r="7782" spans="1:5" x14ac:dyDescent="0.2">
      <c r="A7782">
        <v>7721</v>
      </c>
      <c r="B7782" s="138" t="str">
        <f>'Expenditures 15-22'!K159</f>
        <v xml:space="preserve"> </v>
      </c>
      <c r="D7782" s="2" t="e">
        <f t="shared" si="127"/>
        <v>#VALUE!</v>
      </c>
      <c r="E7782" s="4" t="s">
        <v>1854</v>
      </c>
    </row>
    <row r="7783" spans="1:5" x14ac:dyDescent="0.2">
      <c r="A7783">
        <v>7722</v>
      </c>
      <c r="B7783" s="138" t="str">
        <f>'Expenditures 15-22'!D282</f>
        <v xml:space="preserve"> </v>
      </c>
      <c r="D7783" s="2" t="e">
        <f t="shared" si="127"/>
        <v>#VALUE!</v>
      </c>
      <c r="E7783" s="4" t="s">
        <v>1854</v>
      </c>
    </row>
    <row r="7784" spans="1:5" x14ac:dyDescent="0.2">
      <c r="A7784">
        <v>7723</v>
      </c>
      <c r="B7784" s="138" t="str">
        <f>'Expenditures 15-22'!K282</f>
        <v xml:space="preserve"> </v>
      </c>
      <c r="D7784" s="2" t="e">
        <f t="shared" si="127"/>
        <v>#VALUE!</v>
      </c>
      <c r="E7784" s="4" t="s">
        <v>1854</v>
      </c>
    </row>
    <row r="7785" spans="1:5" x14ac:dyDescent="0.2">
      <c r="A7785">
        <v>7724</v>
      </c>
      <c r="B7785" s="138" t="str">
        <f>'Expenditures 15-22'!H332</f>
        <v xml:space="preserve"> </v>
      </c>
      <c r="D7785" s="2" t="e">
        <f t="shared" si="127"/>
        <v>#VALUE!</v>
      </c>
      <c r="E7785" s="4" t="s">
        <v>1854</v>
      </c>
    </row>
    <row r="7786" spans="1:5" x14ac:dyDescent="0.2">
      <c r="A7786">
        <v>7725</v>
      </c>
      <c r="B7786" s="138" t="str">
        <f>'Expenditures 15-22'!K332</f>
        <v xml:space="preserve"> </v>
      </c>
      <c r="D7786" s="2" t="e">
        <f t="shared" si="127"/>
        <v>#VALUE!</v>
      </c>
      <c r="E7786" s="4" t="s">
        <v>1854</v>
      </c>
    </row>
    <row r="7787" spans="1:5" x14ac:dyDescent="0.2">
      <c r="A7787">
        <v>7726</v>
      </c>
      <c r="B7787" s="138" t="str">
        <f>'Expenditures 15-22'!H333</f>
        <v xml:space="preserve"> </v>
      </c>
      <c r="D7787" s="2" t="e">
        <f t="shared" si="127"/>
        <v>#VALUE!</v>
      </c>
      <c r="E7787" s="4" t="s">
        <v>1854</v>
      </c>
    </row>
    <row r="7788" spans="1:5" x14ac:dyDescent="0.2">
      <c r="A7788">
        <v>7727</v>
      </c>
      <c r="B7788" s="138" t="str">
        <f>'Expenditures 15-22'!K333</f>
        <v xml:space="preserve"> </v>
      </c>
      <c r="D7788" s="2" t="e">
        <f t="shared" si="127"/>
        <v>#VALUE!</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t="str">
        <f>'Expenditures 15-22'!H354</f>
        <v xml:space="preserve"> </v>
      </c>
      <c r="D7791" s="2" t="e">
        <f t="shared" si="127"/>
        <v>#VALUE!</v>
      </c>
      <c r="E7791" s="4" t="s">
        <v>1854</v>
      </c>
    </row>
    <row r="7792" spans="1:5" x14ac:dyDescent="0.2">
      <c r="A7792">
        <v>7731</v>
      </c>
      <c r="B7792" s="138" t="str">
        <f>'Expenditures 15-22'!K354</f>
        <v xml:space="preserve"> </v>
      </c>
      <c r="D7792" s="2" t="e">
        <f t="shared" si="127"/>
        <v>#VALUE!</v>
      </c>
      <c r="E7792" s="4" t="s">
        <v>1854</v>
      </c>
    </row>
    <row r="7793" spans="1:5" x14ac:dyDescent="0.2">
      <c r="A7793">
        <v>7732</v>
      </c>
      <c r="B7793" s="138" t="str">
        <f>'Expenditures 15-22'!H355</f>
        <v xml:space="preserve"> </v>
      </c>
      <c r="D7793" s="2" t="e">
        <f t="shared" si="127"/>
        <v>#VALUE!</v>
      </c>
      <c r="E7793" s="4" t="s">
        <v>1854</v>
      </c>
    </row>
    <row r="7794" spans="1:5" x14ac:dyDescent="0.2">
      <c r="A7794">
        <v>7733</v>
      </c>
      <c r="B7794" s="138" t="str">
        <f>'Expenditures 15-22'!K355</f>
        <v xml:space="preserve"> </v>
      </c>
      <c r="D7794" s="2" t="e">
        <f t="shared" si="127"/>
        <v>#VALUE!</v>
      </c>
      <c r="E7794" s="4" t="s">
        <v>1854</v>
      </c>
    </row>
    <row r="7795" spans="1:5" x14ac:dyDescent="0.2">
      <c r="A7795">
        <v>7734</v>
      </c>
      <c r="B7795" s="138" t="str">
        <f>'Expenditures 15-22'!E138</f>
        <v xml:space="preserve"> </v>
      </c>
      <c r="D7795" s="2" t="e">
        <f t="shared" si="127"/>
        <v>#VALUE!</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29'!D34</f>
        <v>0</v>
      </c>
      <c r="D7797" s="2" t="str">
        <f t="shared" si="127"/>
        <v>Error?</v>
      </c>
      <c r="E7797" s="4" t="s">
        <v>1903</v>
      </c>
    </row>
    <row r="7798" spans="1:5" x14ac:dyDescent="0.2">
      <c r="A7798">
        <v>7737</v>
      </c>
      <c r="B7798" s="138">
        <f>'Contracts Paid in CY 29'!F34</f>
        <v>0</v>
      </c>
      <c r="D7798" s="2" t="str">
        <f t="shared" si="127"/>
        <v>Error?</v>
      </c>
      <c r="E7798" s="4" t="s">
        <v>1903</v>
      </c>
    </row>
    <row r="7799" spans="1:5" x14ac:dyDescent="0.2">
      <c r="A7799">
        <v>7738</v>
      </c>
      <c r="B7799" s="138">
        <f>'Contracts Paid in CY 29'!G34</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t="str">
        <f>'Revenues 9-14'!D120</f>
        <v xml:space="preserve"> </v>
      </c>
      <c r="D7802" s="2" t="e">
        <f t="shared" si="127"/>
        <v>#VALUE!</v>
      </c>
      <c r="E7802" s="4" t="s">
        <v>1939</v>
      </c>
    </row>
    <row r="7803" spans="1:5" x14ac:dyDescent="0.2">
      <c r="A7803">
        <v>7742</v>
      </c>
      <c r="B7803" s="138" t="str">
        <f>'Revenues 9-14'!E120</f>
        <v xml:space="preserve"> </v>
      </c>
      <c r="D7803" s="2" t="e">
        <f t="shared" si="127"/>
        <v>#VALUE!</v>
      </c>
      <c r="E7803" s="4" t="s">
        <v>1939</v>
      </c>
    </row>
    <row r="7804" spans="1:5" x14ac:dyDescent="0.2">
      <c r="A7804">
        <v>7743</v>
      </c>
      <c r="B7804" s="138" t="str">
        <f>'Revenues 9-14'!F120</f>
        <v xml:space="preserve"> </v>
      </c>
      <c r="D7804" s="2" t="e">
        <f t="shared" si="127"/>
        <v>#VALUE!</v>
      </c>
      <c r="E7804" s="4" t="s">
        <v>1939</v>
      </c>
    </row>
    <row r="7805" spans="1:5" x14ac:dyDescent="0.2">
      <c r="A7805">
        <v>7744</v>
      </c>
      <c r="B7805" s="138" t="str">
        <f>'Revenues 9-14'!G120</f>
        <v xml:space="preserve"> </v>
      </c>
      <c r="D7805" s="2" t="e">
        <f t="shared" si="127"/>
        <v>#VALUE!</v>
      </c>
      <c r="E7805" s="4" t="s">
        <v>1939</v>
      </c>
    </row>
    <row r="7806" spans="1:5" x14ac:dyDescent="0.2">
      <c r="A7806">
        <v>7745</v>
      </c>
      <c r="B7806" s="138" t="str">
        <f>'Revenues 9-14'!H120</f>
        <v xml:space="preserve"> </v>
      </c>
      <c r="D7806" s="2" t="e">
        <f t="shared" si="127"/>
        <v>#VALUE!</v>
      </c>
      <c r="E7806" s="4" t="s">
        <v>1939</v>
      </c>
    </row>
    <row r="7807" spans="1:5" x14ac:dyDescent="0.2">
      <c r="A7807">
        <v>7746</v>
      </c>
      <c r="B7807" s="138" t="str">
        <f>'Revenues 9-14'!J120</f>
        <v xml:space="preserve"> </v>
      </c>
      <c r="D7807" s="2" t="e">
        <f t="shared" ref="D7807:D7816" si="128">IF(ISBLANK(B7807),"OK",IF(A7807-B7807=0,"OK","Error?"))</f>
        <v>#VALUE!</v>
      </c>
      <c r="E7807" s="4" t="s">
        <v>1939</v>
      </c>
    </row>
    <row r="7808" spans="1:5" x14ac:dyDescent="0.2">
      <c r="A7808">
        <v>7747</v>
      </c>
      <c r="B7808" s="138" t="str">
        <f>'Revenues 9-14'!K120</f>
        <v xml:space="preserve"> </v>
      </c>
      <c r="D7808" s="2" t="e">
        <f t="shared" si="128"/>
        <v>#VALUE!</v>
      </c>
      <c r="E7808" s="4" t="s">
        <v>1939</v>
      </c>
    </row>
    <row r="7809" spans="1:5" x14ac:dyDescent="0.2">
      <c r="A7809">
        <v>7748</v>
      </c>
      <c r="B7809" s="138">
        <f>'Revenues 9-14'!C261</f>
        <v>0</v>
      </c>
      <c r="D7809" s="2" t="str">
        <f t="shared" si="128"/>
        <v>Error?</v>
      </c>
      <c r="E7809" s="4" t="s">
        <v>1940</v>
      </c>
    </row>
    <row r="7810" spans="1:5" x14ac:dyDescent="0.2">
      <c r="A7810">
        <v>7749</v>
      </c>
      <c r="B7810" s="138" t="str">
        <f>'Revenues 9-14'!D261</f>
        <v xml:space="preserve"> </v>
      </c>
      <c r="D7810" s="2" t="e">
        <f t="shared" si="128"/>
        <v>#VALUE!</v>
      </c>
      <c r="E7810" s="4" t="s">
        <v>1940</v>
      </c>
    </row>
    <row r="7811" spans="1:5" x14ac:dyDescent="0.2">
      <c r="A7811">
        <v>7750</v>
      </c>
      <c r="B7811" s="138" t="str">
        <f>'Revenues 9-14'!F261</f>
        <v xml:space="preserve"> </v>
      </c>
      <c r="D7811" s="2" t="e">
        <f t="shared" si="128"/>
        <v>#VALUE!</v>
      </c>
      <c r="E7811" s="4" t="s">
        <v>1940</v>
      </c>
    </row>
    <row r="7812" spans="1:5" x14ac:dyDescent="0.2">
      <c r="A7812">
        <v>7751</v>
      </c>
      <c r="B7812" s="138" t="str">
        <f>'Revenues 9-14'!G261</f>
        <v xml:space="preserve"> </v>
      </c>
      <c r="D7812" s="2" t="e">
        <f t="shared" si="128"/>
        <v>#VALUE!</v>
      </c>
      <c r="E7812" s="4" t="s">
        <v>1940</v>
      </c>
    </row>
    <row r="7813" spans="1:5" x14ac:dyDescent="0.2">
      <c r="A7813">
        <v>7752</v>
      </c>
      <c r="B7813" s="138">
        <f>'Revenues 9-14'!C262</f>
        <v>0</v>
      </c>
      <c r="D7813" s="2" t="str">
        <f t="shared" si="128"/>
        <v>Error?</v>
      </c>
      <c r="E7813" s="4" t="s">
        <v>1941</v>
      </c>
    </row>
    <row r="7814" spans="1:5" x14ac:dyDescent="0.2">
      <c r="A7814">
        <v>7753</v>
      </c>
      <c r="B7814" s="138" t="str">
        <f>'Revenues 9-14'!D262</f>
        <v xml:space="preserve"> </v>
      </c>
      <c r="D7814" s="2" t="e">
        <f t="shared" si="128"/>
        <v>#VALUE!</v>
      </c>
      <c r="E7814" s="4" t="s">
        <v>1941</v>
      </c>
    </row>
    <row r="7815" spans="1:5" x14ac:dyDescent="0.2">
      <c r="A7815">
        <v>7754</v>
      </c>
      <c r="B7815" s="138" t="str">
        <f>'Revenues 9-14'!F262</f>
        <v xml:space="preserve"> </v>
      </c>
      <c r="D7815" s="2" t="e">
        <f t="shared" si="128"/>
        <v>#VALUE!</v>
      </c>
      <c r="E7815" s="4" t="s">
        <v>1941</v>
      </c>
    </row>
    <row r="7816" spans="1:5" x14ac:dyDescent="0.2">
      <c r="A7816">
        <v>7755</v>
      </c>
      <c r="B7816" s="138" t="str">
        <f>'Revenues 9-14'!G262</f>
        <v xml:space="preserve"> </v>
      </c>
      <c r="D7816" s="2" t="e">
        <f t="shared" si="128"/>
        <v>#VALUE!</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78" customWidth="1"/>
    <col min="2" max="2" width="2.28515625" style="1174" customWidth="1"/>
    <col min="3" max="3" width="9.140625" style="1178"/>
    <col min="4" max="4" width="13" style="1178" customWidth="1"/>
    <col min="5" max="5" width="16" style="1178" customWidth="1"/>
    <col min="6" max="6" width="4.140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85546875" style="1178" customWidth="1"/>
    <col min="13" max="13" width="2.7109375" style="1178" customWidth="1"/>
    <col min="14" max="14" width="13.140625" style="1178" customWidth="1"/>
    <col min="15" max="15" width="7.140625" style="1178" customWidth="1"/>
    <col min="16" max="16" width="7" style="1178" customWidth="1"/>
    <col min="17" max="17" width="9.7109375" style="1178" customWidth="1"/>
    <col min="18" max="19" width="9.85546875" style="1178" customWidth="1"/>
    <col min="20" max="16384" width="9.140625" style="1178"/>
  </cols>
  <sheetData>
    <row r="1" spans="1:29" x14ac:dyDescent="0.2">
      <c r="A1" s="1173"/>
      <c r="C1" s="1173"/>
      <c r="D1" s="1173"/>
      <c r="E1" s="1173"/>
      <c r="F1" s="1175"/>
      <c r="G1" s="1175"/>
      <c r="H1" s="1173"/>
      <c r="I1" s="1173"/>
      <c r="J1" s="1173"/>
      <c r="K1" s="1173"/>
      <c r="L1" s="1176"/>
      <c r="M1" s="1177"/>
    </row>
    <row r="2" spans="1:29" ht="13.5" customHeight="1" x14ac:dyDescent="0.2">
      <c r="A2" s="2410" t="s">
        <v>1191</v>
      </c>
      <c r="B2" s="2410"/>
      <c r="C2" s="2410"/>
      <c r="D2" s="2410"/>
      <c r="E2" s="2410"/>
      <c r="F2" s="2410"/>
      <c r="G2" s="2410"/>
      <c r="H2" s="2410"/>
      <c r="I2" s="2410"/>
      <c r="J2" s="2410"/>
      <c r="K2" s="2410"/>
      <c r="L2" s="2410"/>
    </row>
    <row r="3" spans="1:29" ht="13.5" customHeight="1" x14ac:dyDescent="0.2">
      <c r="A3" s="2396" t="s">
        <v>1190</v>
      </c>
      <c r="B3" s="2396"/>
      <c r="C3" s="2396"/>
      <c r="D3" s="2396"/>
      <c r="E3" s="2396"/>
      <c r="F3" s="2396"/>
      <c r="G3" s="2396"/>
      <c r="H3" s="2396"/>
      <c r="I3" s="2396"/>
      <c r="J3" s="2396"/>
      <c r="K3" s="2396"/>
      <c r="L3" s="2396"/>
    </row>
    <row r="4" spans="1:29" ht="13.5" customHeight="1" x14ac:dyDescent="0.2">
      <c r="A4" s="2410" t="s">
        <v>1987</v>
      </c>
      <c r="B4" s="2427"/>
      <c r="C4" s="2427"/>
      <c r="D4" s="2427"/>
      <c r="E4" s="2427"/>
      <c r="F4" s="2427"/>
      <c r="G4" s="2427"/>
      <c r="H4" s="2427"/>
      <c r="I4" s="2427"/>
      <c r="J4" s="2427"/>
      <c r="K4" s="2427"/>
      <c r="L4" s="2427"/>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1189</v>
      </c>
      <c r="B6" s="1183"/>
      <c r="C6" s="1184"/>
      <c r="D6" s="1184"/>
      <c r="E6" s="1185" t="s">
        <v>1188</v>
      </c>
      <c r="F6" s="1186"/>
      <c r="G6" s="1187" t="s">
        <v>1187</v>
      </c>
      <c r="H6" s="1184"/>
      <c r="I6" s="1184"/>
      <c r="J6" s="1184"/>
      <c r="K6" s="1184"/>
      <c r="L6" s="1188"/>
      <c r="V6" s="1181"/>
      <c r="W6" s="1181"/>
      <c r="X6" s="1181"/>
      <c r="Y6" s="1181"/>
      <c r="Z6" s="1181"/>
      <c r="AA6" s="1181"/>
      <c r="AB6" s="1181"/>
      <c r="AC6" s="1181"/>
    </row>
    <row r="7" spans="1:29" ht="16.5" customHeight="1" x14ac:dyDescent="0.2">
      <c r="A7" s="2390" t="str">
        <f>COVER!A17</f>
        <v>Okaw Area Vocational Center</v>
      </c>
      <c r="B7" s="2391"/>
      <c r="C7" s="2391"/>
      <c r="D7" s="2428"/>
      <c r="E7" s="2429">
        <f>COVER!A13</f>
        <v>3026203041</v>
      </c>
      <c r="F7" s="2430"/>
      <c r="G7" s="2397" t="str">
        <f>COVER!T23</f>
        <v>066-003845</v>
      </c>
      <c r="H7" s="2398"/>
      <c r="I7" s="2398"/>
      <c r="J7" s="2398"/>
      <c r="K7" s="2398"/>
      <c r="L7" s="2399"/>
    </row>
    <row r="8" spans="1:29" ht="13.5" customHeight="1" x14ac:dyDescent="0.2">
      <c r="A8" s="1182" t="s">
        <v>1517</v>
      </c>
      <c r="B8" s="1183"/>
      <c r="C8" s="1184"/>
      <c r="D8" s="1184"/>
      <c r="E8" s="1189"/>
      <c r="F8" s="1188"/>
      <c r="G8" s="1190" t="s">
        <v>1186</v>
      </c>
      <c r="H8" s="1191"/>
      <c r="I8" s="1191"/>
      <c r="J8" s="1191"/>
      <c r="K8" s="1191"/>
      <c r="L8" s="1192"/>
    </row>
    <row r="9" spans="1:29" ht="13.5" customHeight="1" x14ac:dyDescent="0.2">
      <c r="A9" s="2400"/>
      <c r="B9" s="2401"/>
      <c r="C9" s="2401"/>
      <c r="D9" s="2401"/>
      <c r="E9" s="2401"/>
      <c r="F9" s="2402"/>
      <c r="G9" s="2403" t="str">
        <f>COVER!T13</f>
        <v>MOSE, YOCKEY, BROWN &amp; KULL, LLC</v>
      </c>
      <c r="H9" s="2404"/>
      <c r="I9" s="2404"/>
      <c r="J9" s="2404"/>
      <c r="K9" s="2404"/>
      <c r="L9" s="2405"/>
    </row>
    <row r="10" spans="1:29" ht="13.5" customHeight="1" x14ac:dyDescent="0.2">
      <c r="A10" s="2387" t="str">
        <f>COVER!A38</f>
        <v>DR. JENNIFER GARRISON</v>
      </c>
      <c r="B10" s="2388"/>
      <c r="C10" s="2388"/>
      <c r="D10" s="2388"/>
      <c r="E10" s="2388"/>
      <c r="F10" s="2389"/>
      <c r="G10" s="2403" t="str">
        <f>COVER!T17</f>
        <v>230 N MORGAN, PO BOX 317</v>
      </c>
      <c r="H10" s="2416"/>
      <c r="I10" s="2416"/>
      <c r="J10" s="2416"/>
      <c r="K10" s="2416"/>
      <c r="L10" s="2417"/>
    </row>
    <row r="11" spans="1:29" ht="13.5" customHeight="1" x14ac:dyDescent="0.2">
      <c r="A11" s="1182" t="s">
        <v>1519</v>
      </c>
      <c r="B11" s="1183"/>
      <c r="C11" s="1184"/>
      <c r="D11" s="1189"/>
      <c r="E11" s="1184"/>
      <c r="F11" s="1188"/>
      <c r="G11" s="2403" t="str">
        <f>COVER!T19</f>
        <v>SHELBYVILLE</v>
      </c>
      <c r="H11" s="2416"/>
      <c r="I11" s="2416"/>
      <c r="J11" s="2416"/>
      <c r="K11" s="2416"/>
      <c r="L11" s="2417"/>
    </row>
    <row r="12" spans="1:29" ht="13.5" customHeight="1" x14ac:dyDescent="0.2">
      <c r="A12" s="2421" t="s">
        <v>1518</v>
      </c>
      <c r="B12" s="2422"/>
      <c r="C12" s="2422"/>
      <c r="D12" s="2422"/>
      <c r="E12" s="2422"/>
      <c r="F12" s="2423"/>
      <c r="G12" s="2418"/>
      <c r="H12" s="2419"/>
      <c r="I12" s="2419"/>
      <c r="J12" s="2419"/>
      <c r="K12" s="2419"/>
      <c r="L12" s="2420"/>
    </row>
    <row r="13" spans="1:29" ht="13.5" customHeight="1" x14ac:dyDescent="0.2">
      <c r="A13" s="2403"/>
      <c r="B13" s="2416"/>
      <c r="C13" s="2416"/>
      <c r="D13" s="2416"/>
      <c r="E13" s="2416"/>
      <c r="F13" s="2417"/>
      <c r="G13" s="2411" t="s">
        <v>1520</v>
      </c>
      <c r="H13" s="2412"/>
      <c r="I13" s="2424" t="str">
        <f>COVER!T25</f>
        <v>mybkcpas@consolidated.net</v>
      </c>
      <c r="J13" s="2425"/>
      <c r="K13" s="2425"/>
      <c r="L13" s="2426"/>
    </row>
    <row r="14" spans="1:29" ht="13.5" customHeight="1" x14ac:dyDescent="0.2">
      <c r="A14" s="2403" t="str">
        <f>COVER!A19</f>
        <v>1109 NORTH EIGHTH ST</v>
      </c>
      <c r="B14" s="2416"/>
      <c r="C14" s="2416"/>
      <c r="D14" s="2416"/>
      <c r="E14" s="2416"/>
      <c r="F14" s="2417"/>
      <c r="G14" s="1193" t="s">
        <v>1185</v>
      </c>
      <c r="H14" s="1191"/>
      <c r="I14" s="1191"/>
      <c r="J14" s="1191"/>
      <c r="K14" s="1191"/>
      <c r="L14" s="1192"/>
    </row>
    <row r="15" spans="1:29" ht="13.5" customHeight="1" x14ac:dyDescent="0.2">
      <c r="A15" s="2403" t="str">
        <f>COVER!A21</f>
        <v>VANDALIA</v>
      </c>
      <c r="B15" s="2416"/>
      <c r="C15" s="2416"/>
      <c r="D15" s="2416"/>
      <c r="E15" s="2416"/>
      <c r="F15" s="2417"/>
      <c r="G15" s="2413" t="str">
        <f>COVER!T15</f>
        <v>ROBIN R. YOCKEY</v>
      </c>
      <c r="H15" s="2414"/>
      <c r="I15" s="2414"/>
      <c r="J15" s="2414"/>
      <c r="K15" s="2414"/>
      <c r="L15" s="2415"/>
    </row>
    <row r="16" spans="1:29" ht="12.2" customHeight="1" x14ac:dyDescent="0.2">
      <c r="A16" s="2393">
        <f>COVER!A25</f>
        <v>62471</v>
      </c>
      <c r="B16" s="2394"/>
      <c r="C16" s="2394"/>
      <c r="D16" s="2394"/>
      <c r="E16" s="2394"/>
      <c r="F16" s="2395"/>
      <c r="G16" s="2406"/>
      <c r="H16" s="2407"/>
      <c r="I16" s="2407"/>
      <c r="J16" s="2407"/>
      <c r="K16" s="2407"/>
      <c r="L16" s="2408"/>
    </row>
    <row r="17" spans="1:13" ht="12.2" customHeight="1" x14ac:dyDescent="0.2">
      <c r="A17" s="2409"/>
      <c r="B17" s="2394"/>
      <c r="C17" s="2394"/>
      <c r="D17" s="2394"/>
      <c r="E17" s="2394"/>
      <c r="F17" s="2395"/>
      <c r="G17" s="1193" t="s">
        <v>1184</v>
      </c>
      <c r="H17" s="1191"/>
      <c r="I17" s="1191"/>
      <c r="J17" s="1191"/>
      <c r="K17" s="1195" t="s">
        <v>1183</v>
      </c>
      <c r="L17" s="1188"/>
      <c r="M17" s="1181"/>
    </row>
    <row r="18" spans="1:13" ht="12.2" customHeight="1" x14ac:dyDescent="0.2">
      <c r="A18" s="2387"/>
      <c r="B18" s="2388"/>
      <c r="C18" s="2388"/>
      <c r="D18" s="2388"/>
      <c r="E18" s="2388"/>
      <c r="F18" s="2389"/>
      <c r="G18" s="2390" t="str">
        <f>COVER!T21</f>
        <v>217-774-9587</v>
      </c>
      <c r="H18" s="2391"/>
      <c r="I18" s="2391"/>
      <c r="J18" s="2391"/>
      <c r="K18" s="2390" t="str">
        <f>COVER!X21</f>
        <v>217-774-9589</v>
      </c>
      <c r="L18" s="2392"/>
    </row>
    <row r="19" spans="1:13" ht="12.2" customHeight="1" x14ac:dyDescent="0.2">
      <c r="A19" s="1196"/>
      <c r="C19" s="1196"/>
      <c r="D19" s="1196"/>
      <c r="E19" s="1196"/>
      <c r="F19" s="1196"/>
      <c r="G19" s="1196"/>
      <c r="H19" s="1196"/>
      <c r="I19" s="1196"/>
      <c r="J19" s="1196"/>
      <c r="K19" s="1196"/>
      <c r="L19" s="1196"/>
    </row>
    <row r="20" spans="1:13" ht="12.2" customHeight="1" x14ac:dyDescent="0.2">
      <c r="A20" s="1196"/>
      <c r="C20" s="1196"/>
      <c r="D20" s="1196"/>
      <c r="E20" s="1196"/>
      <c r="F20" s="1196"/>
      <c r="G20" s="1196"/>
      <c r="H20" s="1196"/>
      <c r="I20" s="1196"/>
      <c r="J20" s="1196" t="s">
        <v>1169</v>
      </c>
      <c r="K20" s="1174" t="s">
        <v>1169</v>
      </c>
    </row>
    <row r="21" spans="1:13" ht="12.2" customHeight="1" x14ac:dyDescent="0.2">
      <c r="A21" s="1197" t="s">
        <v>1698</v>
      </c>
    </row>
    <row r="22" spans="1:13" ht="12.2" customHeight="1" x14ac:dyDescent="0.2">
      <c r="A22" s="1198"/>
    </row>
    <row r="23" spans="1:13" ht="12.2" customHeight="1" x14ac:dyDescent="0.2">
      <c r="A23" s="1198"/>
      <c r="B23" s="1199"/>
      <c r="C23" s="1200" t="s">
        <v>1182</v>
      </c>
    </row>
    <row r="24" spans="1:13" ht="10.15" customHeight="1" x14ac:dyDescent="0.2">
      <c r="A24" s="1198"/>
      <c r="C24" s="1200" t="s">
        <v>1181</v>
      </c>
    </row>
    <row r="25" spans="1:13" ht="9" customHeight="1" x14ac:dyDescent="0.2">
      <c r="B25" s="1201" t="s">
        <v>1169</v>
      </c>
      <c r="C25" s="1202"/>
    </row>
    <row r="26" spans="1:13" s="1196" customFormat="1" ht="12.2" customHeight="1" x14ac:dyDescent="0.2">
      <c r="B26" s="1199"/>
      <c r="C26" s="1200" t="s">
        <v>1699</v>
      </c>
    </row>
    <row r="27" spans="1:13" s="1196" customFormat="1" ht="9" customHeight="1" x14ac:dyDescent="0.2">
      <c r="B27" s="1201"/>
      <c r="C27" s="1200"/>
    </row>
    <row r="28" spans="1:13" s="1196" customFormat="1" ht="12.2" customHeight="1" x14ac:dyDescent="0.2">
      <c r="A28" s="1203"/>
      <c r="B28" s="1199"/>
      <c r="C28" s="1200" t="s">
        <v>1700</v>
      </c>
    </row>
    <row r="29" spans="1:13" s="1196" customFormat="1" ht="9" customHeight="1" x14ac:dyDescent="0.2">
      <c r="A29" s="1203"/>
      <c r="B29" s="1201"/>
      <c r="C29" s="1200"/>
    </row>
    <row r="30" spans="1:13" s="1196" customFormat="1" ht="12.2" customHeight="1" x14ac:dyDescent="0.2">
      <c r="B30" s="1199"/>
      <c r="C30" s="1200" t="s">
        <v>1562</v>
      </c>
      <c r="D30" s="1194"/>
      <c r="E30" s="1194"/>
    </row>
    <row r="31" spans="1:13" s="1196" customFormat="1" ht="9" customHeight="1" x14ac:dyDescent="0.2">
      <c r="B31" s="1201"/>
      <c r="C31" s="1200"/>
      <c r="D31" s="1194"/>
      <c r="E31" s="1194"/>
    </row>
    <row r="32" spans="1:13" s="1196" customFormat="1" ht="12.2" customHeight="1" x14ac:dyDescent="0.2">
      <c r="B32" s="1199"/>
      <c r="C32" s="1200" t="s">
        <v>1563</v>
      </c>
      <c r="D32" s="1194"/>
      <c r="E32" s="1194"/>
    </row>
    <row r="33" spans="1:8" s="1196" customFormat="1" ht="10.9" customHeight="1" x14ac:dyDescent="0.2">
      <c r="B33" s="1201"/>
      <c r="C33" s="1204" t="s">
        <v>1701</v>
      </c>
      <c r="D33" s="1194"/>
      <c r="E33" s="1194"/>
    </row>
    <row r="34" spans="1:8" ht="9" customHeight="1" x14ac:dyDescent="0.2">
      <c r="B34" s="1201"/>
      <c r="C34" s="1204"/>
    </row>
    <row r="35" spans="1:8" s="1196" customFormat="1" ht="13.5" customHeight="1" x14ac:dyDescent="0.2">
      <c r="B35" s="1199"/>
      <c r="C35" s="1200" t="s">
        <v>1564</v>
      </c>
    </row>
    <row r="36" spans="1:8" s="1196" customFormat="1" ht="10.9" customHeight="1" x14ac:dyDescent="0.2">
      <c r="B36" s="1201"/>
      <c r="C36" s="1204" t="s">
        <v>1565</v>
      </c>
    </row>
    <row r="37" spans="1:8" ht="9" customHeight="1" x14ac:dyDescent="0.2">
      <c r="B37" s="1201"/>
      <c r="C37" s="1204"/>
    </row>
    <row r="38" spans="1:8" s="1196" customFormat="1" ht="12.2" customHeight="1" x14ac:dyDescent="0.2">
      <c r="B38" s="1199"/>
      <c r="C38" s="1200" t="s">
        <v>1566</v>
      </c>
    </row>
    <row r="39" spans="1:8" ht="9" customHeight="1" x14ac:dyDescent="0.2">
      <c r="B39" s="1201"/>
      <c r="C39" s="1204"/>
    </row>
    <row r="40" spans="1:8" s="1196" customFormat="1" ht="13.5" customHeight="1" x14ac:dyDescent="0.2">
      <c r="B40" s="1199"/>
      <c r="C40" s="1200" t="s">
        <v>1567</v>
      </c>
    </row>
    <row r="41" spans="1:8" ht="9" customHeight="1" x14ac:dyDescent="0.2">
      <c r="A41" s="1205"/>
      <c r="B41" s="1201"/>
      <c r="C41" s="1204"/>
    </row>
    <row r="42" spans="1:8" s="1196" customFormat="1" ht="13.5" customHeight="1" x14ac:dyDescent="0.2">
      <c r="B42" s="1199"/>
      <c r="C42" s="1200" t="s">
        <v>1836</v>
      </c>
      <c r="D42" s="1194"/>
      <c r="E42" s="1194"/>
      <c r="F42" s="1194"/>
      <c r="G42" s="1194"/>
      <c r="H42" s="1194"/>
    </row>
    <row r="43" spans="1:8" s="1196" customFormat="1" ht="12.95" customHeight="1" x14ac:dyDescent="0.2">
      <c r="B43" s="1201"/>
      <c r="C43" s="1191"/>
      <c r="D43" s="1194"/>
      <c r="E43" s="1194"/>
      <c r="F43" s="1194"/>
      <c r="G43" s="1194"/>
      <c r="H43" s="1194"/>
    </row>
    <row r="44" spans="1:8" s="1196" customFormat="1" ht="13.5" customHeight="1" x14ac:dyDescent="0.2">
      <c r="A44" s="1197" t="s">
        <v>1180</v>
      </c>
      <c r="B44" s="1201"/>
      <c r="D44" s="1194"/>
      <c r="E44" s="1194"/>
      <c r="F44" s="1194"/>
      <c r="G44" s="1194"/>
      <c r="H44" s="1194"/>
    </row>
    <row r="45" spans="1:8" ht="12" customHeight="1" x14ac:dyDescent="0.2">
      <c r="B45" s="1201"/>
      <c r="D45" s="1206"/>
      <c r="E45" s="1206"/>
      <c r="F45" s="1206"/>
      <c r="G45" s="1206"/>
      <c r="H45" s="1206"/>
    </row>
    <row r="46" spans="1:8" s="1196" customFormat="1" ht="12.2" customHeight="1" x14ac:dyDescent="0.2">
      <c r="B46" s="1199"/>
      <c r="C46" s="1207" t="s">
        <v>1568</v>
      </c>
      <c r="D46" s="1194"/>
      <c r="E46" s="1194"/>
      <c r="F46" s="1194"/>
      <c r="G46" s="1194"/>
      <c r="H46" s="1194"/>
    </row>
    <row r="47" spans="1:8" ht="9" customHeight="1" x14ac:dyDescent="0.2"/>
    <row r="48" spans="1:8" ht="12.2" customHeight="1" x14ac:dyDescent="0.2">
      <c r="B48" s="1927"/>
      <c r="C48" s="1208" t="s">
        <v>1569</v>
      </c>
    </row>
    <row r="49" spans="1:12" ht="9" customHeight="1" x14ac:dyDescent="0.2"/>
    <row r="50" spans="1:12" ht="6" customHeight="1" x14ac:dyDescent="0.2">
      <c r="C50" s="1208"/>
    </row>
    <row r="51" spans="1:12" ht="12.2" customHeight="1" x14ac:dyDescent="0.2">
      <c r="A51" s="1206"/>
    </row>
    <row r="52" spans="1:12" ht="12.2" customHeight="1" x14ac:dyDescent="0.2"/>
    <row r="53" spans="1:12" ht="12.2" customHeight="1" x14ac:dyDescent="0.2"/>
    <row r="54" spans="1:12" ht="12.2" customHeight="1" x14ac:dyDescent="0.2"/>
    <row r="55" spans="1:12" ht="12.2" customHeight="1" x14ac:dyDescent="0.2">
      <c r="A55" s="1209"/>
    </row>
    <row r="58" spans="1:12" ht="12.75" customHeight="1" x14ac:dyDescent="0.2"/>
    <row r="59" spans="1:12" ht="36" customHeight="1" x14ac:dyDescent="0.2">
      <c r="L59" s="1176"/>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3" customWidth="1"/>
    <col min="2" max="2" width="2.7109375" style="1217" customWidth="1"/>
    <col min="3" max="3" width="3.28515625" style="1227" customWidth="1"/>
    <col min="4" max="4" width="97.7109375" style="1217" customWidth="1"/>
    <col min="5" max="5" width="4.140625" style="1217" customWidth="1"/>
    <col min="6" max="16384" width="10.7109375" style="1217"/>
  </cols>
  <sheetData>
    <row r="1" spans="1:11" s="1210" customFormat="1" ht="12.75" x14ac:dyDescent="0.2">
      <c r="A1" s="2431" t="str">
        <f>'Single Audit Cover'!A7</f>
        <v>Okaw Area Vocational Center</v>
      </c>
      <c r="B1" s="2427"/>
      <c r="C1" s="2427"/>
      <c r="D1" s="2427"/>
    </row>
    <row r="2" spans="1:11" s="1210" customFormat="1" ht="12.75" x14ac:dyDescent="0.2">
      <c r="A2" s="2432">
        <f>'Single Audit Cover'!E7</f>
        <v>3026203041</v>
      </c>
      <c r="B2" s="2433"/>
      <c r="C2" s="2433"/>
      <c r="D2" s="2433"/>
    </row>
    <row r="3" spans="1:11" s="1210" customFormat="1" ht="12.75" x14ac:dyDescent="0.2">
      <c r="A3" s="2431" t="s">
        <v>1513</v>
      </c>
      <c r="B3" s="2427"/>
      <c r="C3" s="2427"/>
      <c r="D3" s="2427"/>
    </row>
    <row r="4" spans="1:11" s="1210" customFormat="1" ht="4.5" customHeight="1" x14ac:dyDescent="0.2">
      <c r="A4" s="1211"/>
      <c r="B4" s="1212"/>
      <c r="C4" s="1212"/>
      <c r="D4" s="1212"/>
    </row>
    <row r="5" spans="1:11" x14ac:dyDescent="0.2">
      <c r="B5" s="1214" t="s">
        <v>1514</v>
      </c>
      <c r="C5" s="1215"/>
      <c r="D5" s="1216"/>
    </row>
    <row r="6" spans="1:11" x14ac:dyDescent="0.2">
      <c r="B6" s="1214" t="s">
        <v>1225</v>
      </c>
      <c r="C6" s="1215"/>
      <c r="D6" s="1216"/>
    </row>
    <row r="7" spans="1:11" x14ac:dyDescent="0.2">
      <c r="B7" s="1214" t="s">
        <v>1515</v>
      </c>
      <c r="C7" s="1215"/>
      <c r="D7" s="1216"/>
    </row>
    <row r="8" spans="1:11" ht="4.5" customHeight="1" x14ac:dyDescent="0.2">
      <c r="B8" s="1214"/>
      <c r="C8" s="1215"/>
      <c r="D8" s="1216"/>
    </row>
    <row r="9" spans="1:11" x14ac:dyDescent="0.2">
      <c r="B9" s="1218" t="s">
        <v>1224</v>
      </c>
      <c r="C9" s="1219"/>
      <c r="D9" s="1216"/>
    </row>
    <row r="10" spans="1:11" ht="4.5" customHeight="1" x14ac:dyDescent="0.2">
      <c r="B10" s="1218"/>
      <c r="C10" s="1219"/>
      <c r="D10" s="1216"/>
    </row>
    <row r="11" spans="1:11" x14ac:dyDescent="0.2">
      <c r="B11" s="1220"/>
      <c r="C11" s="1221">
        <v>1</v>
      </c>
      <c r="D11" s="1222" t="s">
        <v>1702</v>
      </c>
      <c r="E11" s="1223"/>
      <c r="F11" s="1223"/>
      <c r="G11" s="1223"/>
      <c r="H11" s="1223"/>
      <c r="I11" s="1223"/>
      <c r="J11" s="1223"/>
      <c r="K11" s="1223"/>
    </row>
    <row r="12" spans="1:11" ht="3" customHeight="1" x14ac:dyDescent="0.2">
      <c r="B12" s="1224"/>
      <c r="C12" s="1221"/>
      <c r="D12" s="1222"/>
      <c r="E12" s="1223"/>
      <c r="F12" s="1223"/>
      <c r="G12" s="1223"/>
      <c r="H12" s="1223"/>
      <c r="I12" s="1223"/>
      <c r="J12" s="1223"/>
      <c r="K12" s="1223"/>
    </row>
    <row r="13" spans="1:11" x14ac:dyDescent="0.2">
      <c r="B13" s="1220"/>
      <c r="C13" s="1221">
        <f>C11+1</f>
        <v>2</v>
      </c>
      <c r="D13" s="1225" t="s">
        <v>1703</v>
      </c>
      <c r="E13" s="1223"/>
      <c r="F13" s="1223"/>
      <c r="G13" s="1223"/>
      <c r="H13" s="1223"/>
      <c r="I13" s="1223"/>
      <c r="J13" s="1223"/>
      <c r="K13" s="1223"/>
    </row>
    <row r="14" spans="1:11" ht="3" customHeight="1" x14ac:dyDescent="0.2">
      <c r="B14" s="1224"/>
      <c r="C14" s="1221"/>
      <c r="D14" s="1225"/>
      <c r="E14" s="1223"/>
      <c r="F14" s="1223"/>
      <c r="G14" s="1223"/>
      <c r="H14" s="1223"/>
      <c r="I14" s="1223"/>
      <c r="J14" s="1223"/>
      <c r="K14" s="1223"/>
    </row>
    <row r="15" spans="1:11" x14ac:dyDescent="0.2">
      <c r="B15" s="1220"/>
      <c r="C15" s="1221">
        <f>C13+1</f>
        <v>3</v>
      </c>
      <c r="D15" s="1222" t="s">
        <v>1704</v>
      </c>
      <c r="E15" s="1223"/>
      <c r="F15" s="1223"/>
      <c r="G15" s="1223"/>
      <c r="H15" s="1223"/>
      <c r="I15" s="1223"/>
      <c r="J15" s="1223"/>
      <c r="K15" s="1223"/>
    </row>
    <row r="16" spans="1:11" ht="10.5" customHeight="1" x14ac:dyDescent="0.2">
      <c r="B16" s="1226"/>
      <c r="D16" s="1225" t="s">
        <v>1223</v>
      </c>
      <c r="E16" s="1223"/>
      <c r="F16" s="1223"/>
      <c r="G16" s="1223"/>
      <c r="H16" s="1223"/>
      <c r="I16" s="1223"/>
      <c r="J16" s="1223"/>
      <c r="K16" s="1223"/>
    </row>
    <row r="17" spans="1:11" ht="3" customHeight="1" x14ac:dyDescent="0.2">
      <c r="B17" s="1226"/>
      <c r="D17" s="1225"/>
      <c r="E17" s="1223"/>
      <c r="F17" s="1223"/>
      <c r="G17" s="1223"/>
      <c r="H17" s="1223"/>
      <c r="I17" s="1223"/>
      <c r="J17" s="1223"/>
      <c r="K17" s="1223"/>
    </row>
    <row r="18" spans="1:11" x14ac:dyDescent="0.2">
      <c r="B18" s="1220"/>
      <c r="C18" s="1221">
        <f>C15+1</f>
        <v>4</v>
      </c>
      <c r="D18" s="1228" t="s">
        <v>1705</v>
      </c>
      <c r="E18" s="1223"/>
      <c r="F18" s="1223"/>
      <c r="G18" s="1223"/>
      <c r="H18" s="1223"/>
      <c r="I18" s="1223"/>
      <c r="J18" s="1223"/>
      <c r="K18" s="1223"/>
    </row>
    <row r="19" spans="1:11" ht="9.75" customHeight="1" x14ac:dyDescent="0.2">
      <c r="A19" s="1217"/>
      <c r="B19" s="1226"/>
      <c r="D19" s="1225" t="s">
        <v>1222</v>
      </c>
      <c r="E19" s="1223"/>
      <c r="F19" s="1223"/>
      <c r="G19" s="1223"/>
      <c r="H19" s="1223"/>
      <c r="I19" s="1223"/>
      <c r="J19" s="1223"/>
      <c r="K19" s="1223"/>
    </row>
    <row r="20" spans="1:11" ht="3" customHeight="1" x14ac:dyDescent="0.2">
      <c r="A20" s="1217"/>
      <c r="B20" s="1226"/>
      <c r="D20" s="1225"/>
      <c r="E20" s="1223"/>
      <c r="F20" s="1223"/>
      <c r="G20" s="1223"/>
      <c r="H20" s="1223"/>
      <c r="I20" s="1223"/>
      <c r="J20" s="1223"/>
      <c r="K20" s="1223"/>
    </row>
    <row r="21" spans="1:11" x14ac:dyDescent="0.2">
      <c r="A21" s="1217"/>
      <c r="B21" s="1220"/>
      <c r="C21" s="1221">
        <f>C18+1</f>
        <v>5</v>
      </c>
      <c r="D21" s="1225" t="s">
        <v>1221</v>
      </c>
      <c r="E21" s="1223"/>
      <c r="F21" s="1223"/>
      <c r="G21" s="1223"/>
      <c r="H21" s="1223"/>
      <c r="I21" s="1223"/>
      <c r="J21" s="1223"/>
      <c r="K21" s="1223"/>
    </row>
    <row r="22" spans="1:11" ht="10.5" customHeight="1" x14ac:dyDescent="0.2">
      <c r="A22" s="1217"/>
      <c r="B22" s="1226"/>
      <c r="D22" s="1225" t="s">
        <v>1220</v>
      </c>
      <c r="E22" s="1223"/>
      <c r="F22" s="1223"/>
      <c r="G22" s="1223"/>
      <c r="H22" s="1223"/>
      <c r="I22" s="1223"/>
      <c r="J22" s="1223"/>
      <c r="K22" s="1223"/>
    </row>
    <row r="23" spans="1:11" ht="3" customHeight="1" x14ac:dyDescent="0.2">
      <c r="A23" s="1217"/>
      <c r="B23" s="1226"/>
      <c r="D23" s="1225"/>
      <c r="E23" s="1223"/>
      <c r="F23" s="1223"/>
      <c r="G23" s="1223"/>
      <c r="H23" s="1223"/>
      <c r="I23" s="1223"/>
      <c r="J23" s="1223"/>
      <c r="K23" s="1223"/>
    </row>
    <row r="24" spans="1:11" x14ac:dyDescent="0.2">
      <c r="A24" s="1217"/>
      <c r="B24" s="1220"/>
      <c r="C24" s="1221">
        <f>C21+1</f>
        <v>6</v>
      </c>
      <c r="D24" s="1229" t="s">
        <v>1726</v>
      </c>
      <c r="E24" s="1223"/>
      <c r="F24" s="1223"/>
      <c r="G24" s="1223"/>
      <c r="H24" s="1223"/>
      <c r="I24" s="1223"/>
      <c r="J24" s="1223"/>
      <c r="K24" s="1223"/>
    </row>
    <row r="25" spans="1:11" x14ac:dyDescent="0.2">
      <c r="A25" s="1217"/>
      <c r="B25" s="1226"/>
      <c r="D25" s="1225" t="s">
        <v>1706</v>
      </c>
      <c r="E25" s="1223"/>
      <c r="F25" s="1223"/>
      <c r="G25" s="1223"/>
      <c r="H25" s="1223"/>
      <c r="I25" s="1223"/>
      <c r="J25" s="1223"/>
      <c r="K25" s="1223"/>
    </row>
    <row r="26" spans="1:11" x14ac:dyDescent="0.2">
      <c r="A26" s="1217"/>
      <c r="B26" s="1226"/>
      <c r="D26" s="1230" t="s">
        <v>1707</v>
      </c>
      <c r="E26" s="1223"/>
      <c r="F26" s="1223"/>
      <c r="G26" s="1223"/>
      <c r="H26" s="1223"/>
      <c r="I26" s="1223"/>
      <c r="J26" s="1223"/>
      <c r="K26" s="1223"/>
    </row>
    <row r="27" spans="1:11" ht="3" customHeight="1" x14ac:dyDescent="0.2">
      <c r="A27" s="1217"/>
      <c r="B27" s="1226"/>
      <c r="D27" s="1230"/>
      <c r="E27" s="1223"/>
      <c r="F27" s="1223"/>
      <c r="G27" s="1223"/>
      <c r="H27" s="1223"/>
      <c r="I27" s="1223"/>
      <c r="J27" s="1223"/>
      <c r="K27" s="1223"/>
    </row>
    <row r="28" spans="1:11" x14ac:dyDescent="0.2">
      <c r="A28" s="1217"/>
      <c r="B28" s="1220"/>
      <c r="C28" s="1227">
        <f>C24+1</f>
        <v>7</v>
      </c>
      <c r="D28" s="1230" t="s">
        <v>1570</v>
      </c>
      <c r="E28" s="1223"/>
      <c r="F28" s="1223"/>
      <c r="G28" s="1223"/>
      <c r="H28" s="1223"/>
      <c r="I28" s="1223"/>
      <c r="J28" s="1223"/>
      <c r="K28" s="1223"/>
    </row>
    <row r="29" spans="1:11" ht="10.5" customHeight="1" x14ac:dyDescent="0.2">
      <c r="A29" s="1217"/>
      <c r="D29" s="1231" t="s">
        <v>1571</v>
      </c>
    </row>
    <row r="30" spans="1:11" ht="6" customHeight="1" x14ac:dyDescent="0.2">
      <c r="A30" s="1217"/>
      <c r="D30" s="1216"/>
    </row>
    <row r="31" spans="1:11" x14ac:dyDescent="0.2">
      <c r="A31" s="1217"/>
      <c r="B31" s="1218" t="s">
        <v>1219</v>
      </c>
      <c r="C31" s="1219"/>
      <c r="D31" s="1216"/>
    </row>
    <row r="32" spans="1:11" ht="4.5" customHeight="1" x14ac:dyDescent="0.2">
      <c r="A32" s="1217"/>
      <c r="B32" s="1218"/>
      <c r="C32" s="1219"/>
      <c r="D32" s="1216"/>
    </row>
    <row r="33" spans="1:5" x14ac:dyDescent="0.2">
      <c r="A33" s="1217"/>
      <c r="B33" s="1220"/>
      <c r="C33" s="1221">
        <v>8</v>
      </c>
      <c r="D33" s="1232" t="s">
        <v>1218</v>
      </c>
    </row>
    <row r="34" spans="1:5" ht="10.5" customHeight="1" x14ac:dyDescent="0.2">
      <c r="A34" s="1217"/>
      <c r="B34" s="1233"/>
      <c r="C34" s="1221"/>
      <c r="D34" s="1232" t="s">
        <v>1572</v>
      </c>
    </row>
    <row r="35" spans="1:5" ht="3" customHeight="1" x14ac:dyDescent="0.2">
      <c r="A35" s="1217"/>
      <c r="B35" s="1226"/>
      <c r="D35" s="1216"/>
    </row>
    <row r="36" spans="1:5" x14ac:dyDescent="0.2">
      <c r="A36" s="1217"/>
      <c r="B36" s="1220"/>
      <c r="C36" s="1221">
        <f>C33+1</f>
        <v>9</v>
      </c>
      <c r="D36" s="1232" t="s">
        <v>1217</v>
      </c>
    </row>
    <row r="37" spans="1:5" ht="10.5" customHeight="1" x14ac:dyDescent="0.2">
      <c r="A37" s="1217"/>
      <c r="B37" s="1226"/>
      <c r="D37" s="1232" t="s">
        <v>1572</v>
      </c>
    </row>
    <row r="38" spans="1:5" ht="3" customHeight="1" x14ac:dyDescent="0.2">
      <c r="A38" s="1217"/>
      <c r="B38" s="1234"/>
      <c r="C38" s="1235"/>
      <c r="D38" s="1216"/>
    </row>
    <row r="39" spans="1:5" x14ac:dyDescent="0.2">
      <c r="A39" s="1217"/>
      <c r="B39" s="1236"/>
      <c r="C39" s="1227">
        <f>C36+1</f>
        <v>10</v>
      </c>
      <c r="D39" s="1216" t="s">
        <v>1216</v>
      </c>
    </row>
    <row r="40" spans="1:5" ht="10.5" customHeight="1" x14ac:dyDescent="0.2">
      <c r="A40" s="1217"/>
      <c r="B40" s="1237"/>
      <c r="C40" s="1235"/>
      <c r="D40" s="1216" t="s">
        <v>1573</v>
      </c>
    </row>
    <row r="41" spans="1:5" ht="3" customHeight="1" x14ac:dyDescent="0.2">
      <c r="A41" s="1217"/>
      <c r="B41" s="1234"/>
      <c r="C41" s="1235"/>
      <c r="D41" s="1216"/>
    </row>
    <row r="42" spans="1:5" ht="10.5" customHeight="1" x14ac:dyDescent="0.2">
      <c r="A42" s="1217"/>
      <c r="B42" s="1236"/>
      <c r="C42" s="1227">
        <v>11</v>
      </c>
      <c r="D42" s="1238" t="s">
        <v>1574</v>
      </c>
      <c r="E42" s="312"/>
    </row>
    <row r="43" spans="1:5" ht="3" customHeight="1" x14ac:dyDescent="0.2">
      <c r="A43" s="1217"/>
      <c r="B43" s="1234"/>
      <c r="C43" s="1235"/>
      <c r="D43" s="1216"/>
    </row>
    <row r="44" spans="1:5" x14ac:dyDescent="0.2">
      <c r="A44" s="1217"/>
      <c r="B44" s="1220"/>
      <c r="C44" s="1221">
        <f>C42+1</f>
        <v>12</v>
      </c>
      <c r="D44" s="1232" t="s">
        <v>1215</v>
      </c>
    </row>
    <row r="45" spans="1:5" ht="10.5" customHeight="1" x14ac:dyDescent="0.2">
      <c r="A45" s="1217"/>
      <c r="B45" s="1233"/>
      <c r="C45" s="1221"/>
      <c r="D45" s="1232" t="s">
        <v>1214</v>
      </c>
    </row>
    <row r="46" spans="1:5" ht="10.5" customHeight="1" x14ac:dyDescent="0.2">
      <c r="A46" s="1217"/>
      <c r="B46" s="1234"/>
      <c r="C46" s="1235"/>
      <c r="D46" s="1232" t="s">
        <v>1213</v>
      </c>
    </row>
    <row r="47" spans="1:5" ht="3" customHeight="1" x14ac:dyDescent="0.2">
      <c r="A47" s="1217"/>
      <c r="B47" s="1234"/>
      <c r="C47" s="1235"/>
      <c r="D47" s="1232"/>
    </row>
    <row r="48" spans="1:5" x14ac:dyDescent="0.2">
      <c r="A48" s="1217"/>
      <c r="B48" s="1220"/>
      <c r="C48" s="1221">
        <f>C44+1</f>
        <v>13</v>
      </c>
      <c r="D48" s="1232" t="s">
        <v>1575</v>
      </c>
    </row>
    <row r="49" spans="1:4" ht="3" customHeight="1" x14ac:dyDescent="0.2">
      <c r="A49" s="1217"/>
      <c r="B49" s="1224"/>
      <c r="C49" s="1221"/>
      <c r="D49" s="1232"/>
    </row>
    <row r="50" spans="1:4" x14ac:dyDescent="0.2">
      <c r="A50" s="1217"/>
      <c r="B50" s="1220"/>
      <c r="C50" s="1221">
        <f>C48+1</f>
        <v>14</v>
      </c>
      <c r="D50" s="1232" t="s">
        <v>1212</v>
      </c>
    </row>
    <row r="51" spans="1:4" ht="3" customHeight="1" x14ac:dyDescent="0.2">
      <c r="A51" s="1217"/>
      <c r="B51" s="1224"/>
      <c r="C51" s="1221"/>
      <c r="D51" s="1232"/>
    </row>
    <row r="52" spans="1:4" x14ac:dyDescent="0.2">
      <c r="A52" s="1217"/>
      <c r="B52" s="1220"/>
      <c r="C52" s="1221">
        <f>C50+1</f>
        <v>15</v>
      </c>
      <c r="D52" s="1232" t="s">
        <v>1211</v>
      </c>
    </row>
    <row r="53" spans="1:4" ht="3" customHeight="1" x14ac:dyDescent="0.2">
      <c r="A53" s="1217"/>
      <c r="B53" s="1224"/>
      <c r="C53" s="1221"/>
      <c r="D53" s="1232"/>
    </row>
    <row r="54" spans="1:4" x14ac:dyDescent="0.2">
      <c r="A54" s="1217"/>
      <c r="B54" s="1220"/>
      <c r="C54" s="1221">
        <f>C52+1</f>
        <v>16</v>
      </c>
      <c r="D54" s="1232" t="s">
        <v>1210</v>
      </c>
    </row>
    <row r="55" spans="1:4" ht="3" customHeight="1" x14ac:dyDescent="0.2">
      <c r="A55" s="1217"/>
      <c r="B55" s="1224"/>
      <c r="C55" s="1221"/>
      <c r="D55" s="1232"/>
    </row>
    <row r="56" spans="1:4" x14ac:dyDescent="0.2">
      <c r="A56" s="1217"/>
      <c r="B56" s="1220"/>
      <c r="C56" s="1221">
        <f>C54+1</f>
        <v>17</v>
      </c>
      <c r="D56" s="1216" t="s">
        <v>1708</v>
      </c>
    </row>
    <row r="57" spans="1:4" ht="10.5" customHeight="1" x14ac:dyDescent="0.2">
      <c r="A57" s="1217"/>
      <c r="D57" s="1232" t="s">
        <v>1709</v>
      </c>
    </row>
    <row r="58" spans="1:4" x14ac:dyDescent="0.2">
      <c r="A58" s="1217"/>
      <c r="C58" s="1239"/>
      <c r="D58" s="1232" t="s">
        <v>1710</v>
      </c>
    </row>
    <row r="59" spans="1:4" ht="10.5" customHeight="1" x14ac:dyDescent="0.2">
      <c r="A59" s="1217"/>
      <c r="D59" s="1216" t="s">
        <v>1209</v>
      </c>
    </row>
    <row r="60" spans="1:4" ht="10.5" customHeight="1" x14ac:dyDescent="0.2">
      <c r="A60" s="1217"/>
      <c r="D60" s="1240" t="s">
        <v>1599</v>
      </c>
    </row>
    <row r="61" spans="1:4" ht="10.5" customHeight="1" x14ac:dyDescent="0.2">
      <c r="A61" s="1217"/>
      <c r="C61" s="1239"/>
      <c r="D61" s="1232" t="s">
        <v>1711</v>
      </c>
    </row>
    <row r="62" spans="1:4" ht="10.5" customHeight="1" x14ac:dyDescent="0.2">
      <c r="A62" s="1217"/>
      <c r="D62" s="1241" t="s">
        <v>1208</v>
      </c>
    </row>
    <row r="63" spans="1:4" ht="10.5" customHeight="1" x14ac:dyDescent="0.2">
      <c r="A63" s="1217"/>
      <c r="D63" s="1216" t="s">
        <v>1576</v>
      </c>
    </row>
    <row r="64" spans="1:4" ht="10.5" customHeight="1" x14ac:dyDescent="0.2">
      <c r="A64" s="1217"/>
      <c r="D64" s="1240" t="s">
        <v>1598</v>
      </c>
    </row>
    <row r="65" spans="1:4" x14ac:dyDescent="0.2">
      <c r="A65" s="1217"/>
      <c r="C65" s="1239"/>
      <c r="D65" s="1232" t="s">
        <v>1712</v>
      </c>
    </row>
    <row r="66" spans="1:4" ht="10.5" customHeight="1" x14ac:dyDescent="0.2">
      <c r="A66" s="1217"/>
      <c r="D66" s="1242" t="s">
        <v>1207</v>
      </c>
    </row>
    <row r="67" spans="1:4" ht="10.5" customHeight="1" x14ac:dyDescent="0.2">
      <c r="A67" s="1217"/>
      <c r="D67" s="1216" t="s">
        <v>1577</v>
      </c>
    </row>
    <row r="68" spans="1:4" ht="10.5" customHeight="1" x14ac:dyDescent="0.2">
      <c r="A68" s="1217"/>
      <c r="D68" s="1240" t="s">
        <v>1598</v>
      </c>
    </row>
    <row r="69" spans="1:4" ht="10.5" customHeight="1" x14ac:dyDescent="0.2">
      <c r="A69" s="1217"/>
      <c r="C69" s="1239"/>
      <c r="D69" s="1232" t="s">
        <v>1713</v>
      </c>
    </row>
    <row r="70" spans="1:4" x14ac:dyDescent="0.2">
      <c r="A70" s="1217"/>
      <c r="D70" s="1241" t="s">
        <v>1206</v>
      </c>
    </row>
    <row r="71" spans="1:4" ht="3" customHeight="1" x14ac:dyDescent="0.2">
      <c r="A71" s="1217"/>
      <c r="D71" s="1216"/>
    </row>
    <row r="72" spans="1:4" x14ac:dyDescent="0.2">
      <c r="A72" s="1217"/>
      <c r="B72" s="1220"/>
      <c r="C72" s="1221">
        <f>C56+1</f>
        <v>18</v>
      </c>
      <c r="D72" s="1242" t="s">
        <v>1714</v>
      </c>
    </row>
    <row r="73" spans="1:4" ht="3" customHeight="1" x14ac:dyDescent="0.2">
      <c r="A73" s="1217"/>
      <c r="B73" s="1224"/>
      <c r="C73" s="1221"/>
      <c r="D73" s="1242"/>
    </row>
    <row r="74" spans="1:4" x14ac:dyDescent="0.2">
      <c r="A74" s="1217"/>
      <c r="B74" s="1220"/>
      <c r="C74" s="1221">
        <f>C72+1</f>
        <v>19</v>
      </c>
      <c r="D74" s="1232" t="s">
        <v>1205</v>
      </c>
    </row>
    <row r="75" spans="1:4" ht="3" customHeight="1" x14ac:dyDescent="0.2">
      <c r="A75" s="1217"/>
      <c r="B75" s="1224"/>
      <c r="C75" s="1221"/>
      <c r="D75" s="1232"/>
    </row>
    <row r="76" spans="1:4" x14ac:dyDescent="0.2">
      <c r="A76" s="1217"/>
      <c r="B76" s="1220"/>
      <c r="C76" s="1221">
        <f>C74+1</f>
        <v>20</v>
      </c>
      <c r="D76" s="1243" t="s">
        <v>1715</v>
      </c>
    </row>
    <row r="77" spans="1:4" ht="3" customHeight="1" x14ac:dyDescent="0.2">
      <c r="A77" s="1217"/>
      <c r="B77" s="1224"/>
      <c r="C77" s="1221"/>
      <c r="D77" s="1243"/>
    </row>
    <row r="78" spans="1:4" x14ac:dyDescent="0.2">
      <c r="A78" s="1217"/>
      <c r="B78" s="1220"/>
      <c r="C78" s="1221">
        <f>C76+1</f>
        <v>21</v>
      </c>
      <c r="D78" s="1216" t="s">
        <v>1716</v>
      </c>
    </row>
    <row r="79" spans="1:4" ht="3" customHeight="1" x14ac:dyDescent="0.2">
      <c r="A79" s="1217"/>
      <c r="B79" s="1224"/>
      <c r="C79" s="1221"/>
      <c r="D79" s="1216"/>
    </row>
    <row r="80" spans="1:4" x14ac:dyDescent="0.2">
      <c r="A80" s="1217"/>
      <c r="B80" s="1220"/>
      <c r="C80" s="1221">
        <f>C78+1</f>
        <v>22</v>
      </c>
      <c r="D80" s="1244" t="s">
        <v>1717</v>
      </c>
    </row>
    <row r="81" spans="1:4" ht="3" customHeight="1" x14ac:dyDescent="0.2">
      <c r="A81" s="1217"/>
      <c r="B81" s="1224"/>
      <c r="C81" s="1221"/>
      <c r="D81" s="1244"/>
    </row>
    <row r="82" spans="1:4" x14ac:dyDescent="0.2">
      <c r="A82" s="1217"/>
      <c r="B82" s="1220"/>
      <c r="C82" s="1221">
        <f>C80+1</f>
        <v>23</v>
      </c>
      <c r="D82" s="1243" t="s">
        <v>1718</v>
      </c>
    </row>
    <row r="83" spans="1:4" ht="10.5" customHeight="1" x14ac:dyDescent="0.2">
      <c r="A83" s="1217"/>
      <c r="B83" s="1226"/>
      <c r="D83" s="1232" t="s">
        <v>1204</v>
      </c>
    </row>
    <row r="84" spans="1:4" ht="3" customHeight="1" x14ac:dyDescent="0.2">
      <c r="A84" s="1217"/>
      <c r="B84" s="1226"/>
      <c r="D84" s="1232"/>
    </row>
    <row r="85" spans="1:4" x14ac:dyDescent="0.2">
      <c r="A85" s="1217"/>
      <c r="B85" s="1220"/>
      <c r="C85" s="1221">
        <f>C82+1</f>
        <v>24</v>
      </c>
      <c r="D85" s="1232" t="s">
        <v>1203</v>
      </c>
    </row>
    <row r="86" spans="1:4" ht="3" customHeight="1" x14ac:dyDescent="0.2">
      <c r="A86" s="1217"/>
      <c r="B86" s="1224"/>
      <c r="C86" s="1221"/>
      <c r="D86" s="1232"/>
    </row>
    <row r="87" spans="1:4" x14ac:dyDescent="0.2">
      <c r="A87" s="1217"/>
      <c r="B87" s="1220"/>
      <c r="C87" s="1221">
        <f>C85+1</f>
        <v>25</v>
      </c>
      <c r="D87" s="1232" t="s">
        <v>1202</v>
      </c>
    </row>
    <row r="88" spans="1:4" ht="3" customHeight="1" x14ac:dyDescent="0.2">
      <c r="A88" s="1217"/>
      <c r="B88" s="1224"/>
      <c r="C88" s="1221"/>
      <c r="D88" s="1232"/>
    </row>
    <row r="89" spans="1:4" x14ac:dyDescent="0.2">
      <c r="A89" s="1217"/>
      <c r="B89" s="1220"/>
      <c r="C89" s="1221">
        <f>C87+1</f>
        <v>26</v>
      </c>
      <c r="D89" s="1232" t="s">
        <v>1201</v>
      </c>
    </row>
    <row r="90" spans="1:4" ht="3" customHeight="1" x14ac:dyDescent="0.2">
      <c r="A90" s="1217"/>
      <c r="B90" s="1224"/>
      <c r="C90" s="1221"/>
      <c r="D90" s="1232"/>
    </row>
    <row r="91" spans="1:4" x14ac:dyDescent="0.2">
      <c r="A91" s="1217"/>
      <c r="B91" s="1220"/>
      <c r="C91" s="1221">
        <f>C89+1</f>
        <v>27</v>
      </c>
      <c r="D91" s="1232" t="s">
        <v>1719</v>
      </c>
    </row>
    <row r="92" spans="1:4" x14ac:dyDescent="0.2">
      <c r="A92" s="1217"/>
      <c r="B92" s="1245"/>
      <c r="C92" s="1239"/>
      <c r="D92" s="1232" t="s">
        <v>1200</v>
      </c>
    </row>
    <row r="93" spans="1:4" ht="4.5" customHeight="1" x14ac:dyDescent="0.2">
      <c r="A93" s="1217"/>
      <c r="D93" s="1216"/>
    </row>
    <row r="94" spans="1:4" x14ac:dyDescent="0.2">
      <c r="A94" s="1217"/>
      <c r="B94" s="1218" t="s">
        <v>1578</v>
      </c>
      <c r="C94" s="1219"/>
      <c r="D94" s="1216"/>
    </row>
    <row r="95" spans="1:4" ht="4.5" customHeight="1" x14ac:dyDescent="0.2">
      <c r="A95" s="1217"/>
      <c r="B95" s="1218"/>
      <c r="C95" s="1219"/>
      <c r="D95" s="1216"/>
    </row>
    <row r="96" spans="1:4" x14ac:dyDescent="0.2">
      <c r="A96" s="1217"/>
      <c r="B96" s="1220"/>
      <c r="C96" s="1221">
        <f>C91+1</f>
        <v>28</v>
      </c>
      <c r="D96" s="1232" t="s">
        <v>1720</v>
      </c>
    </row>
    <row r="97" spans="1:4" ht="3" customHeight="1" x14ac:dyDescent="0.2">
      <c r="A97" s="1217"/>
      <c r="B97" s="1224"/>
      <c r="C97" s="1221"/>
      <c r="D97" s="1232"/>
    </row>
    <row r="98" spans="1:4" x14ac:dyDescent="0.2">
      <c r="A98" s="1217"/>
      <c r="B98" s="1220"/>
      <c r="C98" s="1221">
        <f>C96+1</f>
        <v>29</v>
      </c>
      <c r="D98" s="1246" t="s">
        <v>1721</v>
      </c>
    </row>
    <row r="99" spans="1:4" ht="3" customHeight="1" x14ac:dyDescent="0.2">
      <c r="A99" s="1217"/>
      <c r="B99" s="1224"/>
      <c r="C99" s="1221"/>
      <c r="D99" s="1246"/>
    </row>
    <row r="100" spans="1:4" x14ac:dyDescent="0.2">
      <c r="A100" s="1217"/>
      <c r="B100" s="1220"/>
      <c r="C100" s="1221">
        <f>C98+1</f>
        <v>30</v>
      </c>
      <c r="D100" s="1232" t="s">
        <v>1722</v>
      </c>
    </row>
    <row r="101" spans="1:4" ht="3" customHeight="1" x14ac:dyDescent="0.2">
      <c r="A101" s="1217"/>
      <c r="B101" s="1224"/>
      <c r="C101" s="1221"/>
      <c r="D101" s="1247"/>
    </row>
    <row r="102" spans="1:4" x14ac:dyDescent="0.2">
      <c r="A102" s="1217"/>
      <c r="B102" s="1220"/>
      <c r="C102" s="1221">
        <f>C100+1</f>
        <v>31</v>
      </c>
      <c r="D102" s="1232" t="s">
        <v>1579</v>
      </c>
    </row>
    <row r="103" spans="1:4" ht="4.5" customHeight="1" x14ac:dyDescent="0.2">
      <c r="A103" s="1217"/>
      <c r="B103" s="312"/>
      <c r="C103" s="1221"/>
      <c r="D103" s="1232"/>
    </row>
    <row r="104" spans="1:4" ht="14.1" customHeight="1" x14ac:dyDescent="0.2">
      <c r="A104" s="1217"/>
      <c r="B104" s="1248" t="s">
        <v>1199</v>
      </c>
    </row>
    <row r="105" spans="1:4" ht="4.5" customHeight="1" x14ac:dyDescent="0.2">
      <c r="A105" s="1217"/>
      <c r="B105" s="1248"/>
    </row>
    <row r="106" spans="1:4" x14ac:dyDescent="0.2">
      <c r="A106" s="1217"/>
      <c r="B106" s="1220"/>
      <c r="C106" s="1221">
        <f>C102+1</f>
        <v>32</v>
      </c>
      <c r="D106" s="1216" t="s">
        <v>1580</v>
      </c>
    </row>
    <row r="107" spans="1:4" ht="3" customHeight="1" x14ac:dyDescent="0.2">
      <c r="A107" s="1217"/>
      <c r="B107" s="1224"/>
      <c r="C107" s="1221"/>
      <c r="D107" s="1216"/>
    </row>
    <row r="108" spans="1:4" x14ac:dyDescent="0.2">
      <c r="A108" s="1217"/>
      <c r="B108" s="1220"/>
      <c r="C108" s="1221">
        <v>33</v>
      </c>
      <c r="D108" s="1216" t="s">
        <v>1723</v>
      </c>
    </row>
    <row r="109" spans="1:4" ht="3" customHeight="1" x14ac:dyDescent="0.2">
      <c r="A109" s="1217"/>
      <c r="B109" s="1224"/>
      <c r="C109" s="1221"/>
      <c r="D109" s="1216"/>
    </row>
    <row r="110" spans="1:4" x14ac:dyDescent="0.2">
      <c r="A110" s="1217"/>
      <c r="B110" s="1220"/>
      <c r="C110" s="1221">
        <f>C108+1</f>
        <v>34</v>
      </c>
      <c r="D110" s="1216" t="s">
        <v>1198</v>
      </c>
    </row>
    <row r="111" spans="1:4" ht="3" customHeight="1" x14ac:dyDescent="0.2">
      <c r="A111" s="1217"/>
      <c r="B111" s="1224"/>
      <c r="C111" s="1221"/>
      <c r="D111" s="1216"/>
    </row>
    <row r="112" spans="1:4" x14ac:dyDescent="0.2">
      <c r="A112" s="1217"/>
      <c r="B112" s="1220"/>
      <c r="C112" s="1221">
        <f>C110+1</f>
        <v>35</v>
      </c>
      <c r="D112" s="1216" t="s">
        <v>1197</v>
      </c>
    </row>
    <row r="113" spans="1:4" ht="11.25" customHeight="1" x14ac:dyDescent="0.2">
      <c r="A113" s="1217"/>
      <c r="B113" s="1249"/>
      <c r="C113" s="1221"/>
      <c r="D113" s="1250" t="s">
        <v>1196</v>
      </c>
    </row>
    <row r="114" spans="1:4" ht="3" customHeight="1" x14ac:dyDescent="0.2">
      <c r="A114" s="1217"/>
      <c r="B114" s="1251"/>
      <c r="C114" s="1221"/>
      <c r="D114" s="1250"/>
    </row>
    <row r="115" spans="1:4" x14ac:dyDescent="0.2">
      <c r="A115" s="1217"/>
      <c r="B115" s="1220"/>
      <c r="C115" s="1221">
        <f>C112+1</f>
        <v>36</v>
      </c>
      <c r="D115" s="1232" t="s">
        <v>1195</v>
      </c>
    </row>
    <row r="116" spans="1:4" ht="3" customHeight="1" x14ac:dyDescent="0.2">
      <c r="A116" s="1217"/>
      <c r="B116" s="1224"/>
      <c r="C116" s="1221"/>
      <c r="D116" s="1232"/>
    </row>
    <row r="117" spans="1:4" x14ac:dyDescent="0.2">
      <c r="A117" s="1217"/>
      <c r="B117" s="1220"/>
      <c r="C117" s="1221">
        <f>C115+1</f>
        <v>37</v>
      </c>
      <c r="D117" s="1232" t="s">
        <v>1724</v>
      </c>
    </row>
    <row r="118" spans="1:4" ht="3" customHeight="1" x14ac:dyDescent="0.2">
      <c r="A118" s="1217"/>
      <c r="B118" s="1224"/>
      <c r="C118" s="1221"/>
      <c r="D118" s="1232"/>
    </row>
    <row r="119" spans="1:4" x14ac:dyDescent="0.2">
      <c r="A119" s="1217"/>
      <c r="B119" s="1220"/>
      <c r="C119" s="1221">
        <f>C117+1</f>
        <v>38</v>
      </c>
      <c r="D119" s="1232" t="s">
        <v>1725</v>
      </c>
    </row>
    <row r="120" spans="1:4" ht="10.5" customHeight="1" x14ac:dyDescent="0.2">
      <c r="A120" s="1217"/>
      <c r="B120" s="1245"/>
      <c r="C120" s="1221"/>
      <c r="D120" s="1232" t="s">
        <v>1194</v>
      </c>
    </row>
    <row r="121" spans="1:4" ht="10.5" customHeight="1" x14ac:dyDescent="0.2">
      <c r="A121" s="1217"/>
      <c r="B121" s="1245"/>
      <c r="C121" s="1221"/>
      <c r="D121" s="1232" t="s">
        <v>1193</v>
      </c>
    </row>
    <row r="122" spans="1:4" ht="3" customHeight="1" x14ac:dyDescent="0.2">
      <c r="A122" s="1217"/>
      <c r="B122" s="1245"/>
      <c r="C122" s="1221"/>
      <c r="D122" s="1232"/>
    </row>
    <row r="123" spans="1:4" x14ac:dyDescent="0.2">
      <c r="A123" s="1217"/>
      <c r="B123" s="1220"/>
      <c r="C123" s="1221">
        <f>C119+1</f>
        <v>39</v>
      </c>
      <c r="D123" s="1242" t="s">
        <v>1837</v>
      </c>
    </row>
    <row r="124" spans="1:4" x14ac:dyDescent="0.2">
      <c r="A124" s="1217"/>
      <c r="B124" s="312"/>
      <c r="C124" s="1221"/>
      <c r="D124" s="1232" t="s">
        <v>1192</v>
      </c>
    </row>
    <row r="125" spans="1:4" ht="4.5" customHeight="1" x14ac:dyDescent="0.2">
      <c r="A125" s="1217"/>
      <c r="D125" s="1216"/>
    </row>
    <row r="126" spans="1:4" x14ac:dyDescent="0.2">
      <c r="A126" s="1217"/>
      <c r="B126" s="1252"/>
      <c r="C126" s="1221"/>
      <c r="D126" s="1232"/>
    </row>
    <row r="127" spans="1:4" x14ac:dyDescent="0.2">
      <c r="A127" s="1217"/>
      <c r="D127" s="1232"/>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3" customWidth="1"/>
    <col min="3" max="3" width="1.28515625" style="1253" customWidth="1"/>
    <col min="4" max="4" width="24.42578125" style="1254" customWidth="1"/>
    <col min="5" max="5" width="5" style="317" customWidth="1"/>
    <col min="6" max="16384" width="15.7109375" style="317"/>
  </cols>
  <sheetData>
    <row r="1" spans="1:5" x14ac:dyDescent="0.2">
      <c r="A1" s="2435" t="str">
        <f>'Single Audit Cover'!A7</f>
        <v>Okaw Area Vocational Center</v>
      </c>
      <c r="B1" s="2435"/>
      <c r="C1" s="2435"/>
      <c r="D1" s="2435"/>
      <c r="E1" s="2435"/>
    </row>
    <row r="2" spans="1:5" x14ac:dyDescent="0.2">
      <c r="A2" s="2436">
        <f>'Single Audit Cover'!E7</f>
        <v>3026203041</v>
      </c>
      <c r="B2" s="2436"/>
      <c r="C2" s="2436"/>
      <c r="D2" s="2436"/>
      <c r="E2" s="2436"/>
    </row>
    <row r="3" spans="1:5" ht="4.5" customHeight="1" x14ac:dyDescent="0.2"/>
    <row r="4" spans="1:5" x14ac:dyDescent="0.2">
      <c r="A4" s="2435" t="s">
        <v>1245</v>
      </c>
      <c r="B4" s="2435"/>
      <c r="C4" s="2435"/>
      <c r="D4" s="2435"/>
      <c r="E4" s="2435"/>
    </row>
    <row r="5" spans="1:5" x14ac:dyDescent="0.2">
      <c r="A5" s="2438" t="str">
        <f>'Single Audit Cover'!A4</f>
        <v>Year Ending June 30, 2019</v>
      </c>
      <c r="B5" s="2438"/>
      <c r="C5" s="2438"/>
      <c r="D5" s="2438"/>
      <c r="E5" s="2438"/>
    </row>
    <row r="6" spans="1:5" x14ac:dyDescent="0.2">
      <c r="A6" s="2435" t="s">
        <v>1244</v>
      </c>
      <c r="B6" s="2435"/>
      <c r="C6" s="2435"/>
      <c r="D6" s="2435"/>
      <c r="E6" s="2435"/>
    </row>
    <row r="8" spans="1:5" x14ac:dyDescent="0.2">
      <c r="A8" s="1255" t="s">
        <v>1243</v>
      </c>
    </row>
    <row r="10" spans="1:5" x14ac:dyDescent="0.2">
      <c r="A10" s="1256" t="s">
        <v>1242</v>
      </c>
      <c r="B10" s="1257" t="s">
        <v>1241</v>
      </c>
      <c r="C10" s="1257"/>
      <c r="D10" s="1258">
        <f>SUM('Acct Summary 7-8'!C7:K7)</f>
        <v>0</v>
      </c>
    </row>
    <row r="11" spans="1:5" ht="18" customHeight="1" x14ac:dyDescent="0.2">
      <c r="A11" s="1256" t="s">
        <v>1240</v>
      </c>
      <c r="B11" s="1257"/>
      <c r="C11" s="1257"/>
    </row>
    <row r="12" spans="1:5" x14ac:dyDescent="0.2">
      <c r="A12" s="1256" t="s">
        <v>1239</v>
      </c>
      <c r="B12" s="1257" t="s">
        <v>1238</v>
      </c>
      <c r="C12" s="1257"/>
      <c r="D12" s="1259">
        <f>SUM('Revenues 9-14'!C112:D112,'Revenues 9-14'!F112:G112)</f>
        <v>0</v>
      </c>
    </row>
    <row r="13" spans="1:5" x14ac:dyDescent="0.2">
      <c r="A13" s="1256" t="s">
        <v>1237</v>
      </c>
      <c r="B13" s="1257"/>
      <c r="C13" s="1257"/>
    </row>
    <row r="14" spans="1:5" x14ac:dyDescent="0.2">
      <c r="A14" s="1256" t="s">
        <v>1727</v>
      </c>
      <c r="B14" s="1257"/>
      <c r="C14" s="1257"/>
      <c r="D14" s="1259">
        <f>'ICR Computation 30'!E11</f>
        <v>0</v>
      </c>
    </row>
    <row r="15" spans="1:5" x14ac:dyDescent="0.2">
      <c r="A15" s="1256"/>
      <c r="B15" s="1257"/>
      <c r="C15" s="1257"/>
    </row>
    <row r="16" spans="1:5" x14ac:dyDescent="0.2">
      <c r="A16" s="1256" t="s">
        <v>1843</v>
      </c>
      <c r="B16" s="1257"/>
      <c r="C16" s="1257"/>
    </row>
    <row r="17" spans="1:4" x14ac:dyDescent="0.2">
      <c r="A17" s="1256" t="s">
        <v>2059</v>
      </c>
      <c r="B17" s="1257" t="s">
        <v>1236</v>
      </c>
      <c r="C17" s="1257"/>
      <c r="D17" s="1259">
        <f>-SUM('Revenues 9-14'!C264:D264,'Revenues 9-14'!F264:G264)</f>
        <v>0</v>
      </c>
    </row>
    <row r="19" spans="1:4" ht="13.5" thickBot="1" x14ac:dyDescent="0.25">
      <c r="A19" s="1260" t="s">
        <v>1235</v>
      </c>
      <c r="D19" s="1261">
        <f>SUM(D10:D17)</f>
        <v>0</v>
      </c>
    </row>
    <row r="20" spans="1:4" ht="21.75" customHeight="1" thickTop="1" x14ac:dyDescent="0.2"/>
    <row r="21" spans="1:4" x14ac:dyDescent="0.2">
      <c r="A21" s="1255" t="s">
        <v>1234</v>
      </c>
    </row>
    <row r="22" spans="1:4" ht="8.25" customHeight="1" x14ac:dyDescent="0.2"/>
    <row r="23" spans="1:4" x14ac:dyDescent="0.2">
      <c r="A23" s="1262" t="s">
        <v>1228</v>
      </c>
    </row>
    <row r="24" spans="1:4" x14ac:dyDescent="0.2">
      <c r="A24" s="2437"/>
      <c r="B24" s="2437"/>
      <c r="D24" s="1263"/>
    </row>
    <row r="25" spans="1:4" x14ac:dyDescent="0.2">
      <c r="A25" s="2434"/>
      <c r="B25" s="2434"/>
      <c r="D25" s="1263"/>
    </row>
    <row r="26" spans="1:4" x14ac:dyDescent="0.2">
      <c r="A26" s="2434"/>
      <c r="B26" s="2434"/>
      <c r="D26" s="1263"/>
    </row>
    <row r="27" spans="1:4" x14ac:dyDescent="0.2">
      <c r="A27" s="2434"/>
      <c r="B27" s="2434"/>
      <c r="D27" s="1263"/>
    </row>
    <row r="28" spans="1:4" x14ac:dyDescent="0.2">
      <c r="A28" s="2434"/>
      <c r="B28" s="2434"/>
      <c r="D28" s="1263"/>
    </row>
    <row r="29" spans="1:4" x14ac:dyDescent="0.2">
      <c r="A29" s="2434"/>
      <c r="B29" s="2434"/>
      <c r="D29" s="1263"/>
    </row>
    <row r="30" spans="1:4" x14ac:dyDescent="0.2">
      <c r="A30" s="2434"/>
      <c r="B30" s="2434"/>
      <c r="D30" s="1263"/>
    </row>
    <row r="32" spans="1:4" x14ac:dyDescent="0.2">
      <c r="A32" s="1255" t="s">
        <v>1233</v>
      </c>
      <c r="D32" s="1258">
        <f>SUM(D19:D30)</f>
        <v>0</v>
      </c>
    </row>
    <row r="33" spans="1:4" x14ac:dyDescent="0.2">
      <c r="D33" s="1264"/>
    </row>
    <row r="34" spans="1:4" x14ac:dyDescent="0.2">
      <c r="A34" s="317" t="s">
        <v>1232</v>
      </c>
    </row>
    <row r="35" spans="1:4" x14ac:dyDescent="0.2">
      <c r="A35" s="317" t="s">
        <v>1231</v>
      </c>
      <c r="B35" s="1253" t="s">
        <v>1230</v>
      </c>
      <c r="D35" s="1265"/>
    </row>
    <row r="37" spans="1:4" x14ac:dyDescent="0.2">
      <c r="A37" s="1255" t="s">
        <v>1229</v>
      </c>
    </row>
    <row r="39" spans="1:4" ht="13.35" customHeight="1" x14ac:dyDescent="0.2">
      <c r="A39" s="1262" t="s">
        <v>1228</v>
      </c>
    </row>
    <row r="40" spans="1:4" x14ac:dyDescent="0.2">
      <c r="A40" s="2434"/>
      <c r="B40" s="2434"/>
      <c r="D40" s="1263"/>
    </row>
    <row r="41" spans="1:4" x14ac:dyDescent="0.2">
      <c r="A41" s="2434"/>
      <c r="B41" s="2434"/>
      <c r="D41" s="1266"/>
    </row>
    <row r="42" spans="1:4" x14ac:dyDescent="0.2">
      <c r="A42" s="2434"/>
      <c r="B42" s="2434"/>
      <c r="D42" s="1266"/>
    </row>
    <row r="43" spans="1:4" x14ac:dyDescent="0.2">
      <c r="A43" s="2434"/>
      <c r="B43" s="2434"/>
      <c r="D43" s="1266"/>
    </row>
    <row r="44" spans="1:4" x14ac:dyDescent="0.2">
      <c r="A44" s="2434"/>
      <c r="B44" s="2434"/>
      <c r="D44" s="1266"/>
    </row>
    <row r="45" spans="1:4" x14ac:dyDescent="0.2">
      <c r="A45" s="2434"/>
      <c r="B45" s="2434"/>
      <c r="D45" s="1266"/>
    </row>
    <row r="47" spans="1:4" x14ac:dyDescent="0.2">
      <c r="B47" s="1267" t="s">
        <v>1227</v>
      </c>
      <c r="C47" s="1267"/>
      <c r="D47" s="1268">
        <f>SUM(D35:D45)</f>
        <v>0</v>
      </c>
    </row>
    <row r="49" spans="2:4" x14ac:dyDescent="0.2">
      <c r="B49" s="1267" t="s">
        <v>1226</v>
      </c>
      <c r="C49" s="1267"/>
      <c r="D49" s="1268">
        <f>D32-D47</f>
        <v>0</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396" t="str">
        <f>'Single Audit Cover'!A7</f>
        <v>Okaw Area Vocational Center</v>
      </c>
      <c r="C1" s="2439"/>
      <c r="D1" s="2439"/>
      <c r="E1" s="2439"/>
      <c r="F1" s="2439"/>
      <c r="G1" s="2439"/>
      <c r="H1" s="2439"/>
      <c r="I1" s="2439"/>
      <c r="J1" s="2439"/>
      <c r="K1" s="2439"/>
      <c r="L1" s="2439"/>
      <c r="M1" s="2439"/>
    </row>
    <row r="2" spans="2:14" ht="15" x14ac:dyDescent="0.2">
      <c r="B2" s="2440">
        <f>'Single Audit Cover'!E7</f>
        <v>3026203041</v>
      </c>
      <c r="C2" s="2440"/>
      <c r="D2" s="2440"/>
      <c r="E2" s="2440"/>
      <c r="F2" s="2440"/>
      <c r="G2" s="2440"/>
      <c r="H2" s="2440"/>
      <c r="I2" s="2440"/>
      <c r="J2" s="2440"/>
      <c r="K2" s="2440"/>
      <c r="L2" s="2440"/>
      <c r="M2" s="2440"/>
      <c r="N2" s="1297"/>
    </row>
    <row r="3" spans="2:14" ht="15" x14ac:dyDescent="0.2">
      <c r="B3" s="2441" t="s">
        <v>1219</v>
      </c>
      <c r="C3" s="2441"/>
      <c r="D3" s="2441"/>
      <c r="E3" s="2441"/>
      <c r="F3" s="2441"/>
      <c r="G3" s="2441"/>
      <c r="H3" s="2441"/>
      <c r="I3" s="2441"/>
      <c r="J3" s="2441"/>
      <c r="K3" s="2441"/>
      <c r="L3" s="2441"/>
      <c r="M3" s="2441"/>
      <c r="N3" s="1297"/>
    </row>
    <row r="4" spans="2:14" ht="15" x14ac:dyDescent="0.2">
      <c r="B4" s="2442" t="str">
        <f>'Single Audit Cover'!A4</f>
        <v>Year Ending June 30, 2019</v>
      </c>
      <c r="C4" s="2442"/>
      <c r="D4" s="2442"/>
      <c r="E4" s="2442"/>
      <c r="F4" s="2442"/>
      <c r="G4" s="2442"/>
      <c r="H4" s="2442"/>
      <c r="I4" s="2442"/>
      <c r="J4" s="2442"/>
      <c r="K4" s="2442"/>
      <c r="L4" s="2442"/>
      <c r="M4" s="2442"/>
      <c r="N4" s="1297"/>
    </row>
    <row r="6" spans="2:14" x14ac:dyDescent="0.2">
      <c r="B6" s="1298"/>
      <c r="C6" s="1299"/>
      <c r="D6" s="1300" t="s">
        <v>1265</v>
      </c>
      <c r="E6" s="1301" t="s">
        <v>527</v>
      </c>
      <c r="F6" s="1302"/>
      <c r="G6" s="1303" t="s">
        <v>1734</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1"/>
      <c r="C8" s="1308" t="s">
        <v>1264</v>
      </c>
      <c r="D8" s="1309" t="s">
        <v>1263</v>
      </c>
      <c r="E8" s="1317" t="s">
        <v>1262</v>
      </c>
      <c r="F8" s="1318" t="s">
        <v>1262</v>
      </c>
      <c r="G8" s="1319" t="s">
        <v>1262</v>
      </c>
      <c r="H8" s="1312" t="s">
        <v>1839</v>
      </c>
      <c r="I8" s="1314" t="s">
        <v>1262</v>
      </c>
      <c r="J8" s="1313" t="s">
        <v>1988</v>
      </c>
      <c r="K8" s="1314" t="s">
        <v>1261</v>
      </c>
      <c r="L8" s="1315" t="s">
        <v>1257</v>
      </c>
      <c r="M8" s="1316" t="s">
        <v>30</v>
      </c>
    </row>
    <row r="9" spans="2:14" ht="14.25" x14ac:dyDescent="0.2">
      <c r="B9" s="1320" t="s">
        <v>1259</v>
      </c>
      <c r="C9" s="1308" t="s">
        <v>1735</v>
      </c>
      <c r="D9" s="1309" t="s">
        <v>1736</v>
      </c>
      <c r="E9" s="1317" t="s">
        <v>1839</v>
      </c>
      <c r="F9" s="1318" t="s">
        <v>1988</v>
      </c>
      <c r="G9" s="1319" t="s">
        <v>1839</v>
      </c>
      <c r="H9" s="1312" t="s">
        <v>1582</v>
      </c>
      <c r="I9" s="1314" t="s">
        <v>1988</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c r="C11" s="1333"/>
      <c r="D11" s="1334"/>
      <c r="E11" s="1335"/>
      <c r="F11" s="1335"/>
      <c r="G11" s="1335"/>
      <c r="H11" s="1335"/>
      <c r="I11" s="1335"/>
      <c r="J11" s="1335"/>
      <c r="K11" s="1335"/>
      <c r="L11" s="1335">
        <f>+G11+I11+K11</f>
        <v>0</v>
      </c>
      <c r="M11" s="1335"/>
    </row>
    <row r="12" spans="2:14" ht="20.100000000000001" customHeight="1" x14ac:dyDescent="0.2">
      <c r="B12" s="1332"/>
      <c r="C12" s="1336"/>
      <c r="D12" s="1337"/>
      <c r="E12" s="1338"/>
      <c r="F12" s="1338"/>
      <c r="G12" s="1338"/>
      <c r="H12" s="1338"/>
      <c r="I12" s="1338"/>
      <c r="J12" s="1338"/>
      <c r="K12" s="1338"/>
      <c r="L12" s="1335">
        <f t="shared" ref="L12:L27" si="0">+G12+I12+K12</f>
        <v>0</v>
      </c>
      <c r="M12" s="1338"/>
    </row>
    <row r="13" spans="2:14" ht="20.100000000000001" customHeight="1" x14ac:dyDescent="0.2">
      <c r="B13" s="1332"/>
      <c r="C13" s="1336"/>
      <c r="D13" s="1337"/>
      <c r="E13" s="1338"/>
      <c r="F13" s="1338"/>
      <c r="G13" s="1338"/>
      <c r="H13" s="1338"/>
      <c r="I13" s="1338"/>
      <c r="J13" s="1338"/>
      <c r="K13" s="1338"/>
      <c r="L13" s="1335">
        <f t="shared" si="0"/>
        <v>0</v>
      </c>
      <c r="M13" s="1338"/>
    </row>
    <row r="14" spans="2:14" ht="20.100000000000001" customHeight="1" x14ac:dyDescent="0.2">
      <c r="B14" s="1332"/>
      <c r="C14" s="1336"/>
      <c r="D14" s="1337"/>
      <c r="E14" s="1338"/>
      <c r="F14" s="1338"/>
      <c r="G14" s="1338"/>
      <c r="H14" s="1338"/>
      <c r="I14" s="1338"/>
      <c r="J14" s="1338"/>
      <c r="K14" s="1338"/>
      <c r="L14" s="1335">
        <f t="shared" si="0"/>
        <v>0</v>
      </c>
      <c r="M14" s="1338"/>
    </row>
    <row r="15" spans="2:14" ht="20.100000000000001" customHeight="1" x14ac:dyDescent="0.2">
      <c r="B15" s="1332" t="s">
        <v>1169</v>
      </c>
      <c r="C15" s="1336"/>
      <c r="D15" s="1337"/>
      <c r="E15" s="1338"/>
      <c r="F15" s="1338"/>
      <c r="G15" s="1338"/>
      <c r="H15" s="1338"/>
      <c r="I15" s="1338"/>
      <c r="J15" s="1338"/>
      <c r="K15" s="1338"/>
      <c r="L15" s="1335">
        <f t="shared" si="0"/>
        <v>0</v>
      </c>
      <c r="M15" s="1338"/>
    </row>
    <row r="16" spans="2:14" ht="20.100000000000001" customHeight="1" x14ac:dyDescent="0.2">
      <c r="B16" s="1332"/>
      <c r="C16" s="1336"/>
      <c r="D16" s="1337"/>
      <c r="E16" s="1338"/>
      <c r="F16" s="1338"/>
      <c r="G16" s="1338"/>
      <c r="H16" s="1338"/>
      <c r="I16" s="1338"/>
      <c r="J16" s="1338"/>
      <c r="K16" s="1338"/>
      <c r="L16" s="1335">
        <f t="shared" si="0"/>
        <v>0</v>
      </c>
      <c r="M16" s="1338"/>
    </row>
    <row r="17" spans="2:14" ht="20.100000000000001" customHeight="1" x14ac:dyDescent="0.2">
      <c r="B17" s="1332"/>
      <c r="C17" s="1336"/>
      <c r="D17" s="1337"/>
      <c r="E17" s="1338"/>
      <c r="F17" s="1338"/>
      <c r="G17" s="1338"/>
      <c r="H17" s="1338"/>
      <c r="I17" s="1338"/>
      <c r="J17" s="1338"/>
      <c r="K17" s="1338"/>
      <c r="L17" s="1335">
        <f t="shared" si="0"/>
        <v>0</v>
      </c>
      <c r="M17" s="1338"/>
    </row>
    <row r="18" spans="2:14" ht="20.100000000000001" customHeight="1" x14ac:dyDescent="0.2">
      <c r="B18" s="1332"/>
      <c r="C18" s="1336"/>
      <c r="D18" s="1337"/>
      <c r="E18" s="1338"/>
      <c r="F18" s="1338"/>
      <c r="G18" s="1338"/>
      <c r="H18" s="1338"/>
      <c r="I18" s="1338"/>
      <c r="J18" s="1338"/>
      <c r="K18" s="1338"/>
      <c r="L18" s="1335">
        <f t="shared" si="0"/>
        <v>0</v>
      </c>
      <c r="M18" s="1338"/>
    </row>
    <row r="19" spans="2:14" ht="20.100000000000001" customHeight="1" x14ac:dyDescent="0.2">
      <c r="B19" s="1332"/>
      <c r="C19" s="1336"/>
      <c r="D19" s="1337"/>
      <c r="E19" s="1338"/>
      <c r="F19" s="1338"/>
      <c r="G19" s="1338"/>
      <c r="H19" s="1338"/>
      <c r="I19" s="1338"/>
      <c r="J19" s="1338"/>
      <c r="K19" s="1338"/>
      <c r="L19" s="1335">
        <f t="shared" si="0"/>
        <v>0</v>
      </c>
      <c r="M19" s="1338"/>
    </row>
    <row r="20" spans="2:14" ht="20.100000000000001" customHeight="1" x14ac:dyDescent="0.2">
      <c r="B20" s="1332"/>
      <c r="C20" s="1336"/>
      <c r="D20" s="1337"/>
      <c r="E20" s="1338"/>
      <c r="F20" s="1338"/>
      <c r="G20" s="1338"/>
      <c r="H20" s="1338"/>
      <c r="I20" s="1338"/>
      <c r="J20" s="1338"/>
      <c r="K20" s="1338"/>
      <c r="L20" s="1335">
        <f t="shared" si="0"/>
        <v>0</v>
      </c>
      <c r="M20" s="1338"/>
    </row>
    <row r="21" spans="2:14" ht="20.100000000000001" customHeight="1" x14ac:dyDescent="0.2">
      <c r="B21" s="1332"/>
      <c r="C21" s="1336"/>
      <c r="D21" s="1337"/>
      <c r="E21" s="1338"/>
      <c r="F21" s="1338"/>
      <c r="G21" s="1338"/>
      <c r="H21" s="1338"/>
      <c r="I21" s="1338"/>
      <c r="J21" s="1338"/>
      <c r="K21" s="1338"/>
      <c r="L21" s="1335">
        <f t="shared" si="0"/>
        <v>0</v>
      </c>
      <c r="M21" s="1338"/>
    </row>
    <row r="22" spans="2:14" ht="20.100000000000001" customHeight="1" x14ac:dyDescent="0.2">
      <c r="B22" s="1332"/>
      <c r="C22" s="1336"/>
      <c r="D22" s="1337"/>
      <c r="E22" s="1338"/>
      <c r="F22" s="1338"/>
      <c r="G22" s="1338"/>
      <c r="H22" s="1338"/>
      <c r="I22" s="1338"/>
      <c r="J22" s="1338"/>
      <c r="K22" s="1338"/>
      <c r="L22" s="1335">
        <f t="shared" si="0"/>
        <v>0</v>
      </c>
      <c r="M22" s="1338"/>
    </row>
    <row r="23" spans="2:14" ht="20.100000000000001" customHeight="1" x14ac:dyDescent="0.2">
      <c r="B23" s="1332"/>
      <c r="C23" s="1336"/>
      <c r="D23" s="1337"/>
      <c r="E23" s="1338"/>
      <c r="F23" s="1338"/>
      <c r="G23" s="1338"/>
      <c r="H23" s="1338"/>
      <c r="I23" s="1338"/>
      <c r="J23" s="1338"/>
      <c r="K23" s="1338"/>
      <c r="L23" s="1335">
        <f t="shared" si="0"/>
        <v>0</v>
      </c>
      <c r="M23" s="1338"/>
    </row>
    <row r="24" spans="2:14" ht="20.100000000000001" customHeight="1" x14ac:dyDescent="0.2">
      <c r="B24" s="1332"/>
      <c r="C24" s="1336"/>
      <c r="D24" s="1337"/>
      <c r="E24" s="1338"/>
      <c r="F24" s="1338"/>
      <c r="G24" s="1338"/>
      <c r="H24" s="1338"/>
      <c r="I24" s="1338"/>
      <c r="J24" s="1338"/>
      <c r="K24" s="1338"/>
      <c r="L24" s="1335">
        <f t="shared" si="0"/>
        <v>0</v>
      </c>
      <c r="M24" s="1338"/>
    </row>
    <row r="25" spans="2:14" ht="20.100000000000001" customHeight="1" x14ac:dyDescent="0.2">
      <c r="B25" s="1332"/>
      <c r="C25" s="1336"/>
      <c r="D25" s="1337"/>
      <c r="E25" s="1338"/>
      <c r="F25" s="1338"/>
      <c r="G25" s="1338"/>
      <c r="H25" s="1338"/>
      <c r="I25" s="1338"/>
      <c r="J25" s="1338"/>
      <c r="K25" s="1338"/>
      <c r="L25" s="1335">
        <f t="shared" si="0"/>
        <v>0</v>
      </c>
      <c r="M25" s="1338"/>
    </row>
    <row r="26" spans="2:14" ht="20.100000000000001" customHeight="1" x14ac:dyDescent="0.2">
      <c r="B26" s="1332"/>
      <c r="C26" s="1336"/>
      <c r="D26" s="1337"/>
      <c r="E26" s="1338"/>
      <c r="F26" s="1338"/>
      <c r="G26" s="1338"/>
      <c r="H26" s="1338"/>
      <c r="I26" s="1338"/>
      <c r="J26" s="1338"/>
      <c r="K26" s="1338"/>
      <c r="L26" s="1335">
        <f t="shared" si="0"/>
        <v>0</v>
      </c>
      <c r="M26" s="1338"/>
    </row>
    <row r="27" spans="2:14" ht="20.100000000000001" customHeight="1" x14ac:dyDescent="0.2">
      <c r="B27" s="1332"/>
      <c r="C27" s="1336"/>
      <c r="D27" s="1337"/>
      <c r="E27" s="1338"/>
      <c r="F27" s="1338"/>
      <c r="G27" s="1338"/>
      <c r="H27" s="1338"/>
      <c r="I27" s="1338"/>
      <c r="J27" s="1338"/>
      <c r="K27" s="1338"/>
      <c r="L27" s="1335">
        <f t="shared" si="0"/>
        <v>0</v>
      </c>
      <c r="M27" s="1338"/>
      <c r="N27" s="1339"/>
    </row>
    <row r="28" spans="2:14" ht="12.75" customHeight="1" x14ac:dyDescent="0.2">
      <c r="B28" s="1340"/>
      <c r="C28" s="1341"/>
      <c r="D28" s="1342"/>
      <c r="E28" s="1343"/>
      <c r="F28" s="1343"/>
      <c r="G28" s="1343"/>
      <c r="H28" s="1343"/>
      <c r="I28" s="1343"/>
      <c r="J28" s="1343"/>
      <c r="K28" s="1343"/>
      <c r="L28" s="1343"/>
      <c r="M28" s="1343"/>
      <c r="N28" s="1339"/>
    </row>
    <row r="29" spans="2:14" x14ac:dyDescent="0.2">
      <c r="B29" s="1252"/>
      <c r="C29" s="1344"/>
      <c r="D29" s="1345"/>
      <c r="E29" s="1252"/>
      <c r="F29" s="1252"/>
      <c r="G29" s="1245"/>
      <c r="H29" s="1245"/>
      <c r="I29" s="1245"/>
      <c r="J29" s="1245"/>
      <c r="K29" s="1245"/>
      <c r="L29" s="1245"/>
      <c r="M29" s="1252"/>
      <c r="N29" s="1339"/>
    </row>
    <row r="30" spans="2:14" ht="13.5" customHeight="1" x14ac:dyDescent="0.2">
      <c r="B30" s="1277" t="s">
        <v>1737</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1840</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13.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1738</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1739</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1740</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1741</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3" customWidth="1"/>
    <col min="4" max="4" width="16.7109375" style="1253" customWidth="1"/>
    <col min="5" max="5" width="7.5703125" style="317" customWidth="1"/>
    <col min="6" max="6" width="2.7109375" style="317" customWidth="1"/>
    <col min="7" max="7" width="3.28515625" style="317" customWidth="1"/>
    <col min="8" max="16384" width="8" style="317"/>
  </cols>
  <sheetData>
    <row r="1" spans="1:7" ht="13.5" customHeight="1" x14ac:dyDescent="0.2">
      <c r="A1" s="2444" t="str">
        <f>'Single Audit Cover'!A7</f>
        <v>Okaw Area Vocational Center</v>
      </c>
      <c r="B1" s="2444"/>
      <c r="C1" s="2444"/>
      <c r="D1" s="2444"/>
      <c r="E1" s="2444"/>
      <c r="F1" s="2444"/>
    </row>
    <row r="2" spans="1:7" ht="13.5" customHeight="1" x14ac:dyDescent="0.2">
      <c r="A2" s="2440">
        <f>'Single Audit Cover'!E7</f>
        <v>3026203041</v>
      </c>
      <c r="B2" s="2440"/>
      <c r="C2" s="2440"/>
      <c r="D2" s="2440"/>
      <c r="E2" s="2440"/>
      <c r="F2" s="2440"/>
      <c r="G2" s="1270"/>
    </row>
    <row r="3" spans="1:7" ht="15.75" customHeight="1" x14ac:dyDescent="0.2">
      <c r="A3" s="2445" t="s">
        <v>1271</v>
      </c>
      <c r="B3" s="2445"/>
      <c r="C3" s="2445"/>
      <c r="D3" s="2445"/>
      <c r="E3" s="2445"/>
      <c r="F3" s="2445"/>
    </row>
    <row r="4" spans="1:7" ht="13.5" customHeight="1" x14ac:dyDescent="0.2">
      <c r="A4" s="2446" t="str">
        <f>'Single Audit Cover'!A4</f>
        <v>Year Ending June 30, 2019</v>
      </c>
      <c r="B4" s="2446"/>
      <c r="C4" s="2446"/>
      <c r="D4" s="2446"/>
      <c r="E4" s="2446"/>
      <c r="F4" s="2446"/>
    </row>
    <row r="5" spans="1:7" ht="8.25" customHeight="1" x14ac:dyDescent="0.2">
      <c r="C5" s="317"/>
      <c r="D5" s="317"/>
    </row>
    <row r="6" spans="1:7" ht="13.5" customHeight="1" x14ac:dyDescent="0.2">
      <c r="A6" s="1271" t="s">
        <v>1728</v>
      </c>
      <c r="C6" s="317"/>
      <c r="D6" s="317"/>
    </row>
    <row r="7" spans="1:7" ht="60.95" customHeight="1" x14ac:dyDescent="0.2">
      <c r="A7" s="2443" t="s">
        <v>1729</v>
      </c>
      <c r="B7" s="2443"/>
      <c r="C7" s="2443"/>
      <c r="D7" s="2443"/>
      <c r="E7" s="2443"/>
      <c r="F7" s="2443"/>
    </row>
    <row r="8" spans="1:7" ht="12" customHeight="1" x14ac:dyDescent="0.2">
      <c r="A8" s="1271"/>
      <c r="B8" s="1277"/>
      <c r="C8" s="1277"/>
      <c r="D8" s="1277"/>
    </row>
    <row r="9" spans="1:7" ht="15" customHeight="1" x14ac:dyDescent="0.2">
      <c r="A9" s="1272" t="s">
        <v>1730</v>
      </c>
      <c r="B9" s="1275"/>
      <c r="C9" s="1275"/>
      <c r="D9" s="1275"/>
      <c r="E9" s="1273"/>
      <c r="F9" s="1273"/>
      <c r="G9" s="1273"/>
    </row>
    <row r="10" spans="1:7" ht="15" customHeight="1" x14ac:dyDescent="0.2">
      <c r="A10" s="1274" t="s">
        <v>1547</v>
      </c>
      <c r="B10" s="1275"/>
      <c r="C10" s="1276"/>
      <c r="D10" s="1275" t="s">
        <v>1548</v>
      </c>
      <c r="E10" s="1276"/>
      <c r="F10" s="1275" t="s">
        <v>99</v>
      </c>
      <c r="G10" s="1273"/>
    </row>
    <row r="11" spans="1:7" ht="12" customHeight="1" x14ac:dyDescent="0.2">
      <c r="A11" s="1274"/>
      <c r="B11" s="1275"/>
      <c r="C11" s="1895"/>
      <c r="D11" s="1275"/>
      <c r="E11" s="1895"/>
      <c r="F11" s="1275"/>
      <c r="G11" s="1273"/>
    </row>
    <row r="12" spans="1:7" x14ac:dyDescent="0.2">
      <c r="A12" s="1271" t="s">
        <v>1587</v>
      </c>
      <c r="C12" s="1255"/>
      <c r="D12" s="1255"/>
    </row>
    <row r="13" spans="1:7" ht="15" customHeight="1" x14ac:dyDescent="0.2">
      <c r="A13" s="2443" t="s">
        <v>1731</v>
      </c>
      <c r="B13" s="2443"/>
      <c r="C13" s="2443"/>
      <c r="D13" s="2443"/>
      <c r="E13" s="2443"/>
      <c r="F13" s="2443"/>
    </row>
    <row r="14" spans="1:7" ht="9.75" customHeight="1" x14ac:dyDescent="0.2">
      <c r="C14" s="1255"/>
      <c r="D14" s="1255"/>
    </row>
    <row r="15" spans="1:7" ht="13.5" customHeight="1" x14ac:dyDescent="0.2">
      <c r="C15" s="1839" t="s">
        <v>1270</v>
      </c>
      <c r="D15" s="2448" t="s">
        <v>1269</v>
      </c>
      <c r="E15" s="2448"/>
      <c r="F15" s="2448"/>
    </row>
    <row r="16" spans="1:7" ht="13.5" customHeight="1" x14ac:dyDescent="0.2">
      <c r="A16" s="1277"/>
      <c r="B16" s="1271" t="s">
        <v>1268</v>
      </c>
      <c r="C16" s="1839" t="s">
        <v>1267</v>
      </c>
      <c r="D16" s="2449" t="s">
        <v>1588</v>
      </c>
      <c r="E16" s="2449"/>
      <c r="F16" s="2449"/>
    </row>
    <row r="17" spans="1:6" ht="20.45" customHeight="1" x14ac:dyDescent="0.2">
      <c r="A17" s="1278"/>
      <c r="B17" s="1279"/>
      <c r="C17" s="1280"/>
      <c r="D17" s="2447"/>
      <c r="E17" s="2447"/>
      <c r="F17" s="2447"/>
    </row>
    <row r="18" spans="1:6" ht="20.65" customHeight="1" x14ac:dyDescent="0.2">
      <c r="A18" s="1278"/>
      <c r="B18" s="1279"/>
      <c r="C18" s="1280"/>
      <c r="D18" s="2447"/>
      <c r="E18" s="2447"/>
      <c r="F18" s="2447"/>
    </row>
    <row r="19" spans="1:6" ht="20.65" customHeight="1" x14ac:dyDescent="0.2">
      <c r="A19" s="1278"/>
      <c r="B19" s="1279"/>
      <c r="C19" s="1280"/>
      <c r="D19" s="2447"/>
      <c r="E19" s="2447"/>
      <c r="F19" s="2447"/>
    </row>
    <row r="20" spans="1:6" ht="20.65" customHeight="1" x14ac:dyDescent="0.2">
      <c r="A20" s="1278"/>
      <c r="B20" s="1279"/>
      <c r="C20" s="1280"/>
      <c r="D20" s="2447"/>
      <c r="E20" s="2447"/>
      <c r="F20" s="2447"/>
    </row>
    <row r="21" spans="1:6" ht="20.65" customHeight="1" x14ac:dyDescent="0.2">
      <c r="A21" s="1278"/>
      <c r="B21" s="1279"/>
      <c r="C21" s="1280"/>
      <c r="D21" s="2447"/>
      <c r="E21" s="2447"/>
      <c r="F21" s="2447"/>
    </row>
    <row r="22" spans="1:6" ht="20.65" customHeight="1" x14ac:dyDescent="0.2">
      <c r="A22" s="1278"/>
      <c r="B22" s="1279"/>
      <c r="C22" s="1280"/>
      <c r="D22" s="2447"/>
      <c r="E22" s="2447"/>
      <c r="F22" s="2447"/>
    </row>
    <row r="23" spans="1:6" ht="20.65" customHeight="1" x14ac:dyDescent="0.2">
      <c r="A23" s="1278"/>
      <c r="B23" s="1279"/>
      <c r="C23" s="1280"/>
      <c r="D23" s="2447"/>
      <c r="E23" s="2447"/>
      <c r="F23" s="2447"/>
    </row>
    <row r="24" spans="1:6" ht="20.65" customHeight="1" x14ac:dyDescent="0.2">
      <c r="A24" s="1278"/>
      <c r="B24" s="1279"/>
      <c r="C24" s="1280"/>
      <c r="D24" s="2447"/>
      <c r="E24" s="2447"/>
      <c r="F24" s="2447"/>
    </row>
    <row r="25" spans="1:6" ht="20.65" customHeight="1" x14ac:dyDescent="0.2">
      <c r="A25" s="1278"/>
      <c r="B25" s="1279"/>
      <c r="C25" s="1280"/>
      <c r="D25" s="2447"/>
      <c r="E25" s="2447"/>
      <c r="F25" s="2447"/>
    </row>
    <row r="26" spans="1:6" ht="20.65" customHeight="1" x14ac:dyDescent="0.2">
      <c r="A26" s="1278"/>
      <c r="B26" s="1279"/>
      <c r="C26" s="1280"/>
      <c r="D26" s="2447"/>
      <c r="E26" s="2447"/>
      <c r="F26" s="2447"/>
    </row>
    <row r="27" spans="1:6" ht="20.65" customHeight="1" x14ac:dyDescent="0.2">
      <c r="A27" s="1278"/>
      <c r="B27" s="1279"/>
      <c r="C27" s="1280"/>
      <c r="D27" s="2447"/>
      <c r="E27" s="2447"/>
      <c r="F27" s="2447"/>
    </row>
    <row r="28" spans="1:6" ht="20.65" customHeight="1" x14ac:dyDescent="0.2">
      <c r="A28" s="1278"/>
      <c r="B28" s="1279"/>
      <c r="C28" s="1280"/>
      <c r="D28" s="2447"/>
      <c r="E28" s="2447"/>
      <c r="F28" s="2447"/>
    </row>
    <row r="29" spans="1:6" ht="20.65" customHeight="1" x14ac:dyDescent="0.2">
      <c r="A29" s="1278"/>
      <c r="B29" s="1279"/>
      <c r="C29" s="1280"/>
      <c r="D29" s="2447"/>
      <c r="E29" s="2447"/>
      <c r="F29" s="2447"/>
    </row>
    <row r="30" spans="1:6" ht="12" customHeight="1" x14ac:dyDescent="0.2">
      <c r="A30" s="328"/>
      <c r="B30" s="328"/>
      <c r="C30" s="1460"/>
      <c r="D30" s="1896"/>
      <c r="E30" s="1281"/>
    </row>
    <row r="31" spans="1:6" ht="12" customHeight="1" x14ac:dyDescent="0.2">
      <c r="A31" s="1282" t="s">
        <v>1549</v>
      </c>
      <c r="B31" s="328"/>
      <c r="C31" s="1460"/>
      <c r="D31" s="1896"/>
      <c r="E31" s="1281"/>
    </row>
    <row r="32" spans="1:6" ht="30" customHeight="1" x14ac:dyDescent="0.2">
      <c r="A32" s="2451" t="s">
        <v>1732</v>
      </c>
      <c r="B32" s="2451"/>
      <c r="C32" s="2451"/>
      <c r="D32" s="2451"/>
      <c r="E32" s="2451"/>
      <c r="F32" s="2451"/>
    </row>
    <row r="33" spans="1:6" ht="13.5" customHeight="1" x14ac:dyDescent="0.2">
      <c r="A33" s="328" t="s">
        <v>1434</v>
      </c>
      <c r="B33" s="328"/>
      <c r="C33" s="1283">
        <v>0</v>
      </c>
      <c r="D33" s="1896"/>
      <c r="E33" s="1281"/>
    </row>
    <row r="34" spans="1:6" ht="13.5" customHeight="1" x14ac:dyDescent="0.2">
      <c r="A34" s="328" t="s">
        <v>1838</v>
      </c>
      <c r="B34" s="328"/>
      <c r="C34" s="1284">
        <v>0</v>
      </c>
      <c r="D34" s="1896" t="s">
        <v>1589</v>
      </c>
      <c r="E34" s="2452">
        <f>+C33+C34</f>
        <v>0</v>
      </c>
      <c r="F34" s="2453"/>
    </row>
    <row r="35" spans="1:6" ht="12" customHeight="1" x14ac:dyDescent="0.2">
      <c r="A35" s="328"/>
      <c r="B35" s="328"/>
      <c r="C35" s="1897"/>
      <c r="D35" s="1896"/>
      <c r="E35" s="1285"/>
      <c r="F35" s="1286"/>
    </row>
    <row r="36" spans="1:6" ht="13.5" customHeight="1" x14ac:dyDescent="0.2">
      <c r="A36" s="1282" t="s">
        <v>1550</v>
      </c>
      <c r="B36" s="328"/>
      <c r="C36" s="1460"/>
      <c r="D36" s="1896"/>
      <c r="E36" s="1281"/>
    </row>
    <row r="37" spans="1:6" ht="14.25" customHeight="1" x14ac:dyDescent="0.2">
      <c r="A37" s="328" t="s">
        <v>1484</v>
      </c>
      <c r="B37" s="328"/>
      <c r="C37" s="1898"/>
      <c r="D37" s="1896"/>
      <c r="E37" s="1281"/>
    </row>
    <row r="38" spans="1:6" ht="14.25" customHeight="1" x14ac:dyDescent="0.2">
      <c r="A38" s="328"/>
      <c r="B38" s="328" t="s">
        <v>1435</v>
      </c>
      <c r="C38" s="1287"/>
      <c r="D38" s="1896"/>
      <c r="E38" s="1281"/>
    </row>
    <row r="39" spans="1:6" ht="14.25" customHeight="1" x14ac:dyDescent="0.2">
      <c r="A39" s="328"/>
      <c r="B39" s="328" t="s">
        <v>1436</v>
      </c>
      <c r="C39" s="1287"/>
      <c r="D39" s="1896"/>
      <c r="E39" s="1281"/>
    </row>
    <row r="40" spans="1:6" ht="14.25" customHeight="1" x14ac:dyDescent="0.2">
      <c r="A40" s="328"/>
      <c r="B40" s="328" t="s">
        <v>1437</v>
      </c>
      <c r="C40" s="1287"/>
      <c r="D40" s="1896"/>
      <c r="E40" s="1281"/>
    </row>
    <row r="41" spans="1:6" ht="14.25" customHeight="1" x14ac:dyDescent="0.2">
      <c r="A41" s="328"/>
      <c r="B41" s="328" t="s">
        <v>1438</v>
      </c>
      <c r="C41" s="1287"/>
      <c r="D41" s="1896"/>
      <c r="E41" s="1281"/>
    </row>
    <row r="42" spans="1:6" ht="14.25" customHeight="1" x14ac:dyDescent="0.2">
      <c r="A42" s="328" t="s">
        <v>1439</v>
      </c>
      <c r="B42" s="328"/>
      <c r="C42" s="1894"/>
      <c r="D42" s="1896"/>
      <c r="E42" s="1281"/>
    </row>
    <row r="43" spans="1:6" ht="14.25" customHeight="1" x14ac:dyDescent="0.2">
      <c r="A43" s="328" t="s">
        <v>1440</v>
      </c>
      <c r="B43" s="328"/>
      <c r="C43" s="1288"/>
      <c r="D43" s="1896"/>
      <c r="E43" s="1281"/>
    </row>
    <row r="44" spans="1:6" ht="14.25" customHeight="1" x14ac:dyDescent="0.2">
      <c r="A44" s="328"/>
      <c r="B44" s="328"/>
      <c r="C44" s="1898" t="s">
        <v>1441</v>
      </c>
      <c r="D44" s="1896"/>
      <c r="E44" s="1281"/>
    </row>
    <row r="45" spans="1:6" ht="13.5" customHeight="1" x14ac:dyDescent="0.2">
      <c r="B45" s="322"/>
      <c r="C45" s="1289"/>
      <c r="D45" s="1289"/>
    </row>
    <row r="46" spans="1:6" x14ac:dyDescent="0.2">
      <c r="A46" s="1290" t="s">
        <v>1733</v>
      </c>
      <c r="C46" s="317"/>
      <c r="D46" s="317"/>
    </row>
    <row r="47" spans="1:6" s="322" customFormat="1" ht="11.25" customHeight="1" x14ac:dyDescent="0.2">
      <c r="A47" s="1291"/>
      <c r="B47" s="1292"/>
      <c r="C47" s="1292"/>
      <c r="D47" s="1292"/>
      <c r="E47" s="1292"/>
      <c r="F47" s="1292"/>
    </row>
    <row r="48" spans="1:6" s="322" customFormat="1" ht="6" customHeight="1" x14ac:dyDescent="0.2">
      <c r="A48" s="1293"/>
    </row>
    <row r="49" spans="1:5" s="1295" customFormat="1" ht="23.25" customHeight="1" x14ac:dyDescent="0.2">
      <c r="A49" s="1294">
        <v>5</v>
      </c>
      <c r="B49" s="2454" t="s">
        <v>1590</v>
      </c>
      <c r="C49" s="2454"/>
      <c r="D49" s="2454"/>
      <c r="E49" s="1394"/>
    </row>
    <row r="50" spans="1:5" s="1295" customFormat="1" ht="3.75" customHeight="1" x14ac:dyDescent="0.2">
      <c r="A50" s="1294"/>
      <c r="B50" s="1838"/>
      <c r="C50" s="1838"/>
      <c r="D50" s="1838"/>
      <c r="E50" s="1394"/>
    </row>
    <row r="51" spans="1:5" s="1295" customFormat="1" ht="20.25" customHeight="1" x14ac:dyDescent="0.2">
      <c r="A51" s="1296">
        <v>6</v>
      </c>
      <c r="B51" s="2450" t="s">
        <v>1551</v>
      </c>
      <c r="C51" s="2450"/>
      <c r="D51" s="2450"/>
    </row>
    <row r="52" spans="1:5" ht="14.25" customHeight="1" x14ac:dyDescent="0.2">
      <c r="A52" s="1296"/>
      <c r="B52" s="2450"/>
      <c r="C52" s="2450"/>
      <c r="D52" s="245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5" colorId="8" zoomScale="110" zoomScaleNormal="110" workbookViewId="0">
      <selection activeCell="B102" sqref="B102:I11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0" t="s">
        <v>1168</v>
      </c>
      <c r="B2" s="2060"/>
      <c r="C2" s="2060"/>
      <c r="D2" s="2060"/>
      <c r="E2" s="2060"/>
      <c r="F2" s="2060"/>
      <c r="G2" s="2060"/>
      <c r="H2" s="2060"/>
      <c r="I2" s="2060"/>
      <c r="J2" s="2060"/>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4" t="s">
        <v>1633</v>
      </c>
      <c r="B35" s="2075"/>
      <c r="C35" s="2075"/>
      <c r="D35" s="2075"/>
      <c r="E35" s="2076"/>
      <c r="F35" s="2076"/>
      <c r="G35" s="2076"/>
      <c r="H35" s="2076"/>
      <c r="I35" s="2076"/>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4" t="s">
        <v>313</v>
      </c>
      <c r="B47" s="2077"/>
      <c r="C47" s="2077"/>
      <c r="D47" s="2077"/>
      <c r="E47" s="2078"/>
      <c r="F47" s="2078"/>
      <c r="G47" s="2078"/>
      <c r="H47" s="2078"/>
      <c r="I47" s="2078"/>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2065</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2065</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1" t="s">
        <v>2075</v>
      </c>
      <c r="C57" s="2082"/>
      <c r="D57" s="2082"/>
      <c r="E57" s="2082"/>
      <c r="F57" s="2082"/>
      <c r="G57" s="2082"/>
      <c r="H57" s="2082"/>
      <c r="I57" s="2082"/>
      <c r="J57" s="2083"/>
    </row>
    <row r="58" spans="1:10" s="181" customFormat="1" x14ac:dyDescent="0.2">
      <c r="A58" s="253"/>
      <c r="B58" s="2084"/>
      <c r="C58" s="2085"/>
      <c r="D58" s="2085"/>
      <c r="E58" s="2085"/>
      <c r="F58" s="2085"/>
      <c r="G58" s="2085"/>
      <c r="H58" s="2085"/>
      <c r="I58" s="2085"/>
      <c r="J58" s="2086"/>
    </row>
    <row r="59" spans="1:10" s="181" customFormat="1" x14ac:dyDescent="0.2">
      <c r="A59" s="253"/>
      <c r="B59" s="2084"/>
      <c r="C59" s="2085"/>
      <c r="D59" s="2085"/>
      <c r="E59" s="2085"/>
      <c r="F59" s="2085"/>
      <c r="G59" s="2085"/>
      <c r="H59" s="2085"/>
      <c r="I59" s="2085"/>
      <c r="J59" s="2086"/>
    </row>
    <row r="60" spans="1:10" s="181" customFormat="1" x14ac:dyDescent="0.2">
      <c r="A60" s="253"/>
      <c r="B60" s="2084"/>
      <c r="C60" s="2085"/>
      <c r="D60" s="2085"/>
      <c r="E60" s="2085"/>
      <c r="F60" s="2085"/>
      <c r="G60" s="2085"/>
      <c r="H60" s="2085"/>
      <c r="I60" s="2085"/>
      <c r="J60" s="2086"/>
    </row>
    <row r="61" spans="1:10" s="181" customFormat="1" x14ac:dyDescent="0.2">
      <c r="A61" s="253"/>
      <c r="B61" s="2084"/>
      <c r="C61" s="2085"/>
      <c r="D61" s="2085"/>
      <c r="E61" s="2085"/>
      <c r="F61" s="2085"/>
      <c r="G61" s="2085"/>
      <c r="H61" s="2085"/>
      <c r="I61" s="2085"/>
      <c r="J61" s="2086"/>
    </row>
    <row r="62" spans="1:10" s="181" customFormat="1" x14ac:dyDescent="0.2">
      <c r="A62" s="253"/>
      <c r="B62" s="2084"/>
      <c r="C62" s="2085"/>
      <c r="D62" s="2085"/>
      <c r="E62" s="2085"/>
      <c r="F62" s="2085"/>
      <c r="G62" s="2085"/>
      <c r="H62" s="2085"/>
      <c r="I62" s="2085"/>
      <c r="J62" s="2086"/>
    </row>
    <row r="63" spans="1:10" s="181" customFormat="1" x14ac:dyDescent="0.2">
      <c r="A63" s="253"/>
      <c r="B63" s="2084"/>
      <c r="C63" s="2085"/>
      <c r="D63" s="2085"/>
      <c r="E63" s="2085"/>
      <c r="F63" s="2085"/>
      <c r="G63" s="2085"/>
      <c r="H63" s="2085"/>
      <c r="I63" s="2085"/>
      <c r="J63" s="2086"/>
    </row>
    <row r="64" spans="1:10" s="181" customFormat="1" x14ac:dyDescent="0.2">
      <c r="A64" s="253"/>
      <c r="B64" s="2084"/>
      <c r="C64" s="2085"/>
      <c r="D64" s="2085"/>
      <c r="E64" s="2085"/>
      <c r="F64" s="2085"/>
      <c r="G64" s="2085"/>
      <c r="H64" s="2085"/>
      <c r="I64" s="2085"/>
      <c r="J64" s="2086"/>
    </row>
    <row r="65" spans="1:10" s="181" customFormat="1" x14ac:dyDescent="0.2">
      <c r="A65" s="253"/>
      <c r="B65" s="2084"/>
      <c r="C65" s="2085"/>
      <c r="D65" s="2085"/>
      <c r="E65" s="2085"/>
      <c r="F65" s="2085"/>
      <c r="G65" s="2085"/>
      <c r="H65" s="2085"/>
      <c r="I65" s="2085"/>
      <c r="J65" s="2086"/>
    </row>
    <row r="66" spans="1:10" s="181" customFormat="1" x14ac:dyDescent="0.2">
      <c r="A66" s="253"/>
      <c r="B66" s="2084"/>
      <c r="C66" s="2085"/>
      <c r="D66" s="2085"/>
      <c r="E66" s="2085"/>
      <c r="F66" s="2085"/>
      <c r="G66" s="2085"/>
      <c r="H66" s="2085"/>
      <c r="I66" s="2085"/>
      <c r="J66" s="2086"/>
    </row>
    <row r="67" spans="1:10" s="181" customFormat="1" ht="9" customHeight="1" x14ac:dyDescent="0.2">
      <c r="A67" s="254"/>
      <c r="B67" s="2087"/>
      <c r="C67" s="2088"/>
      <c r="D67" s="2088"/>
      <c r="E67" s="2088"/>
      <c r="F67" s="2088"/>
      <c r="G67" s="2088"/>
      <c r="H67" s="2088"/>
      <c r="I67" s="2088"/>
      <c r="J67" s="208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4" t="s">
        <v>1323</v>
      </c>
      <c r="B70" s="2077"/>
      <c r="C70" s="2077"/>
      <c r="D70" s="2077"/>
      <c r="E70" s="2078"/>
      <c r="F70" s="2078"/>
      <c r="G70" s="2078"/>
      <c r="H70" s="2078"/>
      <c r="I70" s="2078"/>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1"/>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9" t="s">
        <v>1320</v>
      </c>
      <c r="B83" s="2079"/>
      <c r="C83" s="2079"/>
      <c r="D83" s="2080"/>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1" t="s">
        <v>2088</v>
      </c>
      <c r="C102" s="2062"/>
      <c r="D102" s="2062"/>
      <c r="E102" s="2062"/>
      <c r="F102" s="2062"/>
      <c r="G102" s="2062"/>
      <c r="H102" s="2062"/>
      <c r="I102" s="2063"/>
    </row>
    <row r="103" spans="1:9" s="181" customFormat="1" ht="11.25" customHeight="1" x14ac:dyDescent="0.2">
      <c r="A103" s="316"/>
      <c r="B103" s="2064"/>
      <c r="C103" s="2065"/>
      <c r="D103" s="2065"/>
      <c r="E103" s="2065"/>
      <c r="F103" s="2065"/>
      <c r="G103" s="2065"/>
      <c r="H103" s="2065"/>
      <c r="I103" s="2066"/>
    </row>
    <row r="104" spans="1:9" s="181" customFormat="1" ht="11.25" customHeight="1" x14ac:dyDescent="0.2">
      <c r="A104" s="316"/>
      <c r="B104" s="2064"/>
      <c r="C104" s="2065"/>
      <c r="D104" s="2065"/>
      <c r="E104" s="2065"/>
      <c r="F104" s="2065"/>
      <c r="G104" s="2065"/>
      <c r="H104" s="2065"/>
      <c r="I104" s="2066"/>
    </row>
    <row r="105" spans="1:9" s="181" customFormat="1" x14ac:dyDescent="0.2">
      <c r="A105" s="316"/>
      <c r="B105" s="2064"/>
      <c r="C105" s="2065"/>
      <c r="D105" s="2065"/>
      <c r="E105" s="2065"/>
      <c r="F105" s="2065"/>
      <c r="G105" s="2065"/>
      <c r="H105" s="2065"/>
      <c r="I105" s="2066"/>
    </row>
    <row r="106" spans="1:9" s="181" customFormat="1" ht="11.25" customHeight="1" x14ac:dyDescent="0.2">
      <c r="A106" s="316"/>
      <c r="B106" s="2064"/>
      <c r="C106" s="2065"/>
      <c r="D106" s="2065"/>
      <c r="E106" s="2065"/>
      <c r="F106" s="2065"/>
      <c r="G106" s="2065"/>
      <c r="H106" s="2065"/>
      <c r="I106" s="2066"/>
    </row>
    <row r="107" spans="1:9" s="181" customFormat="1" ht="11.25" customHeight="1" x14ac:dyDescent="0.2">
      <c r="A107" s="316"/>
      <c r="B107" s="2064"/>
      <c r="C107" s="2065"/>
      <c r="D107" s="2065"/>
      <c r="E107" s="2065"/>
      <c r="F107" s="2065"/>
      <c r="G107" s="2065"/>
      <c r="H107" s="2065"/>
      <c r="I107" s="2066"/>
    </row>
    <row r="108" spans="1:9" s="181" customFormat="1" ht="11.25" customHeight="1" x14ac:dyDescent="0.2">
      <c r="A108" s="316"/>
      <c r="B108" s="2064"/>
      <c r="C108" s="2065"/>
      <c r="D108" s="2065"/>
      <c r="E108" s="2065"/>
      <c r="F108" s="2065"/>
      <c r="G108" s="2065"/>
      <c r="H108" s="2065"/>
      <c r="I108" s="2066"/>
    </row>
    <row r="109" spans="1:9" s="181" customFormat="1" ht="11.25" customHeight="1" x14ac:dyDescent="0.2">
      <c r="A109" s="316"/>
      <c r="B109" s="2064"/>
      <c r="C109" s="2065"/>
      <c r="D109" s="2065"/>
      <c r="E109" s="2065"/>
      <c r="F109" s="2065"/>
      <c r="G109" s="2065"/>
      <c r="H109" s="2065"/>
      <c r="I109" s="2066"/>
    </row>
    <row r="110" spans="1:9" s="181" customFormat="1" ht="11.25" customHeight="1" x14ac:dyDescent="0.2">
      <c r="A110" s="316"/>
      <c r="B110" s="2064"/>
      <c r="C110" s="2065"/>
      <c r="D110" s="2065"/>
      <c r="E110" s="2065"/>
      <c r="F110" s="2065"/>
      <c r="G110" s="2065"/>
      <c r="H110" s="2065"/>
      <c r="I110" s="2066"/>
    </row>
    <row r="111" spans="1:9" s="181" customFormat="1" ht="11.25" customHeight="1" x14ac:dyDescent="0.2">
      <c r="A111" s="316"/>
      <c r="B111" s="2064"/>
      <c r="C111" s="2065"/>
      <c r="D111" s="2065"/>
      <c r="E111" s="2065"/>
      <c r="F111" s="2065"/>
      <c r="G111" s="2065"/>
      <c r="H111" s="2065"/>
      <c r="I111" s="2066"/>
    </row>
    <row r="112" spans="1:9" s="181" customFormat="1" ht="11.25" customHeight="1" x14ac:dyDescent="0.2">
      <c r="A112" s="316"/>
      <c r="B112" s="2067"/>
      <c r="C112" s="2068"/>
      <c r="D112" s="2068"/>
      <c r="E112" s="2068"/>
      <c r="F112" s="2068"/>
      <c r="G112" s="2068"/>
      <c r="H112" s="2068"/>
      <c r="I112" s="206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0" t="s">
        <v>2066</v>
      </c>
      <c r="D114" s="2070"/>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1" t="s">
        <v>1330</v>
      </c>
      <c r="D117" s="2072"/>
      <c r="E117" s="2073"/>
      <c r="F117" s="2073"/>
      <c r="G117" s="2073"/>
      <c r="H117" s="2073"/>
      <c r="I117" s="304"/>
    </row>
    <row r="118" spans="1:9" s="181" customFormat="1" ht="24" customHeight="1" x14ac:dyDescent="0.2">
      <c r="A118" s="316"/>
      <c r="B118" s="316"/>
      <c r="C118" s="316"/>
      <c r="D118" s="323"/>
      <c r="E118" s="322"/>
      <c r="F118" s="324"/>
      <c r="G118" s="1833"/>
      <c r="H118" s="322"/>
      <c r="I118" s="304"/>
    </row>
    <row r="119" spans="1:9" s="181" customFormat="1" ht="11.25" customHeight="1" x14ac:dyDescent="0.2">
      <c r="A119" s="325"/>
      <c r="B119" s="325"/>
      <c r="C119" s="326"/>
      <c r="D119" s="327" t="s">
        <v>361</v>
      </c>
      <c r="E119" s="310"/>
      <c r="F119" s="1832" t="s">
        <v>1905</v>
      </c>
      <c r="G119" s="328"/>
      <c r="H119" s="328"/>
      <c r="I119" s="304"/>
    </row>
    <row r="120" spans="1:9" x14ac:dyDescent="0.2">
      <c r="A120" s="329"/>
      <c r="B120" s="180"/>
      <c r="C120" s="330"/>
      <c r="D120" s="256"/>
      <c r="E120" s="256"/>
      <c r="F120" s="256"/>
      <c r="G120" s="256"/>
      <c r="H120" s="256"/>
      <c r="I120" s="304"/>
    </row>
    <row r="121" spans="1:9" x14ac:dyDescent="0.2">
      <c r="A121" s="329"/>
      <c r="B121" s="1486"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9" zoomScale="110" zoomScaleNormal="110" workbookViewId="0">
      <selection activeCell="C34" sqref="C34"/>
    </sheetView>
  </sheetViews>
  <sheetFormatPr defaultColWidth="9.140625" defaultRowHeight="12.75" x14ac:dyDescent="0.2"/>
  <cols>
    <col min="1" max="1" width="1.42578125" style="1295" customWidth="1"/>
    <col min="2" max="2" width="24.42578125" style="1352" customWidth="1"/>
    <col min="3" max="3" width="29.5703125" style="317" customWidth="1"/>
    <col min="4" max="4" width="9.28515625" style="317" customWidth="1"/>
    <col min="5" max="5" width="5.28515625" style="1253"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9" t="str">
        <f>'Single Audit Cover'!A7</f>
        <v>Okaw Area Vocational Center</v>
      </c>
      <c r="C1" s="2460"/>
      <c r="D1" s="2460"/>
      <c r="E1" s="2460"/>
      <c r="F1" s="2460"/>
      <c r="G1" s="2460"/>
      <c r="H1" s="2460"/>
      <c r="I1" s="2460"/>
      <c r="J1" s="1404"/>
    </row>
    <row r="2" spans="2:10" s="317" customFormat="1" ht="12.75" customHeight="1" x14ac:dyDescent="0.2">
      <c r="B2" s="2461">
        <f>'Single Audit Cover'!E7</f>
        <v>3026203041</v>
      </c>
      <c r="C2" s="2462"/>
      <c r="D2" s="2462"/>
      <c r="E2" s="2462"/>
      <c r="F2" s="2462"/>
      <c r="G2" s="2462"/>
      <c r="H2" s="2462"/>
      <c r="I2" s="2462"/>
      <c r="J2" s="1404"/>
    </row>
    <row r="3" spans="2:10" s="317" customFormat="1" ht="12.75" customHeight="1" x14ac:dyDescent="0.2">
      <c r="B3" s="2463" t="s">
        <v>1285</v>
      </c>
      <c r="C3" s="2464"/>
      <c r="D3" s="2464"/>
      <c r="E3" s="2464"/>
      <c r="F3" s="2464"/>
      <c r="G3" s="2464"/>
      <c r="H3" s="2464"/>
      <c r="I3" s="2464"/>
      <c r="J3" s="1405"/>
    </row>
    <row r="4" spans="2:10" s="317" customFormat="1" ht="12.75" customHeight="1" x14ac:dyDescent="0.2">
      <c r="B4" s="2463" t="str">
        <f>'Single Audit Cover'!A4</f>
        <v>Year Ending June 30, 2019</v>
      </c>
      <c r="C4" s="2464"/>
      <c r="D4" s="2464"/>
      <c r="E4" s="2464"/>
      <c r="F4" s="2464"/>
      <c r="G4" s="2464"/>
      <c r="H4" s="2464"/>
      <c r="I4" s="2464"/>
    </row>
    <row r="5" spans="2:10" s="317" customFormat="1" ht="6.2" customHeight="1" x14ac:dyDescent="0.2">
      <c r="B5" s="1406" t="s">
        <v>1169</v>
      </c>
      <c r="C5" s="1289"/>
      <c r="D5" s="1289"/>
      <c r="E5" s="1378"/>
      <c r="F5" s="322"/>
      <c r="G5" s="322"/>
      <c r="H5" s="322"/>
      <c r="I5" s="322"/>
    </row>
    <row r="6" spans="2:10" s="317" customFormat="1" ht="6.2" customHeight="1" x14ac:dyDescent="0.2">
      <c r="B6" s="1407"/>
      <c r="C6" s="1374"/>
      <c r="D6" s="1374"/>
      <c r="E6" s="1375"/>
      <c r="F6" s="1374"/>
      <c r="G6" s="1374"/>
      <c r="H6" s="1374"/>
      <c r="I6" s="1374"/>
    </row>
    <row r="7" spans="2:10" s="317" customFormat="1" ht="13.5" customHeight="1" x14ac:dyDescent="0.2">
      <c r="B7" s="2463" t="s">
        <v>1284</v>
      </c>
      <c r="C7" s="2464"/>
      <c r="D7" s="2464"/>
      <c r="E7" s="2464"/>
      <c r="F7" s="2464"/>
      <c r="G7" s="2464"/>
      <c r="H7" s="2464"/>
      <c r="I7" s="2464"/>
    </row>
    <row r="8" spans="2:10" s="317" customFormat="1" ht="6.2" customHeight="1" x14ac:dyDescent="0.2">
      <c r="B8" s="1408" t="s">
        <v>1169</v>
      </c>
      <c r="C8" s="1409"/>
      <c r="D8" s="1409"/>
      <c r="E8" s="1410"/>
      <c r="F8" s="1409"/>
      <c r="G8" s="1409"/>
      <c r="H8" s="1409"/>
      <c r="I8" s="1409"/>
    </row>
    <row r="9" spans="2:10" s="317" customFormat="1" ht="9" customHeight="1" x14ac:dyDescent="0.2">
      <c r="B9" s="1411"/>
      <c r="C9" s="322"/>
      <c r="D9" s="322"/>
      <c r="E9" s="1378"/>
      <c r="F9" s="322"/>
      <c r="G9" s="322"/>
      <c r="H9" s="322"/>
      <c r="I9" s="322"/>
    </row>
    <row r="10" spans="2:10" s="317" customFormat="1" ht="12.75" customHeight="1" x14ac:dyDescent="0.2">
      <c r="B10" s="1412" t="s">
        <v>1283</v>
      </c>
      <c r="C10" s="1413"/>
      <c r="D10" s="1413"/>
      <c r="E10" s="1253"/>
    </row>
    <row r="11" spans="2:10" s="317" customFormat="1" ht="13.5" customHeight="1" x14ac:dyDescent="0.2">
      <c r="B11" s="1344" t="s">
        <v>1282</v>
      </c>
      <c r="C11" s="2465"/>
      <c r="D11" s="2465"/>
      <c r="E11" s="1414"/>
      <c r="F11" s="1414"/>
      <c r="G11" s="1414"/>
    </row>
    <row r="12" spans="2:10" s="317" customFormat="1" ht="11.45" customHeight="1" x14ac:dyDescent="0.2">
      <c r="B12" s="1352"/>
      <c r="C12" s="1415" t="s">
        <v>1442</v>
      </c>
      <c r="D12" s="1416"/>
      <c r="E12" s="1253"/>
    </row>
    <row r="13" spans="2:10" s="317" customFormat="1" ht="12.75" customHeight="1" x14ac:dyDescent="0.2">
      <c r="B13" s="1417"/>
      <c r="C13" s="1382"/>
      <c r="D13" s="1382"/>
      <c r="E13" s="1253"/>
    </row>
    <row r="14" spans="2:10" s="317" customFormat="1" ht="12.75" customHeight="1" x14ac:dyDescent="0.2">
      <c r="B14" s="1363" t="s">
        <v>1281</v>
      </c>
      <c r="C14" s="1277"/>
      <c r="E14" s="1253"/>
    </row>
    <row r="15" spans="2:10" s="317" customFormat="1" ht="13.5" customHeight="1" x14ac:dyDescent="0.2">
      <c r="B15" s="1418" t="s">
        <v>1278</v>
      </c>
      <c r="C15" s="1419"/>
      <c r="D15" s="1393"/>
      <c r="E15" s="1420"/>
      <c r="F15" s="1295" t="s">
        <v>885</v>
      </c>
      <c r="G15" s="1420"/>
      <c r="H15" s="1295" t="s">
        <v>1276</v>
      </c>
      <c r="I15" s="1295"/>
    </row>
    <row r="16" spans="2:10" s="317" customFormat="1" ht="8.4499999999999993" customHeight="1" x14ac:dyDescent="0.2">
      <c r="B16" s="1363"/>
      <c r="C16" s="1277"/>
      <c r="E16" s="1378"/>
      <c r="F16" s="1295"/>
      <c r="G16" s="322"/>
      <c r="H16" s="1295"/>
      <c r="I16" s="1295"/>
    </row>
    <row r="17" spans="2:9" s="317" customFormat="1" ht="13.5" customHeight="1" x14ac:dyDescent="0.2">
      <c r="B17" s="1418" t="s">
        <v>1277</v>
      </c>
      <c r="C17" s="1419"/>
      <c r="D17" s="1393"/>
      <c r="E17" s="1421"/>
      <c r="F17" s="1252"/>
      <c r="G17" s="1421"/>
      <c r="H17" s="1295"/>
      <c r="I17" s="1295"/>
    </row>
    <row r="18" spans="2:9" s="317" customFormat="1" ht="12.75" customHeight="1" x14ac:dyDescent="0.2">
      <c r="B18" s="1418" t="s">
        <v>1443</v>
      </c>
      <c r="C18" s="1419"/>
      <c r="D18" s="1393"/>
      <c r="E18" s="1420"/>
      <c r="F18" s="1295" t="s">
        <v>885</v>
      </c>
      <c r="G18" s="1420"/>
      <c r="H18" s="1295" t="s">
        <v>1276</v>
      </c>
      <c r="I18" s="1295"/>
    </row>
    <row r="19" spans="2:9" s="317" customFormat="1" ht="8.4499999999999993" customHeight="1" x14ac:dyDescent="0.2">
      <c r="B19" s="1363"/>
      <c r="C19" s="1277"/>
      <c r="E19" s="1378"/>
      <c r="F19" s="1295"/>
      <c r="G19" s="322"/>
      <c r="H19" s="1295"/>
      <c r="I19" s="1295"/>
    </row>
    <row r="20" spans="2:9" s="317" customFormat="1" ht="13.5" customHeight="1" x14ac:dyDescent="0.2">
      <c r="B20" s="1418" t="s">
        <v>1591</v>
      </c>
      <c r="C20" s="1419"/>
      <c r="D20" s="1393"/>
      <c r="E20" s="1420"/>
      <c r="F20" s="1295" t="s">
        <v>885</v>
      </c>
      <c r="G20" s="1420"/>
      <c r="H20" s="1295" t="s">
        <v>99</v>
      </c>
      <c r="I20" s="1295"/>
    </row>
    <row r="21" spans="2:9" s="317" customFormat="1" ht="12.75" customHeight="1" x14ac:dyDescent="0.2">
      <c r="B21" s="1363"/>
      <c r="C21" s="1277"/>
      <c r="E21" s="1378"/>
      <c r="F21" s="1295"/>
      <c r="G21" s="322"/>
      <c r="H21" s="1295"/>
      <c r="I21" s="1295"/>
    </row>
    <row r="22" spans="2:9" s="317" customFormat="1" ht="12.75" customHeight="1" x14ac:dyDescent="0.2">
      <c r="B22" s="1412" t="s">
        <v>1280</v>
      </c>
      <c r="C22" s="1422"/>
      <c r="D22" s="1413"/>
      <c r="E22" s="1378"/>
      <c r="F22" s="1295"/>
      <c r="G22" s="322"/>
      <c r="H22" s="1295"/>
      <c r="I22" s="1295"/>
    </row>
    <row r="23" spans="2:9" s="317" customFormat="1" ht="12.75" customHeight="1" x14ac:dyDescent="0.2">
      <c r="B23" s="1363" t="s">
        <v>1279</v>
      </c>
      <c r="C23" s="1277"/>
      <c r="E23" s="1378"/>
      <c r="F23" s="1295"/>
      <c r="G23" s="322"/>
      <c r="H23" s="1295"/>
      <c r="I23" s="1295"/>
    </row>
    <row r="24" spans="2:9" s="317" customFormat="1" ht="13.5" customHeight="1" x14ac:dyDescent="0.2">
      <c r="B24" s="1418" t="s">
        <v>1278</v>
      </c>
      <c r="C24" s="1419"/>
      <c r="D24" s="1393"/>
      <c r="E24" s="1420"/>
      <c r="F24" s="1295" t="s">
        <v>885</v>
      </c>
      <c r="G24" s="1420"/>
      <c r="H24" s="1295" t="s">
        <v>1276</v>
      </c>
      <c r="I24" s="1295"/>
    </row>
    <row r="25" spans="2:9" s="317" customFormat="1" ht="8.4499999999999993" customHeight="1" x14ac:dyDescent="0.2">
      <c r="B25" s="1363"/>
      <c r="C25" s="1277"/>
      <c r="E25" s="1378"/>
      <c r="F25" s="1295"/>
      <c r="G25" s="322"/>
      <c r="H25" s="1295"/>
      <c r="I25" s="1295"/>
    </row>
    <row r="26" spans="2:9" s="317" customFormat="1" ht="13.5" customHeight="1" x14ac:dyDescent="0.2">
      <c r="B26" s="1418" t="s">
        <v>1277</v>
      </c>
      <c r="C26" s="1419"/>
      <c r="D26" s="1393"/>
      <c r="E26" s="1421"/>
      <c r="F26" s="1252"/>
      <c r="G26" s="1421"/>
      <c r="H26" s="1295"/>
      <c r="I26" s="1295"/>
    </row>
    <row r="27" spans="2:9" s="317" customFormat="1" ht="12.75" customHeight="1" x14ac:dyDescent="0.2">
      <c r="B27" s="1418" t="s">
        <v>1443</v>
      </c>
      <c r="C27" s="1419"/>
      <c r="D27" s="1393"/>
      <c r="E27" s="1420"/>
      <c r="F27" s="1295" t="s">
        <v>885</v>
      </c>
      <c r="G27" s="1420"/>
      <c r="H27" s="1295" t="s">
        <v>1276</v>
      </c>
      <c r="I27" s="1295"/>
    </row>
    <row r="28" spans="2:9" s="317" customFormat="1" ht="12.75" customHeight="1" x14ac:dyDescent="0.2">
      <c r="B28" s="1363"/>
      <c r="C28" s="1277"/>
      <c r="E28" s="1253"/>
    </row>
    <row r="29" spans="2:9" s="317" customFormat="1" ht="12.75" customHeight="1" x14ac:dyDescent="0.2">
      <c r="B29" s="1363" t="s">
        <v>1275</v>
      </c>
      <c r="C29" s="1277"/>
      <c r="D29" s="2466"/>
      <c r="E29" s="2466"/>
      <c r="F29" s="2466"/>
      <c r="G29" s="2466"/>
      <c r="H29" s="2466"/>
      <c r="I29" s="2466"/>
    </row>
    <row r="30" spans="2:9" s="317" customFormat="1" x14ac:dyDescent="0.2">
      <c r="B30" s="1363"/>
      <c r="C30" s="322"/>
      <c r="D30" s="1415" t="s">
        <v>1748</v>
      </c>
      <c r="E30" s="1416"/>
      <c r="F30" s="1416"/>
      <c r="G30" s="1416"/>
      <c r="H30" s="1416"/>
      <c r="I30" s="1416"/>
    </row>
    <row r="31" spans="2:9" s="317" customFormat="1" ht="9.9499999999999993" customHeight="1" x14ac:dyDescent="0.2">
      <c r="B31" s="1363"/>
      <c r="E31" s="1253"/>
    </row>
    <row r="32" spans="2:9" s="317" customFormat="1" x14ac:dyDescent="0.2">
      <c r="B32" s="1363" t="s">
        <v>1274</v>
      </c>
      <c r="C32" s="1277"/>
      <c r="E32" s="1253"/>
    </row>
    <row r="33" spans="2:9" ht="13.5" customHeight="1" x14ac:dyDescent="0.2">
      <c r="B33" s="1363" t="s">
        <v>1552</v>
      </c>
      <c r="C33" s="1277"/>
      <c r="E33" s="1420"/>
      <c r="F33" s="1295" t="s">
        <v>885</v>
      </c>
      <c r="G33" s="1420"/>
      <c r="H33" s="1295" t="s">
        <v>99</v>
      </c>
    </row>
    <row r="35" spans="2:9" x14ac:dyDescent="0.2">
      <c r="B35" s="1423" t="s">
        <v>1749</v>
      </c>
      <c r="C35" s="1424"/>
      <c r="D35" s="1262"/>
    </row>
    <row r="36" spans="2:9" ht="6" customHeight="1" x14ac:dyDescent="0.2">
      <c r="B36" s="1423"/>
      <c r="C36" s="1424"/>
      <c r="D36" s="1262"/>
    </row>
    <row r="37" spans="2:9" ht="17.25" customHeight="1" x14ac:dyDescent="0.2">
      <c r="B37" s="1425" t="s">
        <v>1750</v>
      </c>
      <c r="C37" s="2467" t="s">
        <v>1751</v>
      </c>
      <c r="D37" s="2468"/>
      <c r="E37" s="2468"/>
      <c r="F37" s="2469"/>
      <c r="G37" s="2467" t="s">
        <v>1592</v>
      </c>
      <c r="H37" s="2468"/>
      <c r="I37" s="2469"/>
    </row>
    <row r="38" spans="2:9" ht="16.5" customHeight="1" x14ac:dyDescent="0.2">
      <c r="B38" s="1426"/>
      <c r="C38" s="2455"/>
      <c r="D38" s="2456"/>
      <c r="E38" s="2456"/>
      <c r="F38" s="2457"/>
      <c r="G38" s="2470"/>
      <c r="H38" s="2471"/>
      <c r="I38" s="2472"/>
    </row>
    <row r="39" spans="2:9" ht="16.5" customHeight="1" x14ac:dyDescent="0.2">
      <c r="B39" s="1426"/>
      <c r="C39" s="2455"/>
      <c r="D39" s="2456"/>
      <c r="E39" s="2456"/>
      <c r="F39" s="2457"/>
      <c r="G39" s="2458"/>
      <c r="H39" s="2458"/>
      <c r="I39" s="2458"/>
    </row>
    <row r="40" spans="2:9" ht="16.5" customHeight="1" x14ac:dyDescent="0.2">
      <c r="B40" s="1426"/>
      <c r="C40" s="2455"/>
      <c r="D40" s="2456"/>
      <c r="E40" s="2456"/>
      <c r="F40" s="2457"/>
      <c r="G40" s="2458"/>
      <c r="H40" s="2458"/>
      <c r="I40" s="2458"/>
    </row>
    <row r="41" spans="2:9" ht="16.5" customHeight="1" x14ac:dyDescent="0.2">
      <c r="B41" s="1426"/>
      <c r="C41" s="2455"/>
      <c r="D41" s="2456"/>
      <c r="E41" s="2456"/>
      <c r="F41" s="2457"/>
      <c r="G41" s="2458"/>
      <c r="H41" s="2458"/>
      <c r="I41" s="2458"/>
    </row>
    <row r="42" spans="2:9" ht="16.5" customHeight="1" x14ac:dyDescent="0.2">
      <c r="B42" s="1426"/>
      <c r="C42" s="2455"/>
      <c r="D42" s="2456"/>
      <c r="E42" s="2456"/>
      <c r="F42" s="2457"/>
      <c r="G42" s="2458"/>
      <c r="H42" s="2458"/>
      <c r="I42" s="2458"/>
    </row>
    <row r="43" spans="2:9" ht="16.5" customHeight="1" x14ac:dyDescent="0.2">
      <c r="B43" s="1426"/>
      <c r="C43" s="2473" t="s">
        <v>1593</v>
      </c>
      <c r="D43" s="2474"/>
      <c r="E43" s="2474"/>
      <c r="F43" s="2475"/>
      <c r="G43" s="2476">
        <f>SUM(G38:I42)</f>
        <v>0</v>
      </c>
      <c r="H43" s="2476"/>
      <c r="I43" s="2476"/>
    </row>
    <row r="44" spans="2:9" ht="12.75" customHeight="1" x14ac:dyDescent="0.2"/>
    <row r="45" spans="2:9" ht="12.75" customHeight="1" x14ac:dyDescent="0.2">
      <c r="B45" s="1417" t="s">
        <v>2062</v>
      </c>
      <c r="D45" s="2477">
        <v>0</v>
      </c>
      <c r="E45" s="2478"/>
    </row>
    <row r="46" spans="2:9" ht="5.25" customHeight="1" x14ac:dyDescent="0.2">
      <c r="B46" s="1427"/>
      <c r="D46" s="1428"/>
      <c r="E46" s="1429"/>
    </row>
    <row r="47" spans="2:9" ht="12.75" customHeight="1" x14ac:dyDescent="0.2">
      <c r="B47" s="1295" t="s">
        <v>1594</v>
      </c>
      <c r="C47" s="1295"/>
      <c r="D47" s="1430" t="e">
        <f>+G43/D45</f>
        <v>#DIV/0!</v>
      </c>
      <c r="E47" s="1431"/>
      <c r="F47" s="1432"/>
      <c r="I47" s="1433"/>
    </row>
    <row r="48" spans="2:9" ht="9.9499999999999993" customHeight="1" x14ac:dyDescent="0.2"/>
    <row r="49" spans="1:9" x14ac:dyDescent="0.2">
      <c r="B49" s="1363" t="s">
        <v>1273</v>
      </c>
      <c r="C49" s="1277"/>
      <c r="D49" s="1277"/>
      <c r="E49" s="2479"/>
      <c r="F49" s="2479"/>
      <c r="G49" s="2479"/>
      <c r="H49" s="322"/>
    </row>
    <row r="51" spans="1:9" ht="13.5" customHeight="1" x14ac:dyDescent="0.2">
      <c r="B51" s="1363" t="s">
        <v>1272</v>
      </c>
      <c r="C51" s="1277"/>
      <c r="E51" s="1420"/>
      <c r="F51" s="1295" t="s">
        <v>885</v>
      </c>
      <c r="G51" s="1420"/>
      <c r="H51" s="1295" t="s">
        <v>99</v>
      </c>
    </row>
    <row r="52" spans="1:9" x14ac:dyDescent="0.2">
      <c r="B52" s="1355"/>
      <c r="C52" s="1292"/>
      <c r="D52" s="1434"/>
      <c r="E52" s="1435"/>
      <c r="F52" s="1436"/>
      <c r="G52" s="1436"/>
      <c r="H52" s="1436"/>
      <c r="I52" s="1436"/>
    </row>
    <row r="53" spans="1:9" ht="6" customHeight="1" x14ac:dyDescent="0.2">
      <c r="B53" s="1411"/>
      <c r="C53" s="322"/>
      <c r="D53" s="1437"/>
      <c r="E53" s="1438"/>
      <c r="F53" s="1439"/>
      <c r="G53" s="1439"/>
      <c r="H53" s="1439"/>
      <c r="I53" s="1439"/>
    </row>
    <row r="54" spans="1:9" s="1443" customFormat="1" ht="14.25" x14ac:dyDescent="0.2">
      <c r="A54" s="1440"/>
      <c r="B54" s="1441" t="s">
        <v>1752</v>
      </c>
      <c r="C54" s="1442"/>
      <c r="D54" s="1442"/>
    </row>
    <row r="55" spans="1:9" s="1443" customFormat="1" ht="12.75" customHeight="1" x14ac:dyDescent="0.2">
      <c r="A55" s="1440"/>
      <c r="B55" s="1444" t="s">
        <v>1595</v>
      </c>
      <c r="C55" s="1440"/>
      <c r="D55" s="1440"/>
    </row>
    <row r="56" spans="1:9" s="1443" customFormat="1" ht="12.75" customHeight="1" x14ac:dyDescent="0.2">
      <c r="A56" s="1440"/>
      <c r="B56" s="1444" t="s">
        <v>1596</v>
      </c>
      <c r="C56" s="1440"/>
      <c r="D56" s="1440"/>
    </row>
    <row r="57" spans="1:9" s="1443" customFormat="1" ht="3.95" customHeight="1" x14ac:dyDescent="0.2">
      <c r="A57" s="1440"/>
      <c r="B57" s="1444"/>
      <c r="C57" s="1440"/>
      <c r="D57" s="1440"/>
    </row>
    <row r="58" spans="1:9" s="1443" customFormat="1" ht="13.5" customHeight="1" x14ac:dyDescent="0.2">
      <c r="A58" s="1440"/>
      <c r="B58" s="1445" t="s">
        <v>1753</v>
      </c>
      <c r="C58" s="1446"/>
      <c r="D58" s="1446"/>
    </row>
    <row r="59" spans="1:9" s="1443" customFormat="1" ht="3.95" customHeight="1" x14ac:dyDescent="0.2">
      <c r="A59" s="1440"/>
      <c r="B59" s="1445"/>
      <c r="C59" s="1446"/>
      <c r="D59" s="1446"/>
    </row>
    <row r="60" spans="1:9" s="1443" customFormat="1" ht="13.5" customHeight="1" x14ac:dyDescent="0.2">
      <c r="A60" s="1440"/>
      <c r="B60" s="1445" t="s">
        <v>1754</v>
      </c>
      <c r="C60" s="1446"/>
      <c r="D60" s="1446"/>
    </row>
    <row r="61" spans="1:9" s="1443" customFormat="1" ht="3.95" customHeight="1" x14ac:dyDescent="0.2">
      <c r="A61" s="1440"/>
      <c r="B61" s="1445"/>
      <c r="C61" s="1446"/>
      <c r="D61" s="1446"/>
    </row>
    <row r="62" spans="1:9" s="1443" customFormat="1" ht="12.75" customHeight="1" x14ac:dyDescent="0.2">
      <c r="A62" s="1440"/>
      <c r="B62" s="1445" t="s">
        <v>1755</v>
      </c>
      <c r="C62" s="1446"/>
      <c r="D62" s="1446"/>
    </row>
    <row r="63" spans="1:9" s="1443" customFormat="1" ht="13.5" customHeight="1" x14ac:dyDescent="0.2">
      <c r="A63" s="1440"/>
      <c r="B63" s="1444" t="s">
        <v>1597</v>
      </c>
      <c r="C63" s="1440"/>
      <c r="D63" s="1440"/>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29" sqref="B29:K29"/>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9" t="str">
        <f>'Single Audit Cover'!A7</f>
        <v>Okaw Area Vocational Center</v>
      </c>
      <c r="C1" s="2459"/>
      <c r="D1" s="2459"/>
      <c r="E1" s="2459"/>
      <c r="F1" s="2459"/>
      <c r="G1" s="2459"/>
      <c r="H1" s="2459"/>
      <c r="I1" s="2459"/>
      <c r="J1" s="2459"/>
      <c r="K1" s="2459"/>
      <c r="L1" s="1369"/>
      <c r="M1" s="1369"/>
    </row>
    <row r="2" spans="1:13" ht="12" customHeight="1" x14ac:dyDescent="0.2">
      <c r="B2" s="2461">
        <f>'Single Audit Cover'!E7</f>
        <v>3026203041</v>
      </c>
      <c r="C2" s="2461"/>
      <c r="D2" s="2461"/>
      <c r="E2" s="2461"/>
      <c r="F2" s="2461"/>
      <c r="G2" s="2461"/>
      <c r="H2" s="2461"/>
      <c r="I2" s="2461"/>
      <c r="J2" s="2461"/>
      <c r="K2" s="2461"/>
      <c r="L2" s="1370"/>
      <c r="M2" s="1371"/>
    </row>
    <row r="3" spans="1:13" ht="10.35" customHeight="1" x14ac:dyDescent="0.2">
      <c r="B3" s="2482" t="s">
        <v>1285</v>
      </c>
      <c r="C3" s="2482"/>
      <c r="D3" s="2482"/>
      <c r="E3" s="2482"/>
      <c r="F3" s="2482"/>
      <c r="G3" s="2482"/>
      <c r="H3" s="2482"/>
      <c r="I3" s="2482"/>
      <c r="J3" s="2482"/>
      <c r="K3" s="2482"/>
      <c r="L3" s="1372"/>
      <c r="M3" s="1372"/>
    </row>
    <row r="4" spans="1:13" ht="14.25" customHeight="1" x14ac:dyDescent="0.2">
      <c r="B4" s="2483" t="str">
        <f>'Single Audit Cover'!A4</f>
        <v>Year Ending June 30, 2019</v>
      </c>
      <c r="C4" s="2483"/>
      <c r="D4" s="2483"/>
      <c r="E4" s="2483"/>
      <c r="F4" s="2483"/>
      <c r="G4" s="2483"/>
      <c r="H4" s="2483"/>
      <c r="I4" s="2483"/>
      <c r="J4" s="2483"/>
      <c r="K4" s="2483"/>
      <c r="L4" s="313"/>
      <c r="M4" s="313"/>
    </row>
    <row r="5" spans="1:13" ht="7.5" customHeight="1" x14ac:dyDescent="0.2">
      <c r="B5" s="1255" t="s">
        <v>1169</v>
      </c>
      <c r="C5" s="1255"/>
    </row>
    <row r="6" spans="1:13" ht="7.5" customHeight="1" x14ac:dyDescent="0.2">
      <c r="B6" s="1373"/>
      <c r="C6" s="1373"/>
      <c r="D6" s="1374"/>
      <c r="E6" s="1374"/>
      <c r="F6" s="1374"/>
      <c r="G6" s="1375"/>
      <c r="H6" s="1374"/>
      <c r="I6" s="1375"/>
      <c r="J6" s="1374"/>
      <c r="K6" s="1374"/>
      <c r="L6" s="1376"/>
    </row>
    <row r="7" spans="1:13" ht="12.75" customHeight="1" x14ac:dyDescent="0.2">
      <c r="A7" s="1277"/>
      <c r="B7" s="2483" t="s">
        <v>1296</v>
      </c>
      <c r="C7" s="2483"/>
      <c r="D7" s="2484"/>
      <c r="E7" s="2484"/>
      <c r="F7" s="2484"/>
      <c r="G7" s="2484"/>
      <c r="H7" s="2484"/>
      <c r="I7" s="2484"/>
      <c r="J7" s="2484"/>
      <c r="K7" s="2484"/>
      <c r="L7" s="1377"/>
    </row>
    <row r="8" spans="1:13" ht="7.5" customHeight="1" x14ac:dyDescent="0.2">
      <c r="B8" s="322"/>
      <c r="C8" s="322"/>
      <c r="D8" s="322"/>
      <c r="E8" s="322"/>
      <c r="F8" s="322"/>
      <c r="G8" s="1378"/>
      <c r="H8" s="322"/>
      <c r="I8" s="1378"/>
      <c r="J8" s="322"/>
      <c r="K8" s="322"/>
      <c r="L8" s="1376"/>
    </row>
    <row r="9" spans="1:13" ht="9.6" customHeight="1" x14ac:dyDescent="0.2">
      <c r="B9" s="1374"/>
      <c r="C9" s="1374"/>
      <c r="D9" s="1374"/>
      <c r="E9" s="1374"/>
      <c r="F9" s="1374"/>
      <c r="G9" s="1375"/>
      <c r="H9" s="1374"/>
      <c r="I9" s="1375"/>
      <c r="J9" s="1374"/>
      <c r="K9" s="1374"/>
      <c r="L9" s="1376"/>
    </row>
    <row r="10" spans="1:13" ht="16.5" customHeight="1" x14ac:dyDescent="0.2">
      <c r="B10" s="1379" t="s">
        <v>1742</v>
      </c>
      <c r="C10" s="1380" t="s">
        <v>1989</v>
      </c>
      <c r="D10" s="1381">
        <v>1</v>
      </c>
      <c r="E10" s="322"/>
      <c r="F10" s="1382" t="s">
        <v>1295</v>
      </c>
      <c r="G10" s="1383"/>
      <c r="H10" s="1384" t="s">
        <v>1294</v>
      </c>
      <c r="I10" s="1383" t="s">
        <v>2065</v>
      </c>
      <c r="J10" s="1385" t="s">
        <v>1293</v>
      </c>
      <c r="K10" s="322"/>
      <c r="L10" s="1376"/>
    </row>
    <row r="11" spans="1:13" ht="13.5" customHeight="1" x14ac:dyDescent="0.2">
      <c r="B11" s="322"/>
      <c r="C11" s="322"/>
      <c r="D11" s="322"/>
      <c r="E11" s="322"/>
      <c r="F11" s="322"/>
      <c r="G11" s="1378"/>
      <c r="H11" s="322"/>
      <c r="I11" s="1386" t="s">
        <v>1292</v>
      </c>
      <c r="J11" s="322"/>
      <c r="K11" s="1387">
        <v>2017</v>
      </c>
      <c r="L11" s="1376"/>
    </row>
    <row r="12" spans="1:13" ht="13.5" customHeight="1" x14ac:dyDescent="0.2">
      <c r="B12" s="1289"/>
      <c r="C12" s="1289"/>
      <c r="D12" s="322"/>
      <c r="E12" s="322"/>
      <c r="F12" s="322"/>
      <c r="G12" s="1378"/>
      <c r="H12" s="322"/>
      <c r="I12" s="1378"/>
      <c r="J12" s="322"/>
      <c r="L12" s="1376"/>
    </row>
    <row r="13" spans="1:13" s="1277" customFormat="1" ht="13.5" customHeight="1" x14ac:dyDescent="0.2">
      <c r="B13" s="1388" t="s">
        <v>1291</v>
      </c>
      <c r="C13" s="1388"/>
      <c r="D13" s="1389"/>
      <c r="E13" s="1389"/>
      <c r="F13" s="1389"/>
      <c r="G13" s="1390"/>
      <c r="H13" s="1389"/>
      <c r="I13" s="1390"/>
      <c r="J13" s="1389"/>
      <c r="K13" s="1389"/>
      <c r="L13" s="1391"/>
    </row>
    <row r="14" spans="1:13" ht="56.25" customHeight="1" x14ac:dyDescent="0.2">
      <c r="B14" s="2481" t="s">
        <v>2089</v>
      </c>
      <c r="C14" s="2481"/>
      <c r="D14" s="2481"/>
      <c r="E14" s="2481"/>
      <c r="F14" s="2481"/>
      <c r="G14" s="2481"/>
      <c r="H14" s="2481"/>
      <c r="I14" s="2481"/>
      <c r="J14" s="2481"/>
      <c r="K14" s="2481"/>
      <c r="L14" s="1392"/>
    </row>
    <row r="15" spans="1:13" ht="4.5" customHeight="1" x14ac:dyDescent="0.2">
      <c r="B15" s="1393"/>
      <c r="C15" s="1393"/>
      <c r="D15" s="1394"/>
      <c r="E15" s="1394"/>
      <c r="F15" s="1394"/>
      <c r="H15" s="1394"/>
      <c r="J15" s="1394"/>
      <c r="K15" s="1394"/>
      <c r="L15" s="1392"/>
    </row>
    <row r="16" spans="1:13" s="1277" customFormat="1" ht="13.5" customHeight="1" x14ac:dyDescent="0.2">
      <c r="B16" s="1388" t="s">
        <v>1290</v>
      </c>
      <c r="C16" s="1388"/>
      <c r="D16" s="1389"/>
      <c r="E16" s="1389"/>
      <c r="F16" s="1389"/>
      <c r="G16" s="1390"/>
      <c r="H16" s="1389"/>
      <c r="I16" s="1390"/>
      <c r="J16" s="1389"/>
      <c r="K16" s="1389"/>
      <c r="L16" s="1391"/>
    </row>
    <row r="17" spans="2:12" ht="45.75" customHeight="1" x14ac:dyDescent="0.2">
      <c r="B17" s="2481" t="s">
        <v>2090</v>
      </c>
      <c r="C17" s="2481"/>
      <c r="D17" s="2481"/>
      <c r="E17" s="2481"/>
      <c r="F17" s="2481"/>
      <c r="G17" s="2481"/>
      <c r="H17" s="2481"/>
      <c r="I17" s="2481"/>
      <c r="J17" s="2481"/>
      <c r="K17" s="2481"/>
      <c r="L17" s="1376"/>
    </row>
    <row r="18" spans="2:12" ht="4.5" customHeight="1" x14ac:dyDescent="0.2">
      <c r="B18" s="1393"/>
      <c r="C18" s="1393"/>
      <c r="L18" s="1376"/>
    </row>
    <row r="19" spans="2:12" s="1277" customFormat="1" ht="13.5" customHeight="1" x14ac:dyDescent="0.2">
      <c r="B19" s="1388" t="s">
        <v>1743</v>
      </c>
      <c r="C19" s="1388"/>
      <c r="D19" s="1389"/>
      <c r="E19" s="1389"/>
      <c r="F19" s="1389"/>
      <c r="G19" s="1390"/>
      <c r="H19" s="1389"/>
      <c r="I19" s="1390"/>
      <c r="J19" s="1389"/>
      <c r="K19" s="1389"/>
      <c r="L19" s="1391"/>
    </row>
    <row r="20" spans="2:12" ht="45.75" customHeight="1" x14ac:dyDescent="0.2">
      <c r="B20" s="2485" t="s">
        <v>2091</v>
      </c>
      <c r="C20" s="2485"/>
      <c r="D20" s="2481"/>
      <c r="E20" s="2481"/>
      <c r="F20" s="2481"/>
      <c r="G20" s="2481"/>
      <c r="H20" s="2481"/>
      <c r="I20" s="2481"/>
      <c r="J20" s="2481"/>
      <c r="K20" s="2481"/>
      <c r="L20" s="1376"/>
    </row>
    <row r="21" spans="2:12" ht="4.5" customHeight="1" x14ac:dyDescent="0.2">
      <c r="B21" s="1395"/>
      <c r="C21" s="1395"/>
      <c r="L21" s="1376"/>
    </row>
    <row r="22" spans="2:12" ht="13.5" customHeight="1" x14ac:dyDescent="0.2">
      <c r="B22" s="1388" t="s">
        <v>1289</v>
      </c>
      <c r="C22" s="1388"/>
      <c r="D22" s="1374"/>
      <c r="E22" s="1374"/>
      <c r="F22" s="1374"/>
      <c r="G22" s="1375"/>
      <c r="H22" s="1374"/>
      <c r="I22" s="1375"/>
      <c r="J22" s="1374"/>
      <c r="K22" s="1374"/>
      <c r="L22" s="1376"/>
    </row>
    <row r="23" spans="2:12" ht="45" customHeight="1" x14ac:dyDescent="0.2">
      <c r="B23" s="2481" t="s">
        <v>2092</v>
      </c>
      <c r="C23" s="2481"/>
      <c r="D23" s="2481"/>
      <c r="E23" s="2481"/>
      <c r="F23" s="2481"/>
      <c r="G23" s="2481"/>
      <c r="H23" s="2481"/>
      <c r="I23" s="2481"/>
      <c r="J23" s="2481"/>
      <c r="K23" s="2481"/>
      <c r="L23" s="1376"/>
    </row>
    <row r="24" spans="2:12" ht="4.5" customHeight="1" x14ac:dyDescent="0.2">
      <c r="B24" s="1393"/>
      <c r="C24" s="1393"/>
      <c r="L24" s="1376"/>
    </row>
    <row r="25" spans="2:12" ht="13.5" customHeight="1" x14ac:dyDescent="0.2">
      <c r="B25" s="1388" t="s">
        <v>1288</v>
      </c>
      <c r="C25" s="1388"/>
      <c r="D25" s="1374"/>
      <c r="E25" s="1374"/>
      <c r="F25" s="1374"/>
      <c r="G25" s="1375"/>
      <c r="H25" s="1374"/>
      <c r="I25" s="1375"/>
      <c r="J25" s="1374"/>
      <c r="K25" s="1374"/>
      <c r="L25" s="1376"/>
    </row>
    <row r="26" spans="2:12" ht="45.75" customHeight="1" x14ac:dyDescent="0.2">
      <c r="B26" s="2481" t="s">
        <v>2093</v>
      </c>
      <c r="C26" s="2481"/>
      <c r="D26" s="2481"/>
      <c r="E26" s="2481"/>
      <c r="F26" s="2481"/>
      <c r="G26" s="2481"/>
      <c r="H26" s="2481"/>
      <c r="I26" s="2481"/>
      <c r="J26" s="2481"/>
      <c r="K26" s="2481"/>
      <c r="L26" s="1376"/>
    </row>
    <row r="27" spans="2:12" ht="4.5" customHeight="1" x14ac:dyDescent="0.2">
      <c r="B27" s="1393"/>
      <c r="C27" s="1393"/>
      <c r="L27" s="1376"/>
    </row>
    <row r="28" spans="2:12" ht="13.5" customHeight="1" x14ac:dyDescent="0.2">
      <c r="B28" s="1396" t="s">
        <v>1287</v>
      </c>
      <c r="C28" s="1396"/>
      <c r="D28" s="1374"/>
      <c r="E28" s="1374"/>
      <c r="F28" s="1374"/>
      <c r="G28" s="1375"/>
      <c r="H28" s="1374"/>
      <c r="I28" s="1375"/>
      <c r="J28" s="1374"/>
      <c r="K28" s="1374"/>
      <c r="L28" s="1376"/>
    </row>
    <row r="29" spans="2:12" ht="45.75" customHeight="1" x14ac:dyDescent="0.2">
      <c r="B29" s="2480" t="s">
        <v>2095</v>
      </c>
      <c r="C29" s="2480"/>
      <c r="D29" s="2481"/>
      <c r="E29" s="2481"/>
      <c r="F29" s="2481"/>
      <c r="G29" s="2481"/>
      <c r="H29" s="2481"/>
      <c r="I29" s="2481"/>
      <c r="J29" s="2481"/>
      <c r="K29" s="2481"/>
      <c r="L29" s="1376"/>
    </row>
    <row r="30" spans="2:12" ht="4.5" customHeight="1" x14ac:dyDescent="0.2">
      <c r="B30" s="1397"/>
      <c r="C30" s="1397"/>
      <c r="D30" s="322"/>
      <c r="E30" s="322"/>
      <c r="F30" s="322"/>
      <c r="G30" s="1378"/>
      <c r="H30" s="322"/>
      <c r="I30" s="1378"/>
      <c r="J30" s="322"/>
      <c r="K30" s="322"/>
      <c r="L30" s="1376"/>
    </row>
    <row r="31" spans="2:12" s="322" customFormat="1" ht="13.5" customHeight="1" x14ac:dyDescent="0.2">
      <c r="B31" s="1398" t="s">
        <v>1744</v>
      </c>
      <c r="C31" s="1398"/>
      <c r="D31" s="1373"/>
      <c r="E31" s="1374"/>
      <c r="F31" s="1374"/>
      <c r="G31" s="1375"/>
      <c r="H31" s="1374"/>
      <c r="I31" s="1375"/>
      <c r="J31" s="1374"/>
      <c r="K31" s="1374"/>
      <c r="L31" s="1376"/>
    </row>
    <row r="32" spans="2:12" s="322" customFormat="1" ht="44.25" customHeight="1" x14ac:dyDescent="0.2">
      <c r="B32" s="2480" t="s">
        <v>2094</v>
      </c>
      <c r="C32" s="2480"/>
      <c r="D32" s="2481"/>
      <c r="E32" s="2481"/>
      <c r="F32" s="2481"/>
      <c r="G32" s="2481"/>
      <c r="H32" s="2481"/>
      <c r="I32" s="2481"/>
      <c r="J32" s="2481"/>
      <c r="K32" s="2481"/>
      <c r="L32" s="1376"/>
    </row>
    <row r="33" spans="1:13" s="322" customFormat="1" ht="4.5" customHeight="1" x14ac:dyDescent="0.2">
      <c r="B33" s="1397"/>
      <c r="C33" s="1397"/>
      <c r="G33" s="1378"/>
      <c r="I33" s="1378"/>
      <c r="L33" s="1376"/>
    </row>
    <row r="34" spans="1:13" s="322" customFormat="1" x14ac:dyDescent="0.2">
      <c r="A34" s="1292"/>
      <c r="B34" s="1399"/>
      <c r="C34" s="1399"/>
      <c r="D34" s="1399"/>
      <c r="E34" s="1399"/>
      <c r="F34" s="1399"/>
      <c r="G34" s="1400"/>
      <c r="H34" s="1399"/>
      <c r="I34" s="1400"/>
      <c r="J34" s="1399"/>
      <c r="K34" s="1399"/>
      <c r="L34" s="1376"/>
    </row>
    <row r="35" spans="1:13" ht="11.85" customHeight="1" x14ac:dyDescent="0.2">
      <c r="B35" s="1401" t="s">
        <v>1745</v>
      </c>
      <c r="C35" s="1401"/>
      <c r="D35" s="322"/>
      <c r="E35" s="322"/>
      <c r="F35" s="322"/>
      <c r="L35" s="1376"/>
    </row>
    <row r="36" spans="1:13" ht="9.6" customHeight="1" x14ac:dyDescent="0.2">
      <c r="B36" s="1295" t="s">
        <v>1841</v>
      </c>
      <c r="C36" s="1295"/>
      <c r="L36" s="1376"/>
    </row>
    <row r="37" spans="1:13" ht="9.6" customHeight="1" x14ac:dyDescent="0.2">
      <c r="B37" s="1295" t="s">
        <v>1842</v>
      </c>
      <c r="C37" s="1295"/>
    </row>
    <row r="38" spans="1:13" ht="11.85" customHeight="1" x14ac:dyDescent="0.2">
      <c r="B38" s="1402" t="s">
        <v>1746</v>
      </c>
      <c r="C38" s="1402"/>
    </row>
    <row r="39" spans="1:13" ht="9.6" customHeight="1" x14ac:dyDescent="0.2">
      <c r="B39" s="1295" t="s">
        <v>1286</v>
      </c>
      <c r="C39" s="1295"/>
      <c r="M39" s="1403"/>
    </row>
    <row r="40" spans="1:13" ht="12.6" customHeight="1" x14ac:dyDescent="0.2">
      <c r="B40" s="1402" t="s">
        <v>1747</v>
      </c>
      <c r="C40" s="1402"/>
      <c r="M40" s="1403"/>
    </row>
    <row r="41" spans="1:13" ht="9.6" customHeight="1" x14ac:dyDescent="0.2">
      <c r="B41" s="1295"/>
      <c r="C41" s="1295"/>
      <c r="M41" s="1403"/>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6" t="str">
        <f>'Single Audit Cover'!A7</f>
        <v>Okaw Area Vocational Center</v>
      </c>
      <c r="C1" s="2486"/>
      <c r="D1" s="2486"/>
      <c r="E1" s="2486"/>
      <c r="F1" s="2486"/>
      <c r="G1" s="2486"/>
      <c r="H1" s="2486"/>
      <c r="I1" s="2486"/>
      <c r="J1" s="2486"/>
      <c r="K1" s="2486"/>
      <c r="L1" s="1447"/>
    </row>
    <row r="2" spans="1:12" ht="12.75" customHeight="1" x14ac:dyDescent="0.2">
      <c r="B2" s="2487">
        <f>'Single Audit Cover'!E7</f>
        <v>3026203041</v>
      </c>
      <c r="C2" s="2487"/>
      <c r="D2" s="2487"/>
      <c r="E2" s="2487"/>
      <c r="F2" s="2487"/>
      <c r="G2" s="2487"/>
      <c r="H2" s="2487"/>
      <c r="I2" s="2487"/>
      <c r="J2" s="2487"/>
      <c r="K2" s="2487"/>
      <c r="L2" s="1448"/>
    </row>
    <row r="3" spans="1:12" ht="12.75" customHeight="1" x14ac:dyDescent="0.2">
      <c r="B3" s="2482" t="s">
        <v>1285</v>
      </c>
      <c r="C3" s="2482"/>
      <c r="D3" s="2482"/>
      <c r="E3" s="2482"/>
      <c r="F3" s="2482"/>
      <c r="G3" s="2482"/>
      <c r="H3" s="2482"/>
      <c r="I3" s="2482"/>
      <c r="J3" s="2482"/>
      <c r="K3" s="2482"/>
      <c r="L3" s="1372"/>
    </row>
    <row r="4" spans="1:12" ht="12.75" customHeight="1" x14ac:dyDescent="0.2">
      <c r="B4" s="2482" t="str">
        <f>'Single Audit Cover'!A4</f>
        <v>Year Ending June 30, 2019</v>
      </c>
      <c r="C4" s="2482"/>
      <c r="D4" s="2482"/>
      <c r="E4" s="2482"/>
      <c r="F4" s="2482"/>
      <c r="G4" s="2482"/>
      <c r="H4" s="2482"/>
      <c r="I4" s="2482"/>
      <c r="J4" s="2482"/>
      <c r="K4" s="2482"/>
      <c r="L4" s="1372"/>
    </row>
    <row r="5" spans="1:12" ht="5.25" customHeight="1" x14ac:dyDescent="0.2">
      <c r="B5" s="1255" t="s">
        <v>1169</v>
      </c>
      <c r="C5" s="1255"/>
      <c r="L5" s="322"/>
    </row>
    <row r="6" spans="1:12" ht="30.75" customHeight="1" x14ac:dyDescent="0.2">
      <c r="A6" s="322"/>
      <c r="B6" s="2488" t="s">
        <v>1308</v>
      </c>
      <c r="C6" s="2488"/>
      <c r="D6" s="2488"/>
      <c r="E6" s="2488"/>
      <c r="F6" s="2488"/>
      <c r="G6" s="2488"/>
      <c r="H6" s="2488"/>
      <c r="I6" s="2488"/>
      <c r="J6" s="2488"/>
      <c r="K6" s="2488"/>
      <c r="L6" s="322"/>
    </row>
    <row r="7" spans="1:12" ht="4.5" customHeight="1" x14ac:dyDescent="0.2">
      <c r="B7" s="1374"/>
      <c r="C7" s="1374"/>
      <c r="D7" s="1374"/>
      <c r="E7" s="1374"/>
      <c r="F7" s="1374"/>
      <c r="G7" s="1375"/>
      <c r="H7" s="1374"/>
      <c r="I7" s="1375"/>
      <c r="J7" s="1374"/>
      <c r="K7" s="1374"/>
      <c r="L7" s="322"/>
    </row>
    <row r="8" spans="1:12" ht="13.5" customHeight="1" x14ac:dyDescent="0.2">
      <c r="B8" s="1382" t="s">
        <v>1756</v>
      </c>
      <c r="C8" s="1449" t="s">
        <v>1989</v>
      </c>
      <c r="D8" s="1450"/>
      <c r="E8" s="322"/>
      <c r="F8" s="1379" t="s">
        <v>1295</v>
      </c>
      <c r="G8" s="1451"/>
      <c r="H8" s="1452" t="s">
        <v>1307</v>
      </c>
      <c r="I8" s="1451"/>
      <c r="J8" s="1453" t="s">
        <v>1306</v>
      </c>
      <c r="L8" s="322"/>
    </row>
    <row r="9" spans="1:12" ht="13.5" customHeight="1" x14ac:dyDescent="0.2">
      <c r="D9" s="322"/>
      <c r="E9" s="322"/>
      <c r="F9" s="322"/>
      <c r="G9" s="1378"/>
      <c r="H9" s="322"/>
      <c r="I9" s="1454" t="s">
        <v>1292</v>
      </c>
      <c r="J9" s="322"/>
      <c r="K9" s="1455"/>
      <c r="L9" s="322"/>
    </row>
    <row r="10" spans="1:12" ht="4.5" customHeight="1" x14ac:dyDescent="0.2">
      <c r="B10" s="1456"/>
      <c r="C10" s="1456"/>
      <c r="D10" s="1409"/>
      <c r="E10" s="1409"/>
      <c r="F10" s="1409"/>
      <c r="G10" s="1410"/>
      <c r="H10" s="1409"/>
      <c r="I10" s="1410"/>
      <c r="J10" s="1409"/>
      <c r="K10" s="1409"/>
      <c r="L10" s="322"/>
    </row>
    <row r="11" spans="1:12" ht="5.25" customHeight="1" x14ac:dyDescent="0.2">
      <c r="B11" s="322"/>
      <c r="C11" s="322"/>
      <c r="D11" s="304"/>
      <c r="E11" s="322"/>
      <c r="F11" s="322"/>
      <c r="G11" s="1378"/>
      <c r="H11" s="322"/>
      <c r="I11" s="1378"/>
      <c r="J11" s="322"/>
      <c r="K11" s="1414"/>
      <c r="L11" s="322"/>
    </row>
    <row r="12" spans="1:12" ht="13.5" customHeight="1" x14ac:dyDescent="0.2">
      <c r="B12" s="1379" t="s">
        <v>1305</v>
      </c>
      <c r="C12" s="1379"/>
      <c r="D12" s="304"/>
      <c r="E12" s="322"/>
      <c r="F12" s="2466"/>
      <c r="G12" s="2466"/>
      <c r="H12" s="2466"/>
      <c r="I12" s="2466"/>
      <c r="J12" s="2466"/>
      <c r="K12" s="2466"/>
      <c r="L12" s="322"/>
    </row>
    <row r="13" spans="1:12" ht="9.6" customHeight="1" x14ac:dyDescent="0.2">
      <c r="B13" s="1252"/>
      <c r="C13" s="1252"/>
      <c r="D13" s="304"/>
      <c r="E13" s="322"/>
      <c r="F13" s="322"/>
      <c r="G13" s="1378"/>
      <c r="H13" s="322"/>
      <c r="I13" s="1378"/>
      <c r="J13" s="322"/>
      <c r="K13" s="1414"/>
      <c r="L13" s="322"/>
    </row>
    <row r="14" spans="1:12" ht="13.5" customHeight="1" x14ac:dyDescent="0.2">
      <c r="B14" s="1382" t="s">
        <v>1304</v>
      </c>
      <c r="C14" s="1382"/>
      <c r="D14" s="2489"/>
      <c r="E14" s="2489"/>
      <c r="F14" s="2489"/>
      <c r="H14" s="1457" t="s">
        <v>1303</v>
      </c>
      <c r="I14" s="2490"/>
      <c r="J14" s="2490"/>
      <c r="K14" s="2490"/>
      <c r="L14" s="322"/>
    </row>
    <row r="15" spans="1:12" ht="9.4" customHeight="1" x14ac:dyDescent="0.2">
      <c r="B15" s="1382"/>
      <c r="C15" s="1382"/>
      <c r="D15" s="1368"/>
      <c r="E15" s="1255"/>
      <c r="F15" s="1255"/>
      <c r="G15" s="1281"/>
      <c r="H15" s="1255"/>
      <c r="I15" s="1458"/>
      <c r="J15" s="1289"/>
      <c r="K15" s="1286"/>
      <c r="L15" s="322"/>
    </row>
    <row r="16" spans="1:12" ht="13.5" customHeight="1" x14ac:dyDescent="0.2">
      <c r="B16" s="1382" t="s">
        <v>1302</v>
      </c>
      <c r="C16" s="1382"/>
      <c r="D16" s="2490"/>
      <c r="E16" s="2490"/>
      <c r="F16" s="2490"/>
      <c r="G16" s="2490"/>
      <c r="H16" s="2490"/>
      <c r="I16" s="2490"/>
      <c r="J16" s="2490"/>
      <c r="K16" s="2490"/>
      <c r="L16" s="322"/>
    </row>
    <row r="17" spans="2:12" ht="13.5" customHeight="1" x14ac:dyDescent="0.2">
      <c r="B17" s="1382" t="s">
        <v>1301</v>
      </c>
      <c r="C17" s="1382"/>
      <c r="D17" s="2491"/>
      <c r="E17" s="2491"/>
      <c r="F17" s="2491"/>
      <c r="G17" s="2491"/>
      <c r="H17" s="2491"/>
      <c r="I17" s="2491"/>
      <c r="J17" s="2491"/>
      <c r="K17" s="2491"/>
      <c r="L17" s="322"/>
    </row>
    <row r="18" spans="2:12" ht="9.4" customHeight="1" x14ac:dyDescent="0.2">
      <c r="B18" s="1409"/>
      <c r="C18" s="1409"/>
      <c r="D18" s="1409"/>
      <c r="E18" s="1409"/>
      <c r="F18" s="1409"/>
      <c r="G18" s="1410"/>
      <c r="H18" s="1409"/>
      <c r="I18" s="1410"/>
      <c r="J18" s="1409"/>
      <c r="K18" s="1409"/>
      <c r="L18" s="322"/>
    </row>
    <row r="19" spans="2:12" ht="13.5" customHeight="1" x14ac:dyDescent="0.2">
      <c r="B19" s="1459" t="s">
        <v>1300</v>
      </c>
      <c r="C19" s="1459"/>
      <c r="D19" s="328"/>
      <c r="E19" s="328"/>
      <c r="F19" s="328"/>
      <c r="G19" s="1460"/>
      <c r="H19" s="328"/>
      <c r="I19" s="1460"/>
      <c r="J19" s="322"/>
      <c r="K19" s="322"/>
      <c r="L19" s="322"/>
    </row>
    <row r="20" spans="2:12" ht="35.25" customHeight="1" x14ac:dyDescent="0.2">
      <c r="B20" s="2481"/>
      <c r="C20" s="2481"/>
      <c r="D20" s="2481"/>
      <c r="E20" s="2481"/>
      <c r="F20" s="2481"/>
      <c r="G20" s="2481"/>
      <c r="H20" s="2481"/>
      <c r="I20" s="2481"/>
      <c r="J20" s="2481"/>
      <c r="K20" s="2481"/>
      <c r="L20" s="1414"/>
    </row>
    <row r="21" spans="2:12" ht="4.5" customHeight="1" x14ac:dyDescent="0.2">
      <c r="B21" s="1461"/>
      <c r="C21" s="1461"/>
      <c r="D21" s="1462"/>
      <c r="E21" s="1462"/>
      <c r="F21" s="1462"/>
      <c r="G21" s="1410"/>
      <c r="H21" s="1462"/>
      <c r="I21" s="1410"/>
      <c r="J21" s="1462"/>
      <c r="K21" s="1462"/>
      <c r="L21" s="1414"/>
    </row>
    <row r="22" spans="2:12" ht="13.35" customHeight="1" x14ac:dyDescent="0.2">
      <c r="B22" s="1459" t="s">
        <v>1757</v>
      </c>
      <c r="C22" s="1459"/>
      <c r="D22" s="322"/>
      <c r="E22" s="322"/>
      <c r="F22" s="322"/>
      <c r="G22" s="1378"/>
      <c r="H22" s="322"/>
      <c r="I22" s="1378"/>
      <c r="J22" s="322"/>
      <c r="K22" s="322"/>
      <c r="L22" s="322"/>
    </row>
    <row r="23" spans="2:12" ht="37.5" customHeight="1" x14ac:dyDescent="0.2">
      <c r="B23" s="2481"/>
      <c r="C23" s="2481"/>
      <c r="D23" s="2481"/>
      <c r="E23" s="2481"/>
      <c r="F23" s="2481"/>
      <c r="G23" s="2481"/>
      <c r="H23" s="2481"/>
      <c r="I23" s="2481"/>
      <c r="J23" s="2481"/>
      <c r="K23" s="2481"/>
      <c r="L23" s="322"/>
    </row>
    <row r="24" spans="2:12" ht="4.5" customHeight="1" x14ac:dyDescent="0.2">
      <c r="B24" s="1461"/>
      <c r="C24" s="1461"/>
      <c r="D24" s="1409"/>
      <c r="E24" s="1409"/>
      <c r="F24" s="1409"/>
      <c r="G24" s="1410"/>
      <c r="H24" s="1409"/>
      <c r="I24" s="1410"/>
      <c r="J24" s="1409"/>
      <c r="K24" s="1409"/>
      <c r="L24" s="322"/>
    </row>
    <row r="25" spans="2:12" ht="13.5" customHeight="1" x14ac:dyDescent="0.2">
      <c r="B25" s="1459" t="s">
        <v>1758</v>
      </c>
      <c r="C25" s="1459"/>
      <c r="D25" s="322"/>
      <c r="E25" s="322"/>
      <c r="F25" s="322"/>
      <c r="G25" s="1378"/>
      <c r="H25" s="322"/>
      <c r="I25" s="1378"/>
      <c r="J25" s="322"/>
      <c r="K25" s="322"/>
      <c r="L25" s="322"/>
    </row>
    <row r="26" spans="2:12" ht="37.5" customHeight="1" x14ac:dyDescent="0.2">
      <c r="B26" s="2481"/>
      <c r="C26" s="2481"/>
      <c r="D26" s="2481"/>
      <c r="E26" s="2481"/>
      <c r="F26" s="2481"/>
      <c r="G26" s="2481"/>
      <c r="H26" s="2481"/>
      <c r="I26" s="2481"/>
      <c r="J26" s="2481"/>
      <c r="K26" s="2481"/>
      <c r="L26" s="322"/>
    </row>
    <row r="27" spans="2:12" ht="4.5" customHeight="1" x14ac:dyDescent="0.2">
      <c r="B27" s="1463"/>
      <c r="C27" s="1463"/>
      <c r="D27" s="1463"/>
      <c r="E27" s="1409"/>
      <c r="F27" s="1409"/>
      <c r="G27" s="1410"/>
      <c r="H27" s="1409"/>
      <c r="I27" s="1410"/>
      <c r="J27" s="1409"/>
      <c r="K27" s="1409"/>
      <c r="L27" s="322"/>
    </row>
    <row r="28" spans="2:12" ht="13.5" customHeight="1" x14ac:dyDescent="0.2">
      <c r="B28" s="1459" t="s">
        <v>1759</v>
      </c>
      <c r="C28" s="1459"/>
      <c r="D28" s="322"/>
      <c r="E28" s="322"/>
      <c r="F28" s="322"/>
      <c r="G28" s="1378"/>
      <c r="H28" s="322"/>
      <c r="I28" s="1378"/>
      <c r="J28" s="322"/>
      <c r="K28" s="322"/>
      <c r="L28" s="322"/>
    </row>
    <row r="29" spans="2:12" ht="37.5" customHeight="1" x14ac:dyDescent="0.2">
      <c r="B29" s="2481"/>
      <c r="C29" s="2481"/>
      <c r="D29" s="2481"/>
      <c r="E29" s="2481"/>
      <c r="F29" s="2481"/>
      <c r="G29" s="2481"/>
      <c r="H29" s="2481"/>
      <c r="I29" s="2481"/>
      <c r="J29" s="2481"/>
      <c r="K29" s="2481"/>
      <c r="L29" s="322"/>
    </row>
    <row r="30" spans="2:12" ht="4.5" customHeight="1" x14ac:dyDescent="0.2">
      <c r="B30" s="1461"/>
      <c r="C30" s="1461"/>
      <c r="D30" s="1409"/>
      <c r="E30" s="1409"/>
      <c r="F30" s="1409"/>
      <c r="G30" s="1410"/>
      <c r="H30" s="1409"/>
      <c r="I30" s="1410"/>
      <c r="J30" s="1409"/>
      <c r="K30" s="1409"/>
      <c r="L30" s="322"/>
    </row>
    <row r="31" spans="2:12" ht="13.5" customHeight="1" x14ac:dyDescent="0.2">
      <c r="B31" s="1459" t="s">
        <v>1299</v>
      </c>
      <c r="C31" s="1459"/>
      <c r="D31" s="322"/>
      <c r="E31" s="322"/>
      <c r="F31" s="322"/>
      <c r="G31" s="1378"/>
      <c r="H31" s="322"/>
      <c r="I31" s="1378"/>
      <c r="J31" s="322"/>
      <c r="K31" s="322"/>
      <c r="L31" s="322"/>
    </row>
    <row r="32" spans="2:12" ht="37.5" customHeight="1" x14ac:dyDescent="0.2">
      <c r="B32" s="2481"/>
      <c r="C32" s="2481"/>
      <c r="D32" s="2481"/>
      <c r="E32" s="2481"/>
      <c r="F32" s="2481"/>
      <c r="G32" s="2481"/>
      <c r="H32" s="2481"/>
      <c r="I32" s="2481"/>
      <c r="J32" s="2481"/>
      <c r="K32" s="2481"/>
      <c r="L32" s="322"/>
    </row>
    <row r="33" spans="2:12" ht="4.5" customHeight="1" x14ac:dyDescent="0.2">
      <c r="B33" s="1461"/>
      <c r="C33" s="1461"/>
      <c r="D33" s="1409"/>
      <c r="E33" s="1409"/>
      <c r="F33" s="1409"/>
      <c r="G33" s="1410"/>
      <c r="H33" s="1409"/>
      <c r="I33" s="1410"/>
      <c r="J33" s="1409"/>
      <c r="K33" s="1409"/>
      <c r="L33" s="322"/>
    </row>
    <row r="34" spans="2:12" ht="13.5" customHeight="1" x14ac:dyDescent="0.2">
      <c r="B34" s="1379" t="s">
        <v>1298</v>
      </c>
      <c r="C34" s="1379"/>
      <c r="D34" s="322"/>
      <c r="E34" s="322"/>
      <c r="F34" s="322"/>
      <c r="G34" s="1378"/>
      <c r="H34" s="322"/>
      <c r="I34" s="1378"/>
      <c r="J34" s="322"/>
      <c r="K34" s="322"/>
      <c r="L34" s="322"/>
    </row>
    <row r="35" spans="2:12" ht="37.5" customHeight="1" x14ac:dyDescent="0.2">
      <c r="B35" s="2481"/>
      <c r="C35" s="2481"/>
      <c r="D35" s="2481"/>
      <c r="E35" s="2481"/>
      <c r="F35" s="2481"/>
      <c r="G35" s="2481"/>
      <c r="H35" s="2481"/>
      <c r="I35" s="2481"/>
      <c r="J35" s="2481"/>
      <c r="K35" s="2481"/>
      <c r="L35" s="322"/>
    </row>
    <row r="36" spans="2:12" ht="4.5" customHeight="1" x14ac:dyDescent="0.2">
      <c r="B36" s="1461"/>
      <c r="C36" s="1461"/>
      <c r="D36" s="1409"/>
      <c r="E36" s="1409"/>
      <c r="F36" s="1409"/>
      <c r="G36" s="1410"/>
      <c r="H36" s="1409"/>
      <c r="I36" s="1410"/>
      <c r="J36" s="1409"/>
      <c r="K36" s="1409"/>
      <c r="L36" s="322"/>
    </row>
    <row r="37" spans="2:12" ht="13.5" customHeight="1" x14ac:dyDescent="0.2">
      <c r="B37" s="1379" t="s">
        <v>1297</v>
      </c>
      <c r="C37" s="1379"/>
      <c r="D37" s="322"/>
      <c r="E37" s="322"/>
      <c r="F37" s="322"/>
      <c r="G37" s="1378"/>
      <c r="H37" s="322"/>
      <c r="I37" s="1378"/>
      <c r="J37" s="322"/>
      <c r="K37" s="322"/>
      <c r="L37" s="322"/>
    </row>
    <row r="38" spans="2:12" ht="35.25" customHeight="1" x14ac:dyDescent="0.2">
      <c r="B38" s="2481"/>
      <c r="C38" s="2481"/>
      <c r="D38" s="2481"/>
      <c r="E38" s="2481"/>
      <c r="F38" s="2481"/>
      <c r="G38" s="2481"/>
      <c r="H38" s="2481"/>
      <c r="I38" s="2481"/>
      <c r="J38" s="2481"/>
      <c r="K38" s="2481"/>
      <c r="L38" s="322"/>
    </row>
    <row r="39" spans="2:12" ht="4.5" customHeight="1" x14ac:dyDescent="0.2">
      <c r="B39" s="1397"/>
      <c r="C39" s="1397"/>
      <c r="D39" s="322"/>
      <c r="E39" s="322"/>
      <c r="F39" s="322"/>
      <c r="G39" s="1378"/>
      <c r="H39" s="322"/>
      <c r="I39" s="1378"/>
      <c r="J39" s="322"/>
      <c r="K39" s="322"/>
      <c r="L39" s="322"/>
    </row>
    <row r="40" spans="2:12" s="322" customFormat="1" ht="13.5" customHeight="1" x14ac:dyDescent="0.2">
      <c r="B40" s="1398" t="s">
        <v>1760</v>
      </c>
      <c r="C40" s="1398"/>
      <c r="D40" s="1373"/>
      <c r="E40" s="1374"/>
      <c r="F40" s="1374"/>
      <c r="G40" s="1375"/>
      <c r="H40" s="1374"/>
      <c r="I40" s="1375"/>
      <c r="J40" s="1374"/>
      <c r="K40" s="1374"/>
    </row>
    <row r="41" spans="2:12" s="322" customFormat="1" ht="33.75" customHeight="1" x14ac:dyDescent="0.2">
      <c r="B41" s="2481"/>
      <c r="C41" s="2481"/>
      <c r="D41" s="2481"/>
      <c r="E41" s="2481"/>
      <c r="F41" s="2481"/>
      <c r="G41" s="2481"/>
      <c r="H41" s="2481"/>
      <c r="I41" s="2481"/>
      <c r="J41" s="2481"/>
      <c r="K41" s="2481"/>
    </row>
    <row r="42" spans="2:12" s="322" customFormat="1" ht="4.5" customHeight="1" x14ac:dyDescent="0.2">
      <c r="B42" s="1397"/>
      <c r="C42" s="1397"/>
      <c r="G42" s="1378"/>
      <c r="I42" s="1378"/>
    </row>
    <row r="43" spans="2:12" ht="7.5" customHeight="1" x14ac:dyDescent="0.25">
      <c r="B43" s="1464"/>
      <c r="C43" s="1464"/>
      <c r="D43" s="1465"/>
      <c r="E43" s="1465"/>
      <c r="F43" s="1465"/>
      <c r="G43" s="1466"/>
      <c r="H43" s="1465"/>
      <c r="I43" s="1466"/>
      <c r="J43" s="1465"/>
      <c r="K43" s="1465"/>
    </row>
    <row r="44" spans="2:12" ht="13.5" customHeight="1" x14ac:dyDescent="0.2">
      <c r="B44" s="1401" t="s">
        <v>1761</v>
      </c>
      <c r="C44" s="1401"/>
      <c r="D44" s="322"/>
      <c r="E44" s="322"/>
      <c r="F44" s="322"/>
    </row>
    <row r="45" spans="2:12" ht="10.5" customHeight="1" x14ac:dyDescent="0.2">
      <c r="B45" s="1402" t="s">
        <v>1762</v>
      </c>
      <c r="C45" s="1402"/>
      <c r="G45" s="317"/>
      <c r="I45" s="317"/>
    </row>
    <row r="46" spans="2:12" ht="11.1" customHeight="1" x14ac:dyDescent="0.2">
      <c r="B46" s="1402" t="s">
        <v>1763</v>
      </c>
      <c r="C46" s="1402"/>
      <c r="G46" s="317"/>
      <c r="I46" s="317"/>
    </row>
    <row r="47" spans="2:12" ht="11.1" customHeight="1" x14ac:dyDescent="0.2">
      <c r="B47" s="1402" t="s">
        <v>1764</v>
      </c>
      <c r="C47" s="1402"/>
      <c r="G47" s="317"/>
      <c r="I47" s="317"/>
    </row>
    <row r="48" spans="2:12" ht="11.1" customHeight="1" x14ac:dyDescent="0.2">
      <c r="B48" s="1402" t="s">
        <v>1765</v>
      </c>
      <c r="C48" s="1402"/>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25" sqref="C25"/>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7" customFormat="1" ht="12.75" customHeight="1" x14ac:dyDescent="0.2">
      <c r="B1" s="2459" t="str">
        <f>'Single Audit Cover'!A7</f>
        <v>Okaw Area Vocational Center</v>
      </c>
      <c r="C1" s="2459"/>
      <c r="D1" s="2459"/>
      <c r="E1" s="1467"/>
    </row>
    <row r="2" spans="2:5" s="1277" customFormat="1" ht="12.75" customHeight="1" x14ac:dyDescent="0.2">
      <c r="B2" s="2461">
        <f>'Single Audit Cover'!E7</f>
        <v>3026203041</v>
      </c>
      <c r="C2" s="2461"/>
      <c r="D2" s="2461"/>
      <c r="E2" s="1468"/>
    </row>
    <row r="3" spans="2:5" ht="12.75" customHeight="1" x14ac:dyDescent="0.2">
      <c r="B3" s="2482" t="s">
        <v>1766</v>
      </c>
      <c r="C3" s="2482"/>
      <c r="D3" s="2482"/>
      <c r="E3" s="1269"/>
    </row>
    <row r="4" spans="2:5" s="1277" customFormat="1" ht="12.75" customHeight="1" x14ac:dyDescent="0.2">
      <c r="B4" s="2492" t="str">
        <f>'Single Audit Cover'!A4</f>
        <v>Year Ending June 30, 2019</v>
      </c>
      <c r="C4" s="2492"/>
      <c r="D4" s="2492"/>
      <c r="E4" s="1469"/>
    </row>
    <row r="5" spans="2:5" s="1277" customFormat="1" ht="40.15" customHeight="1" x14ac:dyDescent="0.2">
      <c r="B5" s="1470" t="s">
        <v>1767</v>
      </c>
      <c r="C5" s="328"/>
      <c r="D5" s="328"/>
      <c r="E5" s="328"/>
    </row>
    <row r="6" spans="2:5" s="1277" customFormat="1" ht="13.5" customHeight="1" x14ac:dyDescent="0.2">
      <c r="B6" s="1471" t="s">
        <v>1315</v>
      </c>
      <c r="C6" s="1471" t="s">
        <v>1314</v>
      </c>
      <c r="D6" s="1471" t="s">
        <v>1768</v>
      </c>
    </row>
    <row r="7" spans="2:5" ht="13.5" customHeight="1" x14ac:dyDescent="0.2">
      <c r="B7" s="1472"/>
      <c r="C7" s="324"/>
      <c r="D7" s="324"/>
      <c r="E7" s="324"/>
    </row>
    <row r="8" spans="2:5" ht="13.5" customHeight="1" x14ac:dyDescent="0.2">
      <c r="B8" s="1472"/>
      <c r="C8" s="324"/>
      <c r="D8" s="324"/>
      <c r="E8" s="324"/>
    </row>
    <row r="9" spans="2:5" ht="13.5" customHeight="1" x14ac:dyDescent="0.2">
      <c r="B9" s="1473"/>
      <c r="C9" s="323"/>
      <c r="D9" s="323"/>
      <c r="E9" s="323"/>
    </row>
    <row r="10" spans="2:5" ht="13.5" customHeight="1" x14ac:dyDescent="0.2">
      <c r="B10" s="1472"/>
      <c r="C10" s="323"/>
      <c r="D10" s="323"/>
      <c r="E10" s="323"/>
    </row>
    <row r="11" spans="2:5" ht="13.5" customHeight="1" x14ac:dyDescent="0.2">
      <c r="B11" s="1472"/>
      <c r="C11" s="323"/>
      <c r="D11" s="323"/>
      <c r="E11" s="323"/>
    </row>
    <row r="12" spans="2:5" ht="13.5" customHeight="1" x14ac:dyDescent="0.2">
      <c r="B12" s="1472"/>
      <c r="C12" s="323"/>
      <c r="D12" s="323"/>
      <c r="E12" s="323"/>
    </row>
    <row r="13" spans="2:5" ht="13.5" customHeight="1" x14ac:dyDescent="0.2">
      <c r="B13" s="1472"/>
      <c r="C13" s="323"/>
      <c r="D13" s="323"/>
      <c r="E13" s="323"/>
    </row>
    <row r="14" spans="2:5" ht="13.5" customHeight="1" x14ac:dyDescent="0.2">
      <c r="B14" s="1472"/>
      <c r="C14" s="323"/>
      <c r="D14" s="323"/>
      <c r="E14" s="323"/>
    </row>
    <row r="15" spans="2:5" ht="13.5" customHeight="1" x14ac:dyDescent="0.2">
      <c r="B15" s="1472"/>
      <c r="C15" s="323"/>
      <c r="D15" s="323"/>
      <c r="E15" s="323"/>
    </row>
    <row r="16" spans="2:5" ht="13.5" customHeight="1" x14ac:dyDescent="0.2">
      <c r="B16" s="1472"/>
      <c r="C16" s="323"/>
      <c r="D16" s="323"/>
      <c r="E16" s="323"/>
    </row>
    <row r="17" spans="2:5" ht="13.5" customHeight="1" x14ac:dyDescent="0.2">
      <c r="B17" s="1472"/>
      <c r="C17" s="323"/>
      <c r="D17" s="323"/>
      <c r="E17" s="323"/>
    </row>
    <row r="18" spans="2:5" ht="13.5" customHeight="1" x14ac:dyDescent="0.2">
      <c r="B18" s="1472"/>
      <c r="C18" s="323"/>
      <c r="D18" s="323"/>
      <c r="E18" s="323"/>
    </row>
    <row r="19" spans="2:5" ht="13.5" customHeight="1" x14ac:dyDescent="0.2">
      <c r="B19" s="1472"/>
      <c r="C19" s="323"/>
      <c r="D19" s="323"/>
      <c r="E19" s="323"/>
    </row>
    <row r="20" spans="2:5" ht="13.5" customHeight="1" x14ac:dyDescent="0.2">
      <c r="B20" s="1472"/>
      <c r="C20" s="323"/>
      <c r="D20" s="323"/>
      <c r="E20" s="323"/>
    </row>
    <row r="21" spans="2:5" ht="13.5" customHeight="1" x14ac:dyDescent="0.2">
      <c r="B21" s="1472"/>
      <c r="C21" s="323"/>
      <c r="D21" s="323"/>
      <c r="E21" s="323"/>
    </row>
    <row r="22" spans="2:5" ht="13.5" customHeight="1" x14ac:dyDescent="0.2">
      <c r="B22" s="1472"/>
      <c r="C22" s="323"/>
      <c r="D22" s="323"/>
      <c r="E22" s="323"/>
    </row>
    <row r="23" spans="2:5" ht="13.5" customHeight="1" x14ac:dyDescent="0.2">
      <c r="B23" s="1472"/>
      <c r="C23" s="323"/>
      <c r="D23" s="323"/>
      <c r="E23" s="323"/>
    </row>
    <row r="24" spans="2:5" ht="13.5" customHeight="1" x14ac:dyDescent="0.2">
      <c r="B24" s="1472"/>
      <c r="C24" s="323"/>
      <c r="D24" s="323"/>
      <c r="E24" s="323"/>
    </row>
    <row r="25" spans="2:5" ht="13.5" customHeight="1" x14ac:dyDescent="0.2">
      <c r="B25" s="1472"/>
      <c r="C25" s="323"/>
      <c r="D25" s="323"/>
      <c r="E25" s="323"/>
    </row>
    <row r="26" spans="2:5" ht="13.5" customHeight="1" x14ac:dyDescent="0.2">
      <c r="B26" s="1472"/>
      <c r="C26" s="323"/>
      <c r="D26" s="323"/>
      <c r="E26" s="323"/>
    </row>
    <row r="27" spans="2:5" ht="13.5" customHeight="1" x14ac:dyDescent="0.2">
      <c r="B27" s="1472"/>
      <c r="C27" s="323"/>
      <c r="D27" s="323"/>
      <c r="E27" s="323"/>
    </row>
    <row r="28" spans="2:5" ht="13.5" customHeight="1" x14ac:dyDescent="0.2">
      <c r="B28" s="1472"/>
      <c r="C28" s="323"/>
      <c r="D28" s="323"/>
      <c r="E28" s="323"/>
    </row>
    <row r="29" spans="2:5" ht="13.5" customHeight="1" x14ac:dyDescent="0.2">
      <c r="B29" s="1472"/>
      <c r="C29" s="323"/>
      <c r="D29" s="323"/>
      <c r="E29" s="323"/>
    </row>
    <row r="30" spans="2:5" ht="13.5" customHeight="1" x14ac:dyDescent="0.2">
      <c r="B30" s="1472"/>
      <c r="C30" s="323"/>
      <c r="D30" s="323"/>
      <c r="E30" s="323"/>
    </row>
    <row r="31" spans="2:5" ht="13.5" customHeight="1" x14ac:dyDescent="0.2">
      <c r="B31" s="1472"/>
      <c r="C31" s="323"/>
      <c r="D31" s="323"/>
      <c r="E31" s="323"/>
    </row>
    <row r="32" spans="2:5" ht="13.5" customHeight="1" x14ac:dyDescent="0.2">
      <c r="B32" s="1474"/>
      <c r="C32" s="323"/>
      <c r="D32" s="323"/>
      <c r="E32" s="323"/>
    </row>
    <row r="33" spans="2:5" ht="13.5" customHeight="1" x14ac:dyDescent="0.2">
      <c r="B33" s="1475"/>
      <c r="C33" s="323"/>
      <c r="D33" s="323"/>
      <c r="E33" s="323"/>
    </row>
    <row r="34" spans="2:5" ht="13.5" customHeight="1" x14ac:dyDescent="0.2">
      <c r="B34" s="1476"/>
      <c r="C34" s="323"/>
      <c r="D34" s="323"/>
      <c r="E34" s="323"/>
    </row>
    <row r="35" spans="2:5" ht="13.5" customHeight="1" x14ac:dyDescent="0.2">
      <c r="B35" s="1475"/>
      <c r="C35" s="323"/>
      <c r="D35" s="323"/>
      <c r="E35" s="323"/>
    </row>
    <row r="36" spans="2:5" ht="13.5" customHeight="1" x14ac:dyDescent="0.2">
      <c r="B36" s="1476"/>
      <c r="C36" s="323"/>
      <c r="D36" s="323"/>
      <c r="E36" s="323"/>
    </row>
    <row r="37" spans="2:5" ht="13.5" customHeight="1" x14ac:dyDescent="0.2">
      <c r="B37" s="1476"/>
      <c r="C37" s="323"/>
      <c r="D37" s="323"/>
      <c r="E37" s="323"/>
    </row>
    <row r="38" spans="2:5" ht="13.5" customHeight="1" x14ac:dyDescent="0.2">
      <c r="B38" s="1475"/>
      <c r="C38" s="323"/>
      <c r="D38" s="323"/>
      <c r="E38" s="323"/>
    </row>
    <row r="39" spans="2:5" ht="13.5" customHeight="1" x14ac:dyDescent="0.2">
      <c r="B39" s="1476"/>
      <c r="C39" s="323"/>
      <c r="D39" s="323"/>
      <c r="E39" s="323"/>
    </row>
    <row r="40" spans="2:5" ht="13.5" customHeight="1" x14ac:dyDescent="0.2">
      <c r="B40" s="1475"/>
      <c r="C40" s="323"/>
      <c r="D40" s="323"/>
      <c r="E40" s="323"/>
    </row>
    <row r="41" spans="2:5" ht="13.5" customHeight="1" x14ac:dyDescent="0.2">
      <c r="B41" s="1477"/>
      <c r="C41" s="323"/>
      <c r="D41" s="323"/>
      <c r="E41" s="323"/>
    </row>
    <row r="42" spans="2:5" ht="13.5" customHeight="1" x14ac:dyDescent="0.2">
      <c r="B42" s="1478"/>
      <c r="C42" s="323"/>
      <c r="D42" s="323"/>
      <c r="E42" s="323"/>
    </row>
    <row r="43" spans="2:5" ht="12.75" customHeight="1" x14ac:dyDescent="0.2">
      <c r="B43" s="1479"/>
      <c r="C43" s="1480"/>
      <c r="D43" s="1480"/>
      <c r="E43" s="323"/>
    </row>
    <row r="44" spans="2:5" ht="12.2" customHeight="1" x14ac:dyDescent="0.2">
      <c r="B44" s="1252" t="s">
        <v>1313</v>
      </c>
      <c r="C44" s="322"/>
    </row>
    <row r="45" spans="2:5" ht="12.2" customHeight="1" x14ac:dyDescent="0.2">
      <c r="B45" s="1481" t="s">
        <v>1769</v>
      </c>
    </row>
    <row r="46" spans="2:5" ht="12.2" customHeight="1" x14ac:dyDescent="0.2">
      <c r="B46" s="1481" t="s">
        <v>1770</v>
      </c>
    </row>
    <row r="47" spans="2:5" ht="12.2" customHeight="1" x14ac:dyDescent="0.2">
      <c r="B47" s="1482" t="s">
        <v>1312</v>
      </c>
    </row>
    <row r="48" spans="2:5" ht="12.2" customHeight="1" x14ac:dyDescent="0.2">
      <c r="B48" s="1482" t="s">
        <v>1311</v>
      </c>
    </row>
    <row r="49" spans="2:5" ht="12.2" customHeight="1" x14ac:dyDescent="0.2">
      <c r="B49" s="1482" t="s">
        <v>1310</v>
      </c>
    </row>
    <row r="50" spans="2:5" ht="12.2" customHeight="1" x14ac:dyDescent="0.2">
      <c r="B50" s="1482" t="s">
        <v>1309</v>
      </c>
    </row>
    <row r="53" spans="2:5" ht="12.75" customHeight="1" x14ac:dyDescent="0.2"/>
    <row r="54" spans="2:5" ht="12.75" customHeight="1" x14ac:dyDescent="0.2">
      <c r="B54" s="1262"/>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1"/>
    </row>
    <row r="68" spans="2:2" x14ac:dyDescent="0.2">
      <c r="B68" s="1295"/>
    </row>
    <row r="69" spans="2:2" x14ac:dyDescent="0.2">
      <c r="B69" s="1295"/>
    </row>
    <row r="70" spans="2:2" x14ac:dyDescent="0.2">
      <c r="B70" s="1402"/>
    </row>
    <row r="71" spans="2:2" x14ac:dyDescent="0.2">
      <c r="B71" s="1402"/>
    </row>
    <row r="72" spans="2:2" x14ac:dyDescent="0.2">
      <c r="B72" s="1402"/>
    </row>
    <row r="73" spans="2:2" x14ac:dyDescent="0.2">
      <c r="B73" s="1295"/>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J32" sqref="J3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0" t="s">
        <v>386</v>
      </c>
      <c r="B1" s="2090"/>
      <c r="C1" s="2090"/>
      <c r="D1" s="2090"/>
      <c r="E1" s="2090"/>
      <c r="F1" s="2090"/>
      <c r="G1" s="2090"/>
      <c r="H1" s="2090"/>
      <c r="I1" s="2090"/>
      <c r="J1" s="2090"/>
      <c r="K1" s="2090"/>
      <c r="L1" s="2090"/>
      <c r="M1" s="2090"/>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26">
        <f>ROUND(D10+F10+H10,5)</f>
        <v>0</v>
      </c>
      <c r="K10" s="222"/>
      <c r="L10" s="355"/>
      <c r="M10" s="222"/>
    </row>
    <row r="11" spans="1:14" ht="7.5" customHeight="1" x14ac:dyDescent="0.2">
      <c r="B11" s="222"/>
      <c r="C11" s="222"/>
      <c r="D11" s="2100" t="str">
        <f>IF(SUM(J10)&lt;=0.0999999,"","Enter the Tax Rates by moving the decimal two places to the left.")</f>
        <v/>
      </c>
      <c r="E11" s="2101"/>
      <c r="F11" s="2101"/>
      <c r="G11" s="2101"/>
      <c r="H11" s="2101"/>
      <c r="I11" s="2101"/>
      <c r="J11" s="210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27">
        <f>SUM('Acct Summary 7-8'!C8,'Acct Summary 7-8'!D8,'Acct Summary 7-8'!F8,'Acct Summary 7-8'!I8)</f>
        <v>1281667</v>
      </c>
      <c r="E16" s="356"/>
      <c r="F16" s="1727">
        <f>SUM('Acct Summary 7-8'!C17,'Acct Summary 7-8'!D17,'Acct Summary 7-8'!F17)</f>
        <v>1215498</v>
      </c>
      <c r="G16" s="356"/>
      <c r="H16" s="1727">
        <f>SUM(D16-F16)</f>
        <v>66169</v>
      </c>
      <c r="I16" s="222"/>
      <c r="J16" s="1727">
        <f>SUM('Acct Summary 7-8'!C81,'Acct Summary 7-8'!D81,'Acct Summary 7-8'!F81,'Acct Summary 7-8'!I81)</f>
        <v>1278854</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27">
        <f>'Short-Term Long-Term Debt 24'!F4</f>
        <v>0</v>
      </c>
      <c r="E22" s="356" t="s">
        <v>1005</v>
      </c>
      <c r="F22" s="1727">
        <f>'Short-Term Long-Term Debt 24'!F15</f>
        <v>0</v>
      </c>
      <c r="G22" s="356" t="s">
        <v>1005</v>
      </c>
      <c r="H22" s="1727">
        <f>'Short-Term Long-Term Debt 24'!F21</f>
        <v>0</v>
      </c>
      <c r="I22" s="356" t="s">
        <v>1005</v>
      </c>
      <c r="J22" s="1727">
        <f>'Short-Term Long-Term Debt 24'!F23</f>
        <v>0</v>
      </c>
      <c r="K22" s="356" t="s">
        <v>1005</v>
      </c>
      <c r="L22" s="1727">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27">
        <f>'Short-Term Long-Term Debt 24'!F27</f>
        <v>0</v>
      </c>
      <c r="E24" s="356" t="s">
        <v>1006</v>
      </c>
      <c r="F24" s="1728">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29"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28">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1"/>
      <c r="C54" s="2092"/>
      <c r="D54" s="2092"/>
      <c r="E54" s="2092"/>
      <c r="F54" s="2092"/>
      <c r="G54" s="2092"/>
      <c r="H54" s="2092"/>
      <c r="I54" s="2092"/>
      <c r="J54" s="2092"/>
      <c r="K54" s="2092"/>
      <c r="L54" s="2093"/>
      <c r="M54" s="380"/>
    </row>
    <row r="55" spans="1:13" ht="12.75" customHeight="1" x14ac:dyDescent="0.2">
      <c r="B55" s="2094"/>
      <c r="C55" s="2095"/>
      <c r="D55" s="2095"/>
      <c r="E55" s="2095"/>
      <c r="F55" s="2095"/>
      <c r="G55" s="2095"/>
      <c r="H55" s="2095"/>
      <c r="I55" s="2095"/>
      <c r="J55" s="2095"/>
      <c r="K55" s="2095"/>
      <c r="L55" s="2096"/>
      <c r="M55" s="380"/>
    </row>
    <row r="56" spans="1:13" ht="12.75" customHeight="1" x14ac:dyDescent="0.2">
      <c r="B56" s="2094"/>
      <c r="C56" s="2095"/>
      <c r="D56" s="2095"/>
      <c r="E56" s="2095"/>
      <c r="F56" s="2095"/>
      <c r="G56" s="2095"/>
      <c r="H56" s="2095"/>
      <c r="I56" s="2095"/>
      <c r="J56" s="2095"/>
      <c r="K56" s="2095"/>
      <c r="L56" s="2096"/>
      <c r="M56" s="222"/>
    </row>
    <row r="57" spans="1:13" ht="12.75" customHeight="1" x14ac:dyDescent="0.2">
      <c r="B57" s="2094"/>
      <c r="C57" s="2095"/>
      <c r="D57" s="2095"/>
      <c r="E57" s="2095"/>
      <c r="F57" s="2095"/>
      <c r="G57" s="2095"/>
      <c r="H57" s="2095"/>
      <c r="I57" s="2095"/>
      <c r="J57" s="2095"/>
      <c r="K57" s="2095"/>
      <c r="L57" s="2096"/>
      <c r="M57" s="222"/>
    </row>
    <row r="58" spans="1:13" x14ac:dyDescent="0.2">
      <c r="B58" s="2097"/>
      <c r="C58" s="2098"/>
      <c r="D58" s="2098"/>
      <c r="E58" s="2098"/>
      <c r="F58" s="2098"/>
      <c r="G58" s="2098"/>
      <c r="H58" s="2098"/>
      <c r="I58" s="2098"/>
      <c r="J58" s="2098"/>
      <c r="K58" s="2098"/>
      <c r="L58" s="209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2"/>
      <c r="D61" s="210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3" sqref="A3:R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5"/>
      <c r="B1" s="2106"/>
      <c r="C1" s="2106"/>
      <c r="D1" s="384"/>
      <c r="E1" s="384"/>
      <c r="F1" s="384"/>
      <c r="G1" s="384"/>
      <c r="H1" s="384"/>
      <c r="I1" s="384"/>
      <c r="J1" s="384"/>
      <c r="K1" s="384"/>
      <c r="L1" s="384"/>
      <c r="M1" s="384"/>
      <c r="N1" s="384"/>
      <c r="O1" s="2105"/>
      <c r="P1" s="2106"/>
      <c r="Q1" s="2106"/>
    </row>
    <row r="2" spans="1:18" ht="15" x14ac:dyDescent="0.2">
      <c r="A2" s="2109" t="s">
        <v>556</v>
      </c>
      <c r="B2" s="2109"/>
      <c r="C2" s="2109"/>
      <c r="D2" s="2109"/>
      <c r="E2" s="2109"/>
      <c r="F2" s="2109"/>
      <c r="G2" s="2109"/>
      <c r="H2" s="2109"/>
      <c r="I2" s="2109"/>
      <c r="J2" s="2109"/>
      <c r="K2" s="2109"/>
      <c r="L2" s="2109"/>
      <c r="M2" s="2109"/>
      <c r="N2" s="2109"/>
      <c r="O2" s="2109"/>
      <c r="P2" s="2109"/>
      <c r="Q2" s="2109"/>
      <c r="R2" s="2109"/>
    </row>
    <row r="3" spans="1:18" ht="12.75" x14ac:dyDescent="0.2">
      <c r="A3" s="2110" t="s">
        <v>1413</v>
      </c>
      <c r="B3" s="2110"/>
      <c r="C3" s="2110"/>
      <c r="D3" s="2110"/>
      <c r="E3" s="2110"/>
      <c r="F3" s="2110"/>
      <c r="G3" s="2110"/>
      <c r="H3" s="2110"/>
      <c r="I3" s="2110"/>
      <c r="J3" s="2110"/>
      <c r="K3" s="2110"/>
      <c r="L3" s="2110"/>
      <c r="M3" s="2110"/>
      <c r="N3" s="2110"/>
      <c r="O3" s="2110"/>
      <c r="P3" s="2110"/>
      <c r="Q3" s="2110"/>
      <c r="R3" s="2110"/>
    </row>
    <row r="4" spans="1:18" x14ac:dyDescent="0.2">
      <c r="A4" s="2111" t="s">
        <v>1554</v>
      </c>
      <c r="B4" s="2111"/>
      <c r="C4" s="2111"/>
      <c r="D4" s="2111"/>
      <c r="E4" s="2111"/>
      <c r="F4" s="2111"/>
      <c r="G4" s="2111"/>
      <c r="H4" s="2111"/>
      <c r="I4" s="2111"/>
      <c r="J4" s="2111"/>
      <c r="K4" s="2111"/>
      <c r="L4" s="2111"/>
      <c r="M4" s="2111"/>
      <c r="N4" s="2111"/>
      <c r="O4" s="2111"/>
      <c r="P4" s="2111"/>
      <c r="Q4" s="2111"/>
      <c r="R4" s="211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Okaw Area Vocational Center</v>
      </c>
      <c r="E7" s="391"/>
      <c r="G7" s="252"/>
      <c r="H7" s="387"/>
      <c r="I7" s="387"/>
      <c r="J7" s="387"/>
      <c r="K7" s="387"/>
      <c r="L7" s="329"/>
      <c r="M7" s="329"/>
      <c r="N7" s="329"/>
      <c r="O7" s="329"/>
      <c r="P7" s="329"/>
    </row>
    <row r="8" spans="1:18" ht="12.75" x14ac:dyDescent="0.2">
      <c r="A8" s="329"/>
      <c r="B8" s="329"/>
      <c r="C8" s="389" t="s">
        <v>1125</v>
      </c>
      <c r="D8" s="392">
        <f>COVER!A13</f>
        <v>3026203041</v>
      </c>
      <c r="E8" s="393"/>
      <c r="G8" s="329"/>
      <c r="H8" s="329"/>
      <c r="I8" s="329"/>
      <c r="J8" s="329"/>
      <c r="K8" s="329"/>
      <c r="L8" s="329"/>
      <c r="M8" s="329"/>
      <c r="N8" s="329"/>
      <c r="O8" s="329"/>
      <c r="P8" s="329"/>
    </row>
    <row r="9" spans="1:18" ht="12.75" x14ac:dyDescent="0.2">
      <c r="A9" s="329"/>
      <c r="B9" s="329"/>
      <c r="C9" s="389" t="s">
        <v>713</v>
      </c>
      <c r="D9" s="394" t="str">
        <f>COVER!A15</f>
        <v>FAYETTE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1278854</v>
      </c>
      <c r="I12" s="404"/>
      <c r="J12" s="404"/>
      <c r="K12" s="405">
        <f>TRUNC((H12/H13*100000),5)/100000</f>
        <v>0.99780520210000001</v>
      </c>
      <c r="L12" s="406"/>
      <c r="M12" s="360" t="s">
        <v>1144</v>
      </c>
      <c r="N12" s="360"/>
      <c r="O12" s="407">
        <v>0.35</v>
      </c>
      <c r="P12" s="218"/>
      <c r="Q12" s="218"/>
    </row>
    <row r="13" spans="1:18" s="408" customFormat="1" ht="12.75" x14ac:dyDescent="0.2">
      <c r="A13" s="218"/>
      <c r="B13" s="401"/>
      <c r="C13" s="2107" t="s">
        <v>1324</v>
      </c>
      <c r="D13" s="2108"/>
      <c r="E13" s="218"/>
      <c r="F13" s="409" t="s">
        <v>793</v>
      </c>
      <c r="G13" s="402"/>
      <c r="H13" s="403">
        <f>SUM('Acct Summary 7-8'!C8+'Acct Summary 7-8'!D8+'Acct Summary 7-8'!F8+'Acct Summary 7-8'!I8)+H14</f>
        <v>1281667</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1215498</v>
      </c>
      <c r="I17" s="404"/>
      <c r="J17" s="416"/>
      <c r="K17" s="405">
        <f>TRUNC((H17/H18*100000),5)/100000</f>
        <v>0.94837270520000005</v>
      </c>
      <c r="L17" s="406"/>
      <c r="M17" s="417" t="s">
        <v>1171</v>
      </c>
      <c r="O17" s="418" t="str">
        <f>IF(AND(O16="2", J20 &gt; 2),"1",IF(AND(O16 = "1", J20 &gt; 2),"2",IF(AND(O16="1", J20 &gt;1),"1","0")))</f>
        <v>0</v>
      </c>
      <c r="P17" s="218"/>
    </row>
    <row r="18" spans="1:18" s="408" customFormat="1" ht="11.25" x14ac:dyDescent="0.2">
      <c r="A18" s="218"/>
      <c r="B18" s="401"/>
      <c r="C18" s="2107" t="s">
        <v>1317</v>
      </c>
      <c r="D18" s="2108"/>
      <c r="E18" s="218"/>
      <c r="F18" s="419" t="s">
        <v>794</v>
      </c>
      <c r="G18" s="402"/>
      <c r="H18" s="403">
        <f>SUM('Acct Summary 7-8'!C8+'Acct Summary 7-8'!D8+'Acct Summary 7-8'!F8+'Acct Summary 7-8'!I8)+H19</f>
        <v>1281667</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4" t="s">
        <v>1412</v>
      </c>
      <c r="D24" s="2104"/>
      <c r="E24" s="218"/>
      <c r="F24" s="218" t="s">
        <v>445</v>
      </c>
      <c r="G24" s="402"/>
      <c r="H24" s="403">
        <f>SUM('Assets-Liab 5-6'!C4+'Assets-Liab 5-6'!D4+'Assets-Liab 5-6'!F4+'Assets-Liab 5-6'!I4+'Assets-Liab 5-6'!C5+'Assets-Liab 5-6'!D5+'Assets-Liab 5-6'!F5+'Assets-Liab 5-6'!I5)</f>
        <v>1278854</v>
      </c>
      <c r="I24" s="422"/>
      <c r="J24" s="422"/>
      <c r="K24" s="423">
        <f>TRUNC(((H24/H25*100000)/100000),2)</f>
        <v>378.76</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3376.3833300000001</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80" zoomScaleNormal="80" workbookViewId="0">
      <pane ySplit="2" topLeftCell="A3" activePane="bottomLeft" state="frozen"/>
      <selection pane="bottomLeft" activeCell="M40" sqref="M40"/>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2"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3"/>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4" t="s">
        <v>973</v>
      </c>
      <c r="B3" s="2115"/>
      <c r="C3" s="1557"/>
      <c r="D3" s="1558"/>
      <c r="E3" s="1558"/>
      <c r="F3" s="1558"/>
      <c r="G3" s="1558"/>
      <c r="H3" s="1558"/>
      <c r="I3" s="1558"/>
      <c r="J3" s="1558"/>
      <c r="K3" s="1558"/>
      <c r="L3" s="1558"/>
      <c r="M3" s="1559"/>
      <c r="N3" s="1560"/>
    </row>
    <row r="4" spans="1:14" ht="13.5" customHeight="1" x14ac:dyDescent="0.2">
      <c r="A4" s="463" t="s">
        <v>1651</v>
      </c>
      <c r="B4" s="464"/>
      <c r="C4" s="465">
        <v>419272</v>
      </c>
      <c r="D4" s="466">
        <v>0</v>
      </c>
      <c r="E4" s="466">
        <v>0</v>
      </c>
      <c r="F4" s="466">
        <v>0</v>
      </c>
      <c r="G4" s="466">
        <v>0</v>
      </c>
      <c r="H4" s="466">
        <v>0</v>
      </c>
      <c r="I4" s="466">
        <v>0</v>
      </c>
      <c r="J4" s="467">
        <v>0</v>
      </c>
      <c r="K4" s="466">
        <v>0</v>
      </c>
      <c r="L4" s="466"/>
      <c r="M4" s="468"/>
      <c r="N4" s="469"/>
    </row>
    <row r="5" spans="1:14" x14ac:dyDescent="0.2">
      <c r="A5" s="463" t="s">
        <v>992</v>
      </c>
      <c r="B5" s="470">
        <v>120</v>
      </c>
      <c r="C5" s="465">
        <v>859582</v>
      </c>
      <c r="D5" s="466">
        <v>0</v>
      </c>
      <c r="E5" s="466">
        <v>0</v>
      </c>
      <c r="F5" s="466">
        <v>0</v>
      </c>
      <c r="G5" s="466">
        <v>0</v>
      </c>
      <c r="H5" s="466">
        <v>0</v>
      </c>
      <c r="I5" s="466">
        <v>0</v>
      </c>
      <c r="J5" s="467">
        <v>0</v>
      </c>
      <c r="K5" s="471">
        <v>0</v>
      </c>
      <c r="L5" s="472"/>
      <c r="M5" s="468"/>
      <c r="N5" s="469"/>
    </row>
    <row r="6" spans="1:14" ht="13.5" customHeight="1" x14ac:dyDescent="0.2">
      <c r="A6" s="473" t="s">
        <v>417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418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269</v>
      </c>
      <c r="B8" s="470">
        <v>150</v>
      </c>
      <c r="C8" s="476">
        <v>0</v>
      </c>
      <c r="D8" s="467">
        <v>0</v>
      </c>
      <c r="E8" s="467">
        <v>0</v>
      </c>
      <c r="F8" s="467">
        <v>0</v>
      </c>
      <c r="G8" s="639">
        <v>0</v>
      </c>
      <c r="H8" s="467">
        <v>0</v>
      </c>
      <c r="I8" s="474">
        <v>0</v>
      </c>
      <c r="J8" s="474">
        <v>0</v>
      </c>
      <c r="K8" s="479">
        <v>0</v>
      </c>
      <c r="L8" s="480"/>
      <c r="M8" s="468"/>
      <c r="N8" s="469"/>
    </row>
    <row r="9" spans="1:14" ht="13.5" customHeight="1" x14ac:dyDescent="0.2">
      <c r="A9" s="473" t="s">
        <v>270</v>
      </c>
      <c r="B9" s="470">
        <v>160</v>
      </c>
      <c r="C9" s="476">
        <v>0</v>
      </c>
      <c r="D9" s="467">
        <v>0</v>
      </c>
      <c r="E9" s="467">
        <v>0</v>
      </c>
      <c r="F9" s="467">
        <v>0</v>
      </c>
      <c r="G9" s="467">
        <v>0</v>
      </c>
      <c r="H9" s="639">
        <v>0</v>
      </c>
      <c r="I9" s="467">
        <v>0</v>
      </c>
      <c r="J9" s="467">
        <v>0</v>
      </c>
      <c r="K9" s="467">
        <v>0</v>
      </c>
      <c r="L9" s="467"/>
      <c r="M9" s="468"/>
      <c r="N9" s="469"/>
    </row>
    <row r="10" spans="1:14" ht="13.5" customHeight="1" x14ac:dyDescent="0.2">
      <c r="A10" s="473" t="s">
        <v>991</v>
      </c>
      <c r="B10" s="470">
        <v>170</v>
      </c>
      <c r="C10" s="465">
        <v>0</v>
      </c>
      <c r="D10" s="466">
        <v>0</v>
      </c>
      <c r="E10" s="467">
        <v>0</v>
      </c>
      <c r="F10" s="466">
        <v>0</v>
      </c>
      <c r="G10" s="639">
        <v>0</v>
      </c>
      <c r="H10" s="568">
        <v>0</v>
      </c>
      <c r="I10" s="467" t="s">
        <v>1169</v>
      </c>
      <c r="J10" s="467" t="s">
        <v>1169</v>
      </c>
      <c r="K10" s="568">
        <v>0</v>
      </c>
      <c r="L10" s="481"/>
      <c r="M10" s="469"/>
      <c r="N10" s="469"/>
    </row>
    <row r="11" spans="1:14" ht="13.5" customHeight="1" x14ac:dyDescent="0.2">
      <c r="A11" s="473" t="s">
        <v>271</v>
      </c>
      <c r="B11" s="470">
        <v>180</v>
      </c>
      <c r="C11" s="476">
        <v>0</v>
      </c>
      <c r="D11" s="467">
        <v>0</v>
      </c>
      <c r="E11" s="467">
        <v>0</v>
      </c>
      <c r="F11" s="467">
        <v>0</v>
      </c>
      <c r="G11" s="467">
        <v>0</v>
      </c>
      <c r="H11" s="467" t="s">
        <v>1169</v>
      </c>
      <c r="I11" s="639" t="s">
        <v>1169</v>
      </c>
      <c r="J11" s="639" t="s">
        <v>1169</v>
      </c>
      <c r="K11" s="467" t="s">
        <v>1169</v>
      </c>
      <c r="L11" s="467"/>
      <c r="M11" s="469"/>
      <c r="N11" s="469"/>
    </row>
    <row r="12" spans="1:14" ht="13.5" customHeight="1" x14ac:dyDescent="0.2">
      <c r="A12" s="473" t="s">
        <v>419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30" t="s">
        <v>644</v>
      </c>
      <c r="B13" s="1703"/>
      <c r="C13" s="1731">
        <f>SUM(C4:C12)</f>
        <v>1278854</v>
      </c>
      <c r="D13" s="1731">
        <f t="shared" ref="D13:L13" si="0">SUM(D4:D12)</f>
        <v>0</v>
      </c>
      <c r="E13" s="1731">
        <f t="shared" si="0"/>
        <v>0</v>
      </c>
      <c r="F13" s="1731">
        <f t="shared" si="0"/>
        <v>0</v>
      </c>
      <c r="G13" s="1731">
        <f t="shared" si="0"/>
        <v>0</v>
      </c>
      <c r="H13" s="1731">
        <f t="shared" si="0"/>
        <v>0</v>
      </c>
      <c r="I13" s="1731">
        <f t="shared" si="0"/>
        <v>0</v>
      </c>
      <c r="J13" s="1731">
        <f t="shared" si="0"/>
        <v>0</v>
      </c>
      <c r="K13" s="1731">
        <f t="shared" si="0"/>
        <v>0</v>
      </c>
      <c r="L13" s="1731">
        <f t="shared" si="0"/>
        <v>0</v>
      </c>
      <c r="M13" s="468"/>
      <c r="N13" s="469"/>
    </row>
    <row r="14" spans="1:14" ht="18" customHeight="1" thickTop="1" x14ac:dyDescent="0.2">
      <c r="A14" s="2116" t="s">
        <v>147</v>
      </c>
      <c r="B14" s="2117"/>
      <c r="C14" s="1561"/>
      <c r="D14" s="1562"/>
      <c r="E14" s="1562"/>
      <c r="F14" s="1562"/>
      <c r="G14" s="1562"/>
      <c r="H14" s="1562"/>
      <c r="I14" s="1562"/>
      <c r="J14" s="1562"/>
      <c r="K14" s="1562"/>
      <c r="L14" s="1562"/>
      <c r="M14" s="1563"/>
      <c r="N14" s="1564"/>
    </row>
    <row r="15" spans="1:14" s="485" customFormat="1" ht="12.75" customHeight="1" x14ac:dyDescent="0.2">
      <c r="A15" s="482" t="s">
        <v>1401</v>
      </c>
      <c r="B15" s="483">
        <v>210</v>
      </c>
      <c r="C15" s="477"/>
      <c r="D15" s="477"/>
      <c r="E15" s="477"/>
      <c r="F15" s="477"/>
      <c r="G15" s="477"/>
      <c r="H15" s="477"/>
      <c r="I15" s="477"/>
      <c r="J15" s="477"/>
      <c r="K15" s="477"/>
      <c r="L15" s="477"/>
      <c r="M15" s="639"/>
      <c r="N15" s="484"/>
    </row>
    <row r="16" spans="1:14" s="485" customFormat="1" ht="12.75" customHeight="1" x14ac:dyDescent="0.2">
      <c r="A16" s="482" t="s">
        <v>1402</v>
      </c>
      <c r="B16" s="483">
        <v>220</v>
      </c>
      <c r="C16" s="477"/>
      <c r="D16" s="477"/>
      <c r="E16" s="477"/>
      <c r="F16" s="477"/>
      <c r="G16" s="477"/>
      <c r="H16" s="477"/>
      <c r="I16" s="477"/>
      <c r="J16" s="477"/>
      <c r="K16" s="477"/>
      <c r="L16" s="477"/>
      <c r="M16" s="467"/>
      <c r="N16" s="484"/>
    </row>
    <row r="17" spans="1:14" s="485" customFormat="1" ht="12.75" customHeight="1" x14ac:dyDescent="0.2">
      <c r="A17" s="482" t="s">
        <v>1403</v>
      </c>
      <c r="B17" s="483">
        <v>230</v>
      </c>
      <c r="C17" s="477"/>
      <c r="D17" s="477"/>
      <c r="E17" s="477"/>
      <c r="F17" s="477"/>
      <c r="G17" s="477"/>
      <c r="H17" s="477"/>
      <c r="I17" s="477"/>
      <c r="J17" s="477"/>
      <c r="K17" s="477"/>
      <c r="L17" s="477"/>
      <c r="M17" s="467">
        <v>163516</v>
      </c>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62994</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0" t="s">
        <v>643</v>
      </c>
      <c r="B23" s="1735"/>
      <c r="C23" s="468"/>
      <c r="D23" s="468"/>
      <c r="E23" s="468"/>
      <c r="F23" s="468"/>
      <c r="G23" s="468"/>
      <c r="H23" s="468"/>
      <c r="I23" s="468"/>
      <c r="J23" s="468"/>
      <c r="K23" s="468"/>
      <c r="L23" s="468"/>
      <c r="M23" s="1682">
        <f>SUM(M15:M22)</f>
        <v>226510</v>
      </c>
      <c r="N23" s="1682">
        <f>SUM(N21:N22)</f>
        <v>0</v>
      </c>
    </row>
    <row r="24" spans="1:14" ht="18" customHeight="1" thickTop="1" x14ac:dyDescent="0.2">
      <c r="A24" s="2118" t="s">
        <v>598</v>
      </c>
      <c r="B24" s="2119"/>
      <c r="C24" s="1566"/>
      <c r="D24" s="1563"/>
      <c r="E24" s="1563"/>
      <c r="F24" s="1563"/>
      <c r="G24" s="1563"/>
      <c r="H24" s="1563"/>
      <c r="I24" s="1563"/>
      <c r="J24" s="1563"/>
      <c r="K24" s="1563"/>
      <c r="L24" s="1563"/>
      <c r="M24" s="1562"/>
      <c r="N24" s="1567"/>
    </row>
    <row r="25" spans="1:14" x14ac:dyDescent="0.2">
      <c r="A25" s="473" t="s">
        <v>645</v>
      </c>
      <c r="B25" s="470">
        <v>410</v>
      </c>
      <c r="C25" s="639">
        <v>0</v>
      </c>
      <c r="D25" s="639">
        <v>0</v>
      </c>
      <c r="E25" s="639">
        <v>0</v>
      </c>
      <c r="F25" s="639">
        <v>0</v>
      </c>
      <c r="G25" s="639">
        <v>0</v>
      </c>
      <c r="H25" s="479">
        <v>0</v>
      </c>
      <c r="I25" s="468"/>
      <c r="J25" s="639">
        <v>0</v>
      </c>
      <c r="K25" s="639">
        <v>0</v>
      </c>
      <c r="L25" s="468"/>
      <c r="M25" s="468"/>
      <c r="N25" s="468"/>
    </row>
    <row r="26" spans="1:14" x14ac:dyDescent="0.2">
      <c r="A26" s="473" t="s">
        <v>646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647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648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649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650</v>
      </c>
      <c r="B30" s="470">
        <v>470</v>
      </c>
      <c r="C30" s="467">
        <v>0</v>
      </c>
      <c r="D30" s="474">
        <v>0</v>
      </c>
      <c r="E30" s="467">
        <v>0</v>
      </c>
      <c r="F30" s="467">
        <v>0</v>
      </c>
      <c r="G30" s="467">
        <v>0</v>
      </c>
      <c r="H30" s="467">
        <v>0</v>
      </c>
      <c r="I30" s="467">
        <v>0</v>
      </c>
      <c r="J30" s="467">
        <v>0</v>
      </c>
      <c r="K30" s="639">
        <v>0</v>
      </c>
      <c r="L30" s="468"/>
      <c r="M30" s="468"/>
      <c r="N30" s="468"/>
    </row>
    <row r="31" spans="1:14" ht="13.5" customHeight="1" x14ac:dyDescent="0.2">
      <c r="A31" s="473" t="s">
        <v>651</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652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303</v>
      </c>
      <c r="B33" s="491">
        <v>493</v>
      </c>
      <c r="C33" s="467">
        <v>0</v>
      </c>
      <c r="D33" s="467">
        <v>0</v>
      </c>
      <c r="E33" s="467">
        <v>0</v>
      </c>
      <c r="F33" s="467">
        <v>0</v>
      </c>
      <c r="G33" s="467">
        <v>0</v>
      </c>
      <c r="H33" s="467">
        <v>0</v>
      </c>
      <c r="I33" s="467">
        <v>0</v>
      </c>
      <c r="J33" s="467">
        <v>0</v>
      </c>
      <c r="K33" s="467">
        <v>0</v>
      </c>
      <c r="L33" s="467"/>
      <c r="M33" s="468"/>
      <c r="N33" s="469"/>
    </row>
    <row r="34" spans="1:14" ht="13.5" customHeight="1" thickBot="1" x14ac:dyDescent="0.25">
      <c r="A34" s="1732" t="s">
        <v>654</v>
      </c>
      <c r="B34" s="1733"/>
      <c r="C34" s="1734">
        <f>SUM(C25:C33)</f>
        <v>0</v>
      </c>
      <c r="D34" s="1734">
        <f t="shared" ref="D34:K34" si="1">SUM(D25:D33)</f>
        <v>0</v>
      </c>
      <c r="E34" s="1734">
        <f t="shared" si="1"/>
        <v>0</v>
      </c>
      <c r="F34" s="1734">
        <f t="shared" si="1"/>
        <v>0</v>
      </c>
      <c r="G34" s="1734">
        <f t="shared" si="1"/>
        <v>0</v>
      </c>
      <c r="H34" s="1734">
        <f t="shared" si="1"/>
        <v>0</v>
      </c>
      <c r="I34" s="1734">
        <f t="shared" si="1"/>
        <v>0</v>
      </c>
      <c r="J34" s="1734">
        <f t="shared" si="1"/>
        <v>0</v>
      </c>
      <c r="K34" s="1734">
        <f t="shared" si="1"/>
        <v>0</v>
      </c>
      <c r="L34" s="1715">
        <f>SUM(L33)</f>
        <v>0</v>
      </c>
      <c r="M34" s="468"/>
      <c r="N34" s="480"/>
    </row>
    <row r="35" spans="1:14" ht="18" customHeight="1" thickTop="1" x14ac:dyDescent="0.2">
      <c r="A35" s="2120" t="s">
        <v>529</v>
      </c>
      <c r="B35" s="2121"/>
      <c r="C35" s="1568"/>
      <c r="D35" s="1569"/>
      <c r="E35" s="1569"/>
      <c r="F35" s="1569"/>
      <c r="G35" s="1569"/>
      <c r="H35" s="1569"/>
      <c r="I35" s="1569"/>
      <c r="J35" s="1569"/>
      <c r="K35" s="1569"/>
      <c r="L35" s="1569"/>
      <c r="M35" s="1563"/>
      <c r="N35" s="1567"/>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0" t="s">
        <v>653</v>
      </c>
      <c r="B37" s="1735"/>
      <c r="C37" s="477"/>
      <c r="D37" s="477"/>
      <c r="E37" s="477"/>
      <c r="F37" s="477"/>
      <c r="G37" s="477"/>
      <c r="H37" s="477"/>
      <c r="I37" s="477"/>
      <c r="J37" s="477"/>
      <c r="K37" s="477"/>
      <c r="L37" s="480"/>
      <c r="M37" s="468"/>
      <c r="N37" s="1682">
        <f>SUM(N36:N36)</f>
        <v>0</v>
      </c>
    </row>
    <row r="38" spans="1:14" s="329" customFormat="1" ht="13.5" customHeight="1" thickTop="1" x14ac:dyDescent="0.2">
      <c r="A38" s="496" t="s">
        <v>420</v>
      </c>
      <c r="B38" s="483">
        <v>714</v>
      </c>
      <c r="C38" s="466"/>
      <c r="D38" s="466"/>
      <c r="E38" s="466"/>
      <c r="F38" s="466"/>
      <c r="G38" s="466"/>
      <c r="H38" s="466"/>
      <c r="I38" s="466"/>
      <c r="J38" s="467"/>
      <c r="K38" s="466"/>
      <c r="L38" s="568"/>
      <c r="M38" s="497"/>
      <c r="N38" s="497"/>
    </row>
    <row r="39" spans="1:14" s="329" customFormat="1" ht="13.5" customHeight="1" x14ac:dyDescent="0.2">
      <c r="A39" s="496" t="s">
        <v>342</v>
      </c>
      <c r="B39" s="483">
        <v>730</v>
      </c>
      <c r="C39" s="466">
        <v>1278854</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226510</v>
      </c>
      <c r="N40" s="497"/>
    </row>
    <row r="41" spans="1:14" ht="13.5" customHeight="1" thickBot="1" x14ac:dyDescent="0.25">
      <c r="A41" s="1730" t="s">
        <v>655</v>
      </c>
      <c r="B41" s="1700"/>
      <c r="C41" s="1682">
        <f>(SUM(C34,C37,C38,C39))</f>
        <v>1278854</v>
      </c>
      <c r="D41" s="1682">
        <f t="shared" ref="D41:L41" si="2">SUM(D34,D37,D38:D39)</f>
        <v>0</v>
      </c>
      <c r="E41" s="1682">
        <f t="shared" si="2"/>
        <v>0</v>
      </c>
      <c r="F41" s="1682">
        <f t="shared" si="2"/>
        <v>0</v>
      </c>
      <c r="G41" s="1682">
        <f t="shared" si="2"/>
        <v>0</v>
      </c>
      <c r="H41" s="1682">
        <f t="shared" si="2"/>
        <v>0</v>
      </c>
      <c r="I41" s="1682">
        <f t="shared" si="2"/>
        <v>0</v>
      </c>
      <c r="J41" s="1682">
        <f t="shared" si="2"/>
        <v>0</v>
      </c>
      <c r="K41" s="1682">
        <f t="shared" si="2"/>
        <v>0</v>
      </c>
      <c r="L41" s="1682">
        <f t="shared" si="2"/>
        <v>0</v>
      </c>
      <c r="M41" s="1682">
        <f>SUM(M40)</f>
        <v>226510</v>
      </c>
      <c r="N41" s="1682">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48" activePane="bottomLeft" state="frozen"/>
      <selection pane="bottomLeft" activeCell="A21" sqref="A21:B21"/>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0"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1"/>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2" t="s">
        <v>1175</v>
      </c>
      <c r="B3" s="2143"/>
      <c r="C3" s="1571"/>
      <c r="D3" s="1572"/>
      <c r="E3" s="1572"/>
      <c r="F3" s="1572"/>
      <c r="G3" s="1572"/>
      <c r="H3" s="1572"/>
      <c r="I3" s="1572"/>
      <c r="J3" s="1572"/>
      <c r="K3" s="1573"/>
      <c r="L3" s="506"/>
    </row>
    <row r="4" spans="1:13" ht="15.75" customHeight="1" x14ac:dyDescent="0.2">
      <c r="A4" s="1921" t="s">
        <v>1499</v>
      </c>
      <c r="B4" s="1922">
        <v>1000</v>
      </c>
      <c r="C4" s="1736">
        <f>'Revenues 9-14'!C109</f>
        <v>691161</v>
      </c>
      <c r="D4" s="1736">
        <f>'Revenues 9-14'!D109</f>
        <v>0</v>
      </c>
      <c r="E4" s="1736">
        <f>'Revenues 9-14'!E109</f>
        <v>0</v>
      </c>
      <c r="F4" s="1736">
        <f>'Revenues 9-14'!F109</f>
        <v>0</v>
      </c>
      <c r="G4" s="1736">
        <f>'Revenues 9-14'!G109</f>
        <v>0</v>
      </c>
      <c r="H4" s="1736">
        <f>'Revenues 9-14'!H109</f>
        <v>0</v>
      </c>
      <c r="I4" s="1736">
        <f>'Revenues 9-14'!I109</f>
        <v>0</v>
      </c>
      <c r="J4" s="1736">
        <f>'Revenues 9-14'!J109</f>
        <v>0</v>
      </c>
      <c r="K4" s="1736">
        <f>'Revenues 9-14'!K109</f>
        <v>0</v>
      </c>
      <c r="L4" s="347"/>
    </row>
    <row r="5" spans="1:13" ht="15.75" customHeight="1" x14ac:dyDescent="0.2">
      <c r="A5" s="1574" t="s">
        <v>1500</v>
      </c>
      <c r="B5" s="1575">
        <v>2000</v>
      </c>
      <c r="C5" s="1737">
        <f>'Revenues 9-14'!C114</f>
        <v>0</v>
      </c>
      <c r="D5" s="1737">
        <f>'Revenues 9-14'!D114</f>
        <v>0</v>
      </c>
      <c r="E5" s="508"/>
      <c r="F5" s="1737">
        <f>'Revenues 9-14'!F114</f>
        <v>0</v>
      </c>
      <c r="G5" s="1737">
        <f>'Revenues 9-14'!G114</f>
        <v>0</v>
      </c>
      <c r="H5" s="509" t="s">
        <v>1169</v>
      </c>
      <c r="I5" s="510" t="s">
        <v>1169</v>
      </c>
      <c r="J5" s="511" t="s">
        <v>1169</v>
      </c>
      <c r="K5" s="512" t="s">
        <v>1169</v>
      </c>
      <c r="L5" s="347"/>
    </row>
    <row r="6" spans="1:13" ht="15.75" customHeight="1" x14ac:dyDescent="0.2">
      <c r="A6" s="1574" t="s">
        <v>1501</v>
      </c>
      <c r="B6" s="1576">
        <v>3000</v>
      </c>
      <c r="C6" s="1737">
        <f>'Revenues 9-14'!C170</f>
        <v>590506</v>
      </c>
      <c r="D6" s="1737">
        <f>'Revenues 9-14'!D170</f>
        <v>0</v>
      </c>
      <c r="E6" s="1737">
        <f>'Revenues 9-14'!E170</f>
        <v>0</v>
      </c>
      <c r="F6" s="1737">
        <f>'Revenues 9-14'!F170</f>
        <v>0</v>
      </c>
      <c r="G6" s="1737">
        <f>'Revenues 9-14'!G170</f>
        <v>0</v>
      </c>
      <c r="H6" s="1737">
        <f>'Revenues 9-14'!H170</f>
        <v>0</v>
      </c>
      <c r="I6" s="1737">
        <f>'Revenues 9-14'!I170</f>
        <v>0</v>
      </c>
      <c r="J6" s="1737">
        <f>'Revenues 9-14'!J170</f>
        <v>0</v>
      </c>
      <c r="K6" s="1737">
        <f>'Revenues 9-14'!K170</f>
        <v>0</v>
      </c>
      <c r="L6" s="347"/>
      <c r="M6" s="513"/>
    </row>
    <row r="7" spans="1:13" ht="15.75" customHeight="1" x14ac:dyDescent="0.2">
      <c r="A7" s="1574" t="s">
        <v>1502</v>
      </c>
      <c r="B7" s="1576">
        <v>4000</v>
      </c>
      <c r="C7" s="1737">
        <f>'Revenues 9-14'!C267</f>
        <v>0</v>
      </c>
      <c r="D7" s="1737">
        <f>'Revenues 9-14'!D267</f>
        <v>0</v>
      </c>
      <c r="E7" s="1737">
        <f>'Revenues 9-14'!E267</f>
        <v>0</v>
      </c>
      <c r="F7" s="1737">
        <f>'Revenues 9-14'!F267</f>
        <v>0</v>
      </c>
      <c r="G7" s="1737">
        <f>'Revenues 9-14'!G267</f>
        <v>0</v>
      </c>
      <c r="H7" s="1737">
        <f>'Revenues 9-14'!H267</f>
        <v>0</v>
      </c>
      <c r="I7" s="1737">
        <f>'Revenues 9-14'!I267</f>
        <v>0</v>
      </c>
      <c r="J7" s="1737">
        <f>'Revenues 9-14'!J267</f>
        <v>0</v>
      </c>
      <c r="K7" s="1737">
        <f>'Revenues 9-14'!K267</f>
        <v>0</v>
      </c>
      <c r="L7" s="347"/>
      <c r="M7" s="513"/>
    </row>
    <row r="8" spans="1:13" ht="13.5" thickBot="1" x14ac:dyDescent="0.25">
      <c r="A8" s="1730" t="s">
        <v>1172</v>
      </c>
      <c r="B8" s="1703"/>
      <c r="C8" s="1682">
        <f>SUM(C4:C7)</f>
        <v>1281667</v>
      </c>
      <c r="D8" s="1682">
        <f t="shared" ref="D8:K8" si="0">SUM(D4:D7)</f>
        <v>0</v>
      </c>
      <c r="E8" s="1682">
        <f t="shared" si="0"/>
        <v>0</v>
      </c>
      <c r="F8" s="1682">
        <f t="shared" si="0"/>
        <v>0</v>
      </c>
      <c r="G8" s="1682">
        <f t="shared" si="0"/>
        <v>0</v>
      </c>
      <c r="H8" s="1682">
        <f t="shared" si="0"/>
        <v>0</v>
      </c>
      <c r="I8" s="1682">
        <f t="shared" si="0"/>
        <v>0</v>
      </c>
      <c r="J8" s="1682">
        <f t="shared" si="0"/>
        <v>0</v>
      </c>
      <c r="K8" s="1682">
        <f t="shared" si="0"/>
        <v>0</v>
      </c>
      <c r="L8" s="347"/>
    </row>
    <row r="9" spans="1:13" ht="15.75" thickTop="1" x14ac:dyDescent="0.2">
      <c r="A9" s="514" t="s">
        <v>1653</v>
      </c>
      <c r="B9" s="515">
        <v>3998</v>
      </c>
      <c r="C9" s="568">
        <v>0</v>
      </c>
      <c r="D9" s="516"/>
      <c r="E9" s="481"/>
      <c r="F9" s="481"/>
      <c r="G9" s="517"/>
      <c r="H9" s="481"/>
      <c r="I9" s="509" t="s">
        <v>1169</v>
      </c>
      <c r="J9" s="478"/>
      <c r="K9" s="481"/>
      <c r="L9" s="347"/>
    </row>
    <row r="10" spans="1:13" s="519" customFormat="1" ht="13.5" thickBot="1" x14ac:dyDescent="0.25">
      <c r="A10" s="1730" t="s">
        <v>1173</v>
      </c>
      <c r="B10" s="1703"/>
      <c r="C10" s="1682">
        <f>SUM(C8:C9)</f>
        <v>1281667</v>
      </c>
      <c r="D10" s="1682">
        <f t="shared" ref="D10:K10" si="1">SUM(D8:D9)</f>
        <v>0</v>
      </c>
      <c r="E10" s="1682">
        <f t="shared" si="1"/>
        <v>0</v>
      </c>
      <c r="F10" s="1682">
        <f t="shared" si="1"/>
        <v>0</v>
      </c>
      <c r="G10" s="1682">
        <f t="shared" si="1"/>
        <v>0</v>
      </c>
      <c r="H10" s="1682">
        <f t="shared" si="1"/>
        <v>0</v>
      </c>
      <c r="I10" s="1682">
        <f t="shared" si="1"/>
        <v>0</v>
      </c>
      <c r="J10" s="1682">
        <f t="shared" si="1"/>
        <v>0</v>
      </c>
      <c r="K10" s="1682">
        <f t="shared" si="1"/>
        <v>0</v>
      </c>
      <c r="L10" s="518"/>
    </row>
    <row r="11" spans="1:13" s="519" customFormat="1" ht="16.7" customHeight="1" thickTop="1" x14ac:dyDescent="0.2">
      <c r="A11" s="2116" t="s">
        <v>1176</v>
      </c>
      <c r="B11" s="2117"/>
      <c r="C11" s="1568"/>
      <c r="D11" s="1569"/>
      <c r="E11" s="1569"/>
      <c r="F11" s="1569"/>
      <c r="G11" s="1569"/>
      <c r="H11" s="1569"/>
      <c r="I11" s="1569"/>
      <c r="J11" s="1569"/>
      <c r="K11" s="1570"/>
      <c r="L11" s="518"/>
    </row>
    <row r="12" spans="1:13" ht="15.75" customHeight="1" x14ac:dyDescent="0.2">
      <c r="A12" s="1574" t="s">
        <v>456</v>
      </c>
      <c r="B12" s="1576">
        <v>1000</v>
      </c>
      <c r="C12" s="1736">
        <f>'Expenditures 15-22'!K33</f>
        <v>384245</v>
      </c>
      <c r="D12" s="520" t="s">
        <v>1169</v>
      </c>
      <c r="E12" s="468" t="s">
        <v>1169</v>
      </c>
      <c r="F12" s="468" t="s">
        <v>1169</v>
      </c>
      <c r="G12" s="1736">
        <f>'Expenditures 15-22'!K229</f>
        <v>0</v>
      </c>
      <c r="H12" s="521"/>
      <c r="I12" s="468" t="s">
        <v>1169</v>
      </c>
      <c r="J12" s="468" t="s">
        <v>1169</v>
      </c>
      <c r="K12" s="521" t="s">
        <v>1169</v>
      </c>
      <c r="L12" s="347"/>
    </row>
    <row r="13" spans="1:13" ht="15.75" customHeight="1" x14ac:dyDescent="0.2">
      <c r="A13" s="1574" t="s">
        <v>457</v>
      </c>
      <c r="B13" s="1576">
        <v>2000</v>
      </c>
      <c r="C13" s="1737">
        <f>'Expenditures 15-22'!K74</f>
        <v>21041</v>
      </c>
      <c r="D13" s="1737">
        <f>'Expenditures 15-22'!K129</f>
        <v>0</v>
      </c>
      <c r="E13" s="469" t="s">
        <v>1169</v>
      </c>
      <c r="F13" s="1737">
        <f>'Expenditures 15-22'!K184</f>
        <v>0</v>
      </c>
      <c r="G13" s="1737">
        <f>'Expenditures 15-22'!K279</f>
        <v>0</v>
      </c>
      <c r="H13" s="1737">
        <f>'Expenditures 15-22'!K303</f>
        <v>0</v>
      </c>
      <c r="I13" s="468" t="s">
        <v>1169</v>
      </c>
      <c r="J13" s="1737">
        <f>'Expenditures 15-22'!K330</f>
        <v>0</v>
      </c>
      <c r="K13" s="1741">
        <f>'Expenditures 15-22'!K352</f>
        <v>0</v>
      </c>
      <c r="L13" s="347"/>
    </row>
    <row r="14" spans="1:13" ht="15.75" customHeight="1" x14ac:dyDescent="0.2">
      <c r="A14" s="1574" t="s">
        <v>449</v>
      </c>
      <c r="B14" s="1576">
        <v>3000</v>
      </c>
      <c r="C14" s="1737">
        <f>'Expenditures 15-22'!K75</f>
        <v>0</v>
      </c>
      <c r="D14" s="1737">
        <f>'Expenditures 15-22'!K130</f>
        <v>0</v>
      </c>
      <c r="E14" s="520" t="s">
        <v>1169</v>
      </c>
      <c r="F14" s="1737">
        <f>'Expenditures 15-22'!K185</f>
        <v>0</v>
      </c>
      <c r="G14" s="1737">
        <f>'Expenditures 15-22'!K280</f>
        <v>0</v>
      </c>
      <c r="H14" s="512"/>
      <c r="I14" s="468" t="s">
        <v>1169</v>
      </c>
      <c r="J14" s="468" t="s">
        <v>1169</v>
      </c>
      <c r="K14" s="512" t="s">
        <v>1169</v>
      </c>
      <c r="L14" s="347"/>
    </row>
    <row r="15" spans="1:13" ht="15.75" customHeight="1" x14ac:dyDescent="0.2">
      <c r="A15" s="1574" t="s">
        <v>107</v>
      </c>
      <c r="B15" s="1576">
        <v>4000</v>
      </c>
      <c r="C15" s="1737">
        <f>'Expenditures 15-22'!K102</f>
        <v>810212</v>
      </c>
      <c r="D15" s="1737">
        <f>'Expenditures 15-22'!K139</f>
        <v>0</v>
      </c>
      <c r="E15" s="1737">
        <f>'Expenditures 15-22'!K160</f>
        <v>0</v>
      </c>
      <c r="F15" s="1737">
        <f>'Expenditures 15-22'!K196</f>
        <v>0</v>
      </c>
      <c r="G15" s="1737">
        <f>'Expenditures 15-22'!K285</f>
        <v>0</v>
      </c>
      <c r="H15" s="1737">
        <f>'Expenditures 15-22'!K310</f>
        <v>0</v>
      </c>
      <c r="I15" s="468" t="s">
        <v>1169</v>
      </c>
      <c r="J15" s="1829">
        <f>'Expenditures 15-22'!K334</f>
        <v>0</v>
      </c>
      <c r="K15" s="1737">
        <f>'Expenditures 15-22'!K357</f>
        <v>0</v>
      </c>
      <c r="L15" s="347"/>
    </row>
    <row r="16" spans="1:13" ht="15.75" customHeight="1" x14ac:dyDescent="0.2">
      <c r="A16" s="1574" t="s">
        <v>450</v>
      </c>
      <c r="B16" s="1576">
        <v>5000</v>
      </c>
      <c r="C16" s="1737">
        <f>'Expenditures 15-22'!K112</f>
        <v>0</v>
      </c>
      <c r="D16" s="1737">
        <f>'Expenditures 15-22'!K149</f>
        <v>0</v>
      </c>
      <c r="E16" s="1737">
        <f>'Expenditures 15-22'!K172</f>
        <v>0</v>
      </c>
      <c r="F16" s="1737">
        <f>'Expenditures 15-22'!K208</f>
        <v>0</v>
      </c>
      <c r="G16" s="1737">
        <f>'Expenditures 15-22'!K293</f>
        <v>0</v>
      </c>
      <c r="H16" s="523"/>
      <c r="I16" s="468" t="s">
        <v>1169</v>
      </c>
      <c r="J16" s="1742">
        <f>'Expenditures 15-22'!K340</f>
        <v>0</v>
      </c>
      <c r="K16" s="1737">
        <f>'Expenditures 15-22'!K365</f>
        <v>0</v>
      </c>
      <c r="L16" s="347"/>
    </row>
    <row r="17" spans="1:12" ht="13.5" thickBot="1" x14ac:dyDescent="0.25">
      <c r="A17" s="1702" t="s">
        <v>48</v>
      </c>
      <c r="B17" s="1703"/>
      <c r="C17" s="1682">
        <f t="shared" ref="C17:H17" si="2">SUM(C12:C16)</f>
        <v>1215498</v>
      </c>
      <c r="D17" s="1682">
        <f t="shared" si="2"/>
        <v>0</v>
      </c>
      <c r="E17" s="1682">
        <f t="shared" si="2"/>
        <v>0</v>
      </c>
      <c r="F17" s="1682">
        <f t="shared" si="2"/>
        <v>0</v>
      </c>
      <c r="G17" s="1682">
        <f t="shared" si="2"/>
        <v>0</v>
      </c>
      <c r="H17" s="1682">
        <f t="shared" si="2"/>
        <v>0</v>
      </c>
      <c r="I17" s="468"/>
      <c r="J17" s="1682">
        <f>SUM(J12:J16)</f>
        <v>0</v>
      </c>
      <c r="K17" s="1682">
        <f>SUM(K12:K16)</f>
        <v>0</v>
      </c>
      <c r="L17" s="347"/>
    </row>
    <row r="18" spans="1:12" ht="15" customHeight="1" thickTop="1" x14ac:dyDescent="0.2">
      <c r="A18" s="1738" t="s">
        <v>1654</v>
      </c>
      <c r="B18" s="1739">
        <v>4180</v>
      </c>
      <c r="C18" s="1736">
        <f t="shared" ref="C18:H18" si="3">C9</f>
        <v>0</v>
      </c>
      <c r="D18" s="1736">
        <f t="shared" si="3"/>
        <v>0</v>
      </c>
      <c r="E18" s="1736">
        <f t="shared" si="3"/>
        <v>0</v>
      </c>
      <c r="F18" s="1736">
        <f t="shared" si="3"/>
        <v>0</v>
      </c>
      <c r="G18" s="1736">
        <f t="shared" si="3"/>
        <v>0</v>
      </c>
      <c r="H18" s="1736">
        <f t="shared" si="3"/>
        <v>0</v>
      </c>
      <c r="I18" s="468"/>
      <c r="J18" s="1736">
        <f>J9</f>
        <v>0</v>
      </c>
      <c r="K18" s="1736">
        <f>K9</f>
        <v>0</v>
      </c>
      <c r="L18" s="347"/>
    </row>
    <row r="19" spans="1:12" ht="13.5" thickBot="1" x14ac:dyDescent="0.25">
      <c r="A19" s="1702" t="s">
        <v>505</v>
      </c>
      <c r="B19" s="1703"/>
      <c r="C19" s="1682">
        <f t="shared" ref="C19:H19" si="4">SUM(C17:C18)</f>
        <v>1215498</v>
      </c>
      <c r="D19" s="1682">
        <f t="shared" si="4"/>
        <v>0</v>
      </c>
      <c r="E19" s="1682">
        <f t="shared" si="4"/>
        <v>0</v>
      </c>
      <c r="F19" s="1682">
        <f t="shared" si="4"/>
        <v>0</v>
      </c>
      <c r="G19" s="1682">
        <f t="shared" si="4"/>
        <v>0</v>
      </c>
      <c r="H19" s="1682">
        <f t="shared" si="4"/>
        <v>0</v>
      </c>
      <c r="I19" s="468"/>
      <c r="J19" s="1682">
        <f>SUM(J17:J18)</f>
        <v>0</v>
      </c>
      <c r="K19" s="1682">
        <f>SUM(K17:K18)</f>
        <v>0</v>
      </c>
      <c r="L19" s="347"/>
    </row>
    <row r="20" spans="1:12" ht="16.5" thickTop="1" thickBot="1" x14ac:dyDescent="0.25">
      <c r="A20" s="2132" t="s">
        <v>1655</v>
      </c>
      <c r="B20" s="2133"/>
      <c r="C20" s="1740">
        <f>C8-C17</f>
        <v>66169</v>
      </c>
      <c r="D20" s="1740">
        <f t="shared" ref="D20:K20" si="5">D8-D17</f>
        <v>0</v>
      </c>
      <c r="E20" s="1740">
        <f t="shared" si="5"/>
        <v>0</v>
      </c>
      <c r="F20" s="1740">
        <f t="shared" si="5"/>
        <v>0</v>
      </c>
      <c r="G20" s="1740">
        <f t="shared" si="5"/>
        <v>0</v>
      </c>
      <c r="H20" s="1740">
        <f t="shared" si="5"/>
        <v>0</v>
      </c>
      <c r="I20" s="1740">
        <f t="shared" si="5"/>
        <v>0</v>
      </c>
      <c r="J20" s="1740">
        <f t="shared" si="5"/>
        <v>0</v>
      </c>
      <c r="K20" s="1740">
        <f t="shared" si="5"/>
        <v>0</v>
      </c>
      <c r="L20" s="347"/>
    </row>
    <row r="21" spans="1:12" ht="16.7" customHeight="1" thickTop="1" x14ac:dyDescent="0.2">
      <c r="A21" s="2144" t="s">
        <v>595</v>
      </c>
      <c r="B21" s="2145"/>
      <c r="C21" s="1568"/>
      <c r="D21" s="1569"/>
      <c r="E21" s="1569"/>
      <c r="F21" s="1569"/>
      <c r="G21" s="1569"/>
      <c r="H21" s="1569"/>
      <c r="I21" s="1569"/>
      <c r="J21" s="1569"/>
      <c r="K21" s="1570"/>
      <c r="L21" s="524"/>
    </row>
    <row r="22" spans="1:12" ht="15.75" customHeight="1" collapsed="1" x14ac:dyDescent="0.2">
      <c r="A22" s="2140" t="s">
        <v>596</v>
      </c>
      <c r="B22" s="2141"/>
      <c r="C22" s="477"/>
      <c r="D22" s="477"/>
      <c r="E22" s="477"/>
      <c r="F22" s="477"/>
      <c r="G22" s="477"/>
      <c r="H22" s="477"/>
      <c r="I22" s="477"/>
      <c r="J22" s="477"/>
      <c r="K22" s="477"/>
      <c r="L22" s="347"/>
    </row>
    <row r="23" spans="1:12" s="485" customFormat="1" ht="15.75" customHeight="1" x14ac:dyDescent="0.2">
      <c r="A23" s="2136" t="s">
        <v>293</v>
      </c>
      <c r="B23" s="2137"/>
      <c r="C23" s="480"/>
      <c r="D23" s="477"/>
      <c r="E23" s="477"/>
      <c r="F23" s="477"/>
      <c r="G23" s="477"/>
      <c r="H23" s="477"/>
      <c r="I23" s="477"/>
      <c r="J23" s="477"/>
      <c r="K23" s="477"/>
      <c r="L23" s="524"/>
    </row>
    <row r="24" spans="1:12" s="485" customFormat="1" ht="13.5" customHeight="1" x14ac:dyDescent="0.2">
      <c r="A24" s="1487" t="s">
        <v>1656</v>
      </c>
      <c r="B24" s="525">
        <v>7110</v>
      </c>
      <c r="C24" s="467">
        <v>0</v>
      </c>
      <c r="D24" s="477"/>
      <c r="E24" s="477"/>
      <c r="F24" s="477"/>
      <c r="G24" s="477"/>
      <c r="H24" s="477"/>
      <c r="I24" s="477"/>
      <c r="J24" s="477"/>
      <c r="K24" s="477"/>
      <c r="L24" s="524"/>
    </row>
    <row r="25" spans="1:12" s="485" customFormat="1" ht="13.5" customHeight="1" x14ac:dyDescent="0.2">
      <c r="A25" s="1487" t="s">
        <v>1657</v>
      </c>
      <c r="B25" s="525">
        <v>7110</v>
      </c>
      <c r="C25" s="467">
        <v>0</v>
      </c>
      <c r="D25" s="467">
        <v>0</v>
      </c>
      <c r="E25" s="467">
        <v>0</v>
      </c>
      <c r="F25" s="467">
        <v>0</v>
      </c>
      <c r="G25" s="467">
        <v>0</v>
      </c>
      <c r="H25" s="467">
        <v>0</v>
      </c>
      <c r="I25" s="477"/>
      <c r="J25" s="467">
        <v>0</v>
      </c>
      <c r="K25" s="467">
        <v>0</v>
      </c>
      <c r="L25" s="524"/>
    </row>
    <row r="26" spans="1:12" s="485" customFormat="1" ht="13.5" customHeight="1" x14ac:dyDescent="0.2">
      <c r="A26" s="1487" t="s">
        <v>184</v>
      </c>
      <c r="B26" s="483">
        <v>7120</v>
      </c>
      <c r="C26" s="467">
        <v>0</v>
      </c>
      <c r="D26" s="467">
        <v>0</v>
      </c>
      <c r="E26" s="467">
        <v>0</v>
      </c>
      <c r="F26" s="467">
        <v>0</v>
      </c>
      <c r="G26" s="467">
        <v>0</v>
      </c>
      <c r="H26" s="467">
        <v>0</v>
      </c>
      <c r="I26" s="477"/>
      <c r="J26" s="467">
        <v>0</v>
      </c>
      <c r="K26" s="467">
        <v>0</v>
      </c>
      <c r="L26" s="524"/>
    </row>
    <row r="27" spans="1:12" s="485" customFormat="1" ht="13.5" customHeight="1" x14ac:dyDescent="0.2">
      <c r="A27" s="1487" t="s">
        <v>185</v>
      </c>
      <c r="B27" s="483">
        <v>7130</v>
      </c>
      <c r="C27" s="467">
        <v>0</v>
      </c>
      <c r="D27" s="467">
        <v>0</v>
      </c>
      <c r="E27" s="526"/>
      <c r="F27" s="467">
        <v>0</v>
      </c>
      <c r="G27" s="480"/>
      <c r="H27" s="480"/>
      <c r="I27" s="480"/>
      <c r="J27" s="480"/>
      <c r="K27" s="480"/>
      <c r="L27" s="524"/>
    </row>
    <row r="28" spans="1:12" s="485" customFormat="1" ht="13.5" customHeight="1" x14ac:dyDescent="0.2">
      <c r="A28" s="1487" t="s">
        <v>1398</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487" t="s">
        <v>294</v>
      </c>
      <c r="B29" s="483">
        <v>7150</v>
      </c>
      <c r="C29" s="475"/>
      <c r="D29" s="467">
        <v>0</v>
      </c>
      <c r="E29" s="475"/>
      <c r="F29" s="475"/>
      <c r="G29" s="475"/>
      <c r="H29" s="475"/>
      <c r="I29" s="475"/>
      <c r="J29" s="475"/>
      <c r="K29" s="475"/>
      <c r="L29" s="524"/>
    </row>
    <row r="30" spans="1:12" s="485" customFormat="1" ht="26.25" x14ac:dyDescent="0.2">
      <c r="A30" s="1487" t="s">
        <v>1794</v>
      </c>
      <c r="B30" s="527">
        <v>7160</v>
      </c>
      <c r="C30" s="477"/>
      <c r="D30" s="467">
        <v>0</v>
      </c>
      <c r="E30" s="477"/>
      <c r="F30" s="477"/>
      <c r="G30" s="477"/>
      <c r="H30" s="477"/>
      <c r="I30" s="477"/>
      <c r="J30" s="477"/>
      <c r="K30" s="477"/>
      <c r="L30" s="524"/>
    </row>
    <row r="31" spans="1:12" s="485" customFormat="1" ht="26.25" x14ac:dyDescent="0.2">
      <c r="A31" s="1487" t="s">
        <v>1798</v>
      </c>
      <c r="B31" s="527">
        <v>7170</v>
      </c>
      <c r="C31" s="477"/>
      <c r="D31" s="477"/>
      <c r="E31" s="474">
        <v>0</v>
      </c>
      <c r="F31" s="477"/>
      <c r="G31" s="477"/>
      <c r="H31" s="477"/>
      <c r="I31" s="477"/>
      <c r="J31" s="477"/>
      <c r="K31" s="477"/>
      <c r="L31" s="524"/>
    </row>
    <row r="32" spans="1:12" s="485" customFormat="1" ht="15.75" customHeight="1" x14ac:dyDescent="0.2">
      <c r="A32" s="2138" t="s">
        <v>981</v>
      </c>
      <c r="B32" s="2139"/>
      <c r="C32" s="477"/>
      <c r="D32" s="477"/>
      <c r="E32" s="475"/>
      <c r="F32" s="477"/>
      <c r="G32" s="477"/>
      <c r="H32" s="477"/>
      <c r="I32" s="477"/>
      <c r="J32" s="477"/>
      <c r="K32" s="477"/>
      <c r="L32" s="524"/>
    </row>
    <row r="33" spans="1:12" s="485" customFormat="1" x14ac:dyDescent="0.2">
      <c r="A33" s="1487" t="s">
        <v>412</v>
      </c>
      <c r="B33" s="525">
        <v>7210</v>
      </c>
      <c r="C33" s="467">
        <v>0</v>
      </c>
      <c r="D33" s="467">
        <v>0</v>
      </c>
      <c r="E33" s="467">
        <v>0</v>
      </c>
      <c r="F33" s="467">
        <v>0</v>
      </c>
      <c r="G33" s="477"/>
      <c r="H33" s="467">
        <v>0</v>
      </c>
      <c r="I33" s="467">
        <v>0</v>
      </c>
      <c r="J33" s="467">
        <v>0</v>
      </c>
      <c r="K33" s="467">
        <v>0</v>
      </c>
      <c r="L33" s="524"/>
    </row>
    <row r="34" spans="1:12" s="485" customFormat="1" x14ac:dyDescent="0.2">
      <c r="A34" s="1487" t="s">
        <v>1001</v>
      </c>
      <c r="B34" s="525">
        <v>7220</v>
      </c>
      <c r="C34" s="467">
        <v>0</v>
      </c>
      <c r="D34" s="467">
        <v>0</v>
      </c>
      <c r="E34" s="467">
        <v>0</v>
      </c>
      <c r="F34" s="467">
        <v>0</v>
      </c>
      <c r="G34" s="477"/>
      <c r="H34" s="639">
        <v>0</v>
      </c>
      <c r="I34" s="639">
        <v>0</v>
      </c>
      <c r="J34" s="639">
        <v>0</v>
      </c>
      <c r="K34" s="639">
        <v>0</v>
      </c>
      <c r="L34" s="524"/>
    </row>
    <row r="35" spans="1:12" s="485" customFormat="1" x14ac:dyDescent="0.2">
      <c r="A35" s="1487" t="s">
        <v>990</v>
      </c>
      <c r="B35" s="525">
        <v>7230</v>
      </c>
      <c r="C35" s="467">
        <v>0</v>
      </c>
      <c r="D35" s="467">
        <v>0</v>
      </c>
      <c r="E35" s="467">
        <v>0</v>
      </c>
      <c r="F35" s="467">
        <v>0</v>
      </c>
      <c r="G35" s="480"/>
      <c r="H35" s="467">
        <v>0</v>
      </c>
      <c r="I35" s="467">
        <v>0</v>
      </c>
      <c r="J35" s="467">
        <v>0</v>
      </c>
      <c r="K35" s="467">
        <v>0</v>
      </c>
      <c r="L35" s="524"/>
    </row>
    <row r="36" spans="1:12" s="485" customFormat="1" ht="15" x14ac:dyDescent="0.2">
      <c r="A36" s="1487" t="s">
        <v>1658</v>
      </c>
      <c r="B36" s="525">
        <v>7300</v>
      </c>
      <c r="C36" s="467">
        <v>0</v>
      </c>
      <c r="D36" s="467">
        <v>0</v>
      </c>
      <c r="E36" s="467">
        <v>0</v>
      </c>
      <c r="F36" s="467">
        <v>0</v>
      </c>
      <c r="G36" s="467">
        <v>0</v>
      </c>
      <c r="H36" s="467">
        <v>0</v>
      </c>
      <c r="I36" s="475"/>
      <c r="J36" s="467">
        <v>0</v>
      </c>
      <c r="K36" s="467">
        <v>0</v>
      </c>
      <c r="L36" s="524"/>
    </row>
    <row r="37" spans="1:12" s="485" customFormat="1" x14ac:dyDescent="0.2">
      <c r="A37" s="1487" t="s">
        <v>441</v>
      </c>
      <c r="B37" s="525">
        <v>7400</v>
      </c>
      <c r="C37" s="475"/>
      <c r="D37" s="475"/>
      <c r="E37" s="1737">
        <f>SUM(C54:D57,H54:H57)</f>
        <v>0</v>
      </c>
      <c r="F37" s="475"/>
      <c r="G37" s="475"/>
      <c r="H37" s="475"/>
      <c r="I37" s="477"/>
      <c r="J37" s="475"/>
      <c r="K37" s="475"/>
      <c r="L37" s="524"/>
    </row>
    <row r="38" spans="1:12" s="485" customFormat="1" x14ac:dyDescent="0.2">
      <c r="A38" s="1487" t="s">
        <v>442</v>
      </c>
      <c r="B38" s="525">
        <v>7500</v>
      </c>
      <c r="C38" s="477"/>
      <c r="D38" s="477"/>
      <c r="E38" s="1737">
        <f>SUM(C58:D61,H58:H61)</f>
        <v>0</v>
      </c>
      <c r="F38" s="477"/>
      <c r="G38" s="477"/>
      <c r="H38" s="477"/>
      <c r="I38" s="477"/>
      <c r="J38" s="477"/>
      <c r="K38" s="477"/>
      <c r="L38" s="524"/>
    </row>
    <row r="39" spans="1:12" s="485" customFormat="1" x14ac:dyDescent="0.2">
      <c r="A39" s="1487" t="s">
        <v>443</v>
      </c>
      <c r="B39" s="525">
        <v>7600</v>
      </c>
      <c r="C39" s="477"/>
      <c r="D39" s="477"/>
      <c r="E39" s="1737">
        <f>SUM(C62:D65)</f>
        <v>0</v>
      </c>
      <c r="F39" s="477"/>
      <c r="G39" s="477"/>
      <c r="H39" s="477"/>
      <c r="I39" s="477"/>
      <c r="J39" s="477"/>
      <c r="K39" s="477"/>
      <c r="L39" s="524"/>
    </row>
    <row r="40" spans="1:12" s="485" customFormat="1" ht="13.5" customHeight="1" x14ac:dyDescent="0.2">
      <c r="A40" s="1487" t="s">
        <v>642</v>
      </c>
      <c r="B40" s="483">
        <v>7700</v>
      </c>
      <c r="C40" s="477"/>
      <c r="D40" s="477"/>
      <c r="E40" s="1737">
        <f>SUM(C66:D69)</f>
        <v>0</v>
      </c>
      <c r="F40" s="477"/>
      <c r="G40" s="477"/>
      <c r="H40" s="480"/>
      <c r="I40" s="477"/>
      <c r="J40" s="477"/>
      <c r="K40" s="477"/>
      <c r="L40" s="524"/>
    </row>
    <row r="41" spans="1:12" s="485" customFormat="1" ht="13.5" customHeight="1" x14ac:dyDescent="0.2">
      <c r="A41" s="1487" t="s">
        <v>640</v>
      </c>
      <c r="B41" s="483">
        <v>7800</v>
      </c>
      <c r="C41" s="480"/>
      <c r="D41" s="480"/>
      <c r="E41" s="526"/>
      <c r="F41" s="480"/>
      <c r="G41" s="480"/>
      <c r="H41" s="1737">
        <f>SUM(C70:D73)</f>
        <v>0</v>
      </c>
      <c r="I41" s="477"/>
      <c r="J41" s="477"/>
      <c r="K41" s="480"/>
      <c r="L41" s="524"/>
    </row>
    <row r="42" spans="1:12" s="485" customFormat="1" ht="13.5" customHeight="1" x14ac:dyDescent="0.2">
      <c r="A42" s="1487" t="s">
        <v>641</v>
      </c>
      <c r="B42" s="483">
        <v>7900</v>
      </c>
      <c r="C42" s="467">
        <v>0</v>
      </c>
      <c r="D42" s="467">
        <v>0</v>
      </c>
      <c r="E42" s="467">
        <v>0</v>
      </c>
      <c r="F42" s="467">
        <v>0</v>
      </c>
      <c r="G42" s="467">
        <v>0</v>
      </c>
      <c r="H42" s="467">
        <v>0</v>
      </c>
      <c r="I42" s="480"/>
      <c r="J42" s="480"/>
      <c r="K42" s="467">
        <v>0</v>
      </c>
      <c r="L42" s="524"/>
    </row>
    <row r="43" spans="1:12" s="485" customFormat="1" ht="13.5" customHeight="1" x14ac:dyDescent="0.2">
      <c r="A43" s="1487" t="s">
        <v>373</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46" t="s">
        <v>374</v>
      </c>
      <c r="B44" s="2147"/>
      <c r="C44" s="1697">
        <f>SUM(C24:C43)</f>
        <v>0</v>
      </c>
      <c r="D44" s="1697">
        <f t="shared" ref="D44:K44" si="6">SUM(D24:D43)</f>
        <v>0</v>
      </c>
      <c r="E44" s="1697">
        <f t="shared" si="6"/>
        <v>0</v>
      </c>
      <c r="F44" s="1697">
        <f t="shared" si="6"/>
        <v>0</v>
      </c>
      <c r="G44" s="1697">
        <f t="shared" si="6"/>
        <v>0</v>
      </c>
      <c r="H44" s="1697">
        <f t="shared" si="6"/>
        <v>0</v>
      </c>
      <c r="I44" s="1697">
        <f t="shared" si="6"/>
        <v>0</v>
      </c>
      <c r="J44" s="1697">
        <f t="shared" si="6"/>
        <v>0</v>
      </c>
      <c r="K44" s="1697">
        <f t="shared" si="6"/>
        <v>0</v>
      </c>
      <c r="L44" s="524"/>
    </row>
    <row r="45" spans="1:12" ht="15.75" customHeight="1" thickTop="1" x14ac:dyDescent="0.2">
      <c r="A45" s="2140" t="s">
        <v>108</v>
      </c>
      <c r="B45" s="2141"/>
      <c r="C45" s="528"/>
      <c r="D45" s="528"/>
      <c r="E45" s="528"/>
      <c r="F45" s="528"/>
      <c r="G45" s="528"/>
      <c r="H45" s="528"/>
      <c r="I45" s="528"/>
      <c r="J45" s="528"/>
      <c r="K45" s="528"/>
      <c r="L45" s="347"/>
    </row>
    <row r="46" spans="1:12" s="485" customFormat="1" ht="15.75" customHeight="1" x14ac:dyDescent="0.2">
      <c r="A46" s="2148" t="s">
        <v>109</v>
      </c>
      <c r="B46" s="2149"/>
      <c r="C46" s="477"/>
      <c r="D46" s="477"/>
      <c r="E46" s="477"/>
      <c r="F46" s="477"/>
      <c r="G46" s="477"/>
      <c r="H46" s="477"/>
      <c r="I46" s="480"/>
      <c r="J46" s="477"/>
      <c r="K46" s="477"/>
      <c r="L46" s="529"/>
    </row>
    <row r="47" spans="1:12" s="485" customFormat="1" ht="15" x14ac:dyDescent="0.2">
      <c r="A47" s="1488" t="s">
        <v>1659</v>
      </c>
      <c r="B47" s="483">
        <v>8110</v>
      </c>
      <c r="C47" s="477"/>
      <c r="D47" s="477"/>
      <c r="E47" s="477"/>
      <c r="F47" s="477"/>
      <c r="G47" s="477"/>
      <c r="H47" s="477"/>
      <c r="I47" s="1737">
        <f>SUM(C24,C25:H25,J25:K25)</f>
        <v>0</v>
      </c>
      <c r="J47" s="477"/>
      <c r="K47" s="477"/>
      <c r="L47" s="529"/>
    </row>
    <row r="48" spans="1:12" s="485" customFormat="1" ht="15" x14ac:dyDescent="0.2">
      <c r="A48" s="1488" t="s">
        <v>1660</v>
      </c>
      <c r="B48" s="483">
        <v>8120</v>
      </c>
      <c r="C48" s="480"/>
      <c r="D48" s="480"/>
      <c r="E48" s="477"/>
      <c r="F48" s="480"/>
      <c r="G48" s="477"/>
      <c r="H48" s="477"/>
      <c r="I48" s="1737">
        <f>SUM(C26:H26,J26,K26)</f>
        <v>0</v>
      </c>
      <c r="J48" s="477"/>
      <c r="K48" s="477"/>
      <c r="L48" s="529"/>
    </row>
    <row r="49" spans="1:12" s="485" customFormat="1" x14ac:dyDescent="0.2">
      <c r="A49" s="1488" t="s">
        <v>185</v>
      </c>
      <c r="B49" s="483">
        <v>8130</v>
      </c>
      <c r="C49" s="467">
        <v>0</v>
      </c>
      <c r="D49" s="467">
        <v>0</v>
      </c>
      <c r="E49" s="480"/>
      <c r="F49" s="467">
        <v>0</v>
      </c>
      <c r="G49" s="480"/>
      <c r="H49" s="480"/>
      <c r="I49" s="477"/>
      <c r="J49" s="480"/>
      <c r="K49" s="477"/>
      <c r="L49" s="524"/>
    </row>
    <row r="50" spans="1:12" s="485" customFormat="1" x14ac:dyDescent="0.2">
      <c r="A50" s="1488" t="s">
        <v>1398</v>
      </c>
      <c r="B50" s="483">
        <v>8140</v>
      </c>
      <c r="C50" s="467">
        <v>0</v>
      </c>
      <c r="D50" s="467">
        <v>0</v>
      </c>
      <c r="E50" s="467">
        <v>0</v>
      </c>
      <c r="F50" s="467">
        <v>0</v>
      </c>
      <c r="G50" s="467">
        <v>0</v>
      </c>
      <c r="H50" s="467">
        <v>0</v>
      </c>
      <c r="I50" s="477"/>
      <c r="J50" s="467">
        <v>0</v>
      </c>
      <c r="K50" s="477"/>
      <c r="L50" s="524"/>
    </row>
    <row r="51" spans="1:12" s="485" customFormat="1" x14ac:dyDescent="0.2">
      <c r="A51" s="1488" t="s">
        <v>294</v>
      </c>
      <c r="B51" s="483">
        <v>8150</v>
      </c>
      <c r="C51" s="475"/>
      <c r="D51" s="475"/>
      <c r="E51" s="475"/>
      <c r="F51" s="475"/>
      <c r="G51" s="475"/>
      <c r="H51" s="1737">
        <f>SUM(D29)</f>
        <v>0</v>
      </c>
      <c r="I51" s="477"/>
      <c r="J51" s="475"/>
      <c r="K51" s="480"/>
      <c r="L51" s="524"/>
    </row>
    <row r="52" spans="1:12" s="485" customFormat="1" ht="26.25" x14ac:dyDescent="0.2">
      <c r="A52" s="1488" t="s">
        <v>1797</v>
      </c>
      <c r="B52" s="483">
        <v>8160</v>
      </c>
      <c r="C52" s="477"/>
      <c r="D52" s="477"/>
      <c r="E52" s="477"/>
      <c r="F52" s="477"/>
      <c r="G52" s="477"/>
      <c r="H52" s="477"/>
      <c r="I52" s="477"/>
      <c r="J52" s="477"/>
      <c r="K52" s="1737">
        <f>D30</f>
        <v>0</v>
      </c>
      <c r="L52" s="524"/>
    </row>
    <row r="53" spans="1:12" s="485" customFormat="1" ht="26.25" x14ac:dyDescent="0.2">
      <c r="A53" s="1488" t="s">
        <v>1796</v>
      </c>
      <c r="B53" s="483">
        <v>8170</v>
      </c>
      <c r="C53" s="480"/>
      <c r="D53" s="480"/>
      <c r="E53" s="477"/>
      <c r="F53" s="477"/>
      <c r="G53" s="477"/>
      <c r="H53" s="480"/>
      <c r="I53" s="477"/>
      <c r="J53" s="477"/>
      <c r="K53" s="1737">
        <f>E31</f>
        <v>0</v>
      </c>
      <c r="L53" s="524"/>
    </row>
    <row r="54" spans="1:12" s="485" customFormat="1" ht="13.5" thickBot="1" x14ac:dyDescent="0.25">
      <c r="A54" s="1488" t="s">
        <v>692</v>
      </c>
      <c r="B54" s="483">
        <v>8410</v>
      </c>
      <c r="C54" s="530">
        <v>0</v>
      </c>
      <c r="D54" s="530">
        <v>0</v>
      </c>
      <c r="E54" s="477"/>
      <c r="F54" s="477"/>
      <c r="G54" s="477"/>
      <c r="H54" s="530">
        <v>0</v>
      </c>
      <c r="I54" s="477"/>
      <c r="J54" s="477"/>
      <c r="K54" s="475"/>
      <c r="L54" s="524"/>
    </row>
    <row r="55" spans="1:12" s="485" customFormat="1" ht="14.25" thickTop="1" thickBot="1" x14ac:dyDescent="0.25">
      <c r="A55" s="1489" t="s">
        <v>693</v>
      </c>
      <c r="B55" s="483">
        <v>8420</v>
      </c>
      <c r="C55" s="531">
        <v>0</v>
      </c>
      <c r="D55" s="531">
        <v>0</v>
      </c>
      <c r="E55" s="477"/>
      <c r="F55" s="477"/>
      <c r="G55" s="477"/>
      <c r="H55" s="530">
        <v>0</v>
      </c>
      <c r="I55" s="477"/>
      <c r="J55" s="477"/>
      <c r="K55" s="477"/>
      <c r="L55" s="524"/>
    </row>
    <row r="56" spans="1:12" s="485" customFormat="1" ht="14.25" thickTop="1" thickBot="1" x14ac:dyDescent="0.25">
      <c r="A56" s="1488" t="s">
        <v>581</v>
      </c>
      <c r="B56" s="483">
        <v>8430</v>
      </c>
      <c r="C56" s="531">
        <v>0</v>
      </c>
      <c r="D56" s="531">
        <v>0</v>
      </c>
      <c r="E56" s="477"/>
      <c r="F56" s="477"/>
      <c r="G56" s="477"/>
      <c r="H56" s="530">
        <v>0</v>
      </c>
      <c r="I56" s="477"/>
      <c r="J56" s="477"/>
      <c r="K56" s="477"/>
      <c r="L56" s="524"/>
    </row>
    <row r="57" spans="1:12" s="485" customFormat="1" ht="14.25" thickTop="1" thickBot="1" x14ac:dyDescent="0.25">
      <c r="A57" s="1489" t="s">
        <v>578</v>
      </c>
      <c r="B57" s="483">
        <v>8440</v>
      </c>
      <c r="C57" s="531">
        <v>0</v>
      </c>
      <c r="D57" s="531">
        <v>0</v>
      </c>
      <c r="E57" s="477"/>
      <c r="F57" s="477"/>
      <c r="G57" s="477"/>
      <c r="H57" s="530">
        <v>0</v>
      </c>
      <c r="I57" s="477"/>
      <c r="J57" s="477"/>
      <c r="K57" s="477"/>
      <c r="L57" s="524"/>
    </row>
    <row r="58" spans="1:12" s="485" customFormat="1" ht="14.25" thickTop="1" thickBot="1" x14ac:dyDescent="0.25">
      <c r="A58" s="1488" t="s">
        <v>579</v>
      </c>
      <c r="B58" s="483">
        <v>8510</v>
      </c>
      <c r="C58" s="531">
        <v>0</v>
      </c>
      <c r="D58" s="531">
        <v>0</v>
      </c>
      <c r="E58" s="477"/>
      <c r="F58" s="477"/>
      <c r="G58" s="477"/>
      <c r="H58" s="530">
        <v>0</v>
      </c>
      <c r="I58" s="477"/>
      <c r="J58" s="477"/>
      <c r="K58" s="477"/>
      <c r="L58" s="524"/>
    </row>
    <row r="59" spans="1:12" s="485" customFormat="1" ht="14.25" thickTop="1" thickBot="1" x14ac:dyDescent="0.25">
      <c r="A59" s="1490" t="s">
        <v>694</v>
      </c>
      <c r="B59" s="483">
        <v>8520</v>
      </c>
      <c r="C59" s="531">
        <v>0</v>
      </c>
      <c r="D59" s="531">
        <v>0</v>
      </c>
      <c r="E59" s="477"/>
      <c r="F59" s="477"/>
      <c r="G59" s="477"/>
      <c r="H59" s="530">
        <v>0</v>
      </c>
      <c r="I59" s="477"/>
      <c r="J59" s="477"/>
      <c r="K59" s="477"/>
      <c r="L59" s="524"/>
    </row>
    <row r="60" spans="1:12" s="485" customFormat="1" ht="14.25" thickTop="1" thickBot="1" x14ac:dyDescent="0.25">
      <c r="A60" s="1488" t="s">
        <v>580</v>
      </c>
      <c r="B60" s="483">
        <v>8530</v>
      </c>
      <c r="C60" s="531">
        <v>0</v>
      </c>
      <c r="D60" s="531">
        <v>0</v>
      </c>
      <c r="E60" s="477"/>
      <c r="F60" s="477"/>
      <c r="G60" s="477"/>
      <c r="H60" s="530">
        <v>0</v>
      </c>
      <c r="I60" s="477"/>
      <c r="J60" s="477"/>
      <c r="K60" s="477"/>
      <c r="L60" s="524"/>
    </row>
    <row r="61" spans="1:12" s="485" customFormat="1" ht="14.25" thickTop="1" thickBot="1" x14ac:dyDescent="0.25">
      <c r="A61" s="1489" t="s">
        <v>743</v>
      </c>
      <c r="B61" s="483">
        <v>8540</v>
      </c>
      <c r="C61" s="531">
        <v>0</v>
      </c>
      <c r="D61" s="531">
        <v>0</v>
      </c>
      <c r="E61" s="477"/>
      <c r="F61" s="477"/>
      <c r="G61" s="477"/>
      <c r="H61" s="530">
        <v>0</v>
      </c>
      <c r="I61" s="477"/>
      <c r="J61" s="477"/>
      <c r="K61" s="477"/>
      <c r="L61" s="524"/>
    </row>
    <row r="62" spans="1:12" s="485" customFormat="1" ht="13.5" customHeight="1" thickTop="1" thickBot="1" x14ac:dyDescent="0.25">
      <c r="A62" s="1488" t="s">
        <v>744</v>
      </c>
      <c r="B62" s="483">
        <v>8610</v>
      </c>
      <c r="C62" s="531">
        <v>0</v>
      </c>
      <c r="D62" s="531">
        <v>0</v>
      </c>
      <c r="E62" s="477"/>
      <c r="F62" s="477"/>
      <c r="G62" s="477"/>
      <c r="H62" s="477"/>
      <c r="I62" s="477"/>
      <c r="J62" s="477"/>
      <c r="K62" s="477"/>
      <c r="L62" s="524"/>
    </row>
    <row r="63" spans="1:12" s="485" customFormat="1" ht="14.25" thickTop="1" thickBot="1" x14ac:dyDescent="0.25">
      <c r="A63" s="1489" t="s">
        <v>695</v>
      </c>
      <c r="B63" s="483">
        <v>8620</v>
      </c>
      <c r="C63" s="531">
        <v>0</v>
      </c>
      <c r="D63" s="531">
        <v>0</v>
      </c>
      <c r="E63" s="477"/>
      <c r="F63" s="477"/>
      <c r="G63" s="477"/>
      <c r="H63" s="477"/>
      <c r="I63" s="477"/>
      <c r="J63" s="477"/>
      <c r="K63" s="477"/>
      <c r="L63" s="524"/>
    </row>
    <row r="64" spans="1:12" s="485" customFormat="1" ht="13.5" customHeight="1" thickTop="1" thickBot="1" x14ac:dyDescent="0.25">
      <c r="A64" s="1488" t="s">
        <v>745</v>
      </c>
      <c r="B64" s="483">
        <v>8630</v>
      </c>
      <c r="C64" s="531">
        <v>0</v>
      </c>
      <c r="D64" s="531">
        <v>0</v>
      </c>
      <c r="E64" s="477"/>
      <c r="F64" s="477"/>
      <c r="G64" s="477"/>
      <c r="H64" s="477"/>
      <c r="I64" s="477"/>
      <c r="J64" s="477"/>
      <c r="K64" s="477"/>
      <c r="L64" s="524"/>
    </row>
    <row r="65" spans="1:12" s="485" customFormat="1" ht="14.25" thickTop="1" thickBot="1" x14ac:dyDescent="0.25">
      <c r="A65" s="1489" t="s">
        <v>746</v>
      </c>
      <c r="B65" s="483">
        <v>8640</v>
      </c>
      <c r="C65" s="531">
        <v>0</v>
      </c>
      <c r="D65" s="531">
        <v>0</v>
      </c>
      <c r="E65" s="477"/>
      <c r="F65" s="477"/>
      <c r="G65" s="477"/>
      <c r="H65" s="477"/>
      <c r="I65" s="477"/>
      <c r="J65" s="477"/>
      <c r="K65" s="477"/>
      <c r="L65" s="524"/>
    </row>
    <row r="66" spans="1:12" s="485" customFormat="1" ht="14.25" thickTop="1" thickBot="1" x14ac:dyDescent="0.25">
      <c r="A66" s="1488" t="s">
        <v>747</v>
      </c>
      <c r="B66" s="483">
        <v>8710</v>
      </c>
      <c r="C66" s="531">
        <v>0</v>
      </c>
      <c r="D66" s="531">
        <v>0</v>
      </c>
      <c r="E66" s="477"/>
      <c r="F66" s="477"/>
      <c r="G66" s="477"/>
      <c r="H66" s="477"/>
      <c r="I66" s="477"/>
      <c r="J66" s="477"/>
      <c r="K66" s="477"/>
      <c r="L66" s="524"/>
    </row>
    <row r="67" spans="1:12" s="485" customFormat="1" ht="14.25" thickTop="1" thickBot="1" x14ac:dyDescent="0.25">
      <c r="A67" s="1489" t="s">
        <v>696</v>
      </c>
      <c r="B67" s="483">
        <v>8720</v>
      </c>
      <c r="C67" s="531">
        <v>0</v>
      </c>
      <c r="D67" s="531">
        <v>0</v>
      </c>
      <c r="E67" s="477"/>
      <c r="F67" s="477"/>
      <c r="G67" s="477"/>
      <c r="H67" s="477"/>
      <c r="I67" s="477"/>
      <c r="J67" s="477"/>
      <c r="K67" s="477"/>
      <c r="L67" s="524"/>
    </row>
    <row r="68" spans="1:12" s="485" customFormat="1" ht="14.25" thickTop="1" thickBot="1" x14ac:dyDescent="0.25">
      <c r="A68" s="1490" t="s">
        <v>748</v>
      </c>
      <c r="B68" s="483">
        <v>8730</v>
      </c>
      <c r="C68" s="531">
        <v>0</v>
      </c>
      <c r="D68" s="531">
        <v>0</v>
      </c>
      <c r="E68" s="477"/>
      <c r="F68" s="477"/>
      <c r="G68" s="477"/>
      <c r="H68" s="477"/>
      <c r="I68" s="477"/>
      <c r="J68" s="477"/>
      <c r="K68" s="477"/>
      <c r="L68" s="524"/>
    </row>
    <row r="69" spans="1:12" s="485" customFormat="1" ht="14.25" thickTop="1" thickBot="1" x14ac:dyDescent="0.25">
      <c r="A69" s="1489" t="s">
        <v>749</v>
      </c>
      <c r="B69" s="483">
        <v>8740</v>
      </c>
      <c r="C69" s="531">
        <v>0</v>
      </c>
      <c r="D69" s="531">
        <v>0</v>
      </c>
      <c r="E69" s="477"/>
      <c r="F69" s="477"/>
      <c r="G69" s="477"/>
      <c r="H69" s="477"/>
      <c r="I69" s="477"/>
      <c r="J69" s="477"/>
      <c r="K69" s="477"/>
      <c r="L69" s="524"/>
    </row>
    <row r="70" spans="1:12" s="485" customFormat="1" ht="14.25" thickTop="1" thickBot="1" x14ac:dyDescent="0.25">
      <c r="A70" s="1488" t="s">
        <v>750</v>
      </c>
      <c r="B70" s="483">
        <v>8810</v>
      </c>
      <c r="C70" s="531">
        <v>0</v>
      </c>
      <c r="D70" s="531">
        <v>0</v>
      </c>
      <c r="E70" s="477"/>
      <c r="F70" s="477"/>
      <c r="G70" s="477"/>
      <c r="H70" s="477"/>
      <c r="I70" s="477"/>
      <c r="J70" s="477"/>
      <c r="K70" s="477"/>
      <c r="L70" s="524"/>
    </row>
    <row r="71" spans="1:12" s="485" customFormat="1" ht="14.25" thickTop="1" thickBot="1" x14ac:dyDescent="0.25">
      <c r="A71" s="1488" t="s">
        <v>754</v>
      </c>
      <c r="B71" s="483">
        <v>8820</v>
      </c>
      <c r="C71" s="531">
        <v>0</v>
      </c>
      <c r="D71" s="531">
        <v>0</v>
      </c>
      <c r="E71" s="477"/>
      <c r="F71" s="477"/>
      <c r="G71" s="477"/>
      <c r="H71" s="477"/>
      <c r="I71" s="477"/>
      <c r="J71" s="477"/>
      <c r="K71" s="477"/>
      <c r="L71" s="524"/>
    </row>
    <row r="72" spans="1:12" s="485" customFormat="1" ht="14.25" thickTop="1" thickBot="1" x14ac:dyDescent="0.25">
      <c r="A72" s="1488" t="s">
        <v>751</v>
      </c>
      <c r="B72" s="483">
        <v>8830</v>
      </c>
      <c r="C72" s="531">
        <v>0</v>
      </c>
      <c r="D72" s="531">
        <v>0</v>
      </c>
      <c r="E72" s="477"/>
      <c r="F72" s="477"/>
      <c r="G72" s="477"/>
      <c r="H72" s="477"/>
      <c r="I72" s="477"/>
      <c r="J72" s="477"/>
      <c r="K72" s="477"/>
      <c r="L72" s="524"/>
    </row>
    <row r="73" spans="1:12" s="485" customFormat="1" ht="14.25" thickTop="1" thickBot="1" x14ac:dyDescent="0.25">
      <c r="A73" s="1488" t="s">
        <v>752</v>
      </c>
      <c r="B73" s="483">
        <v>8840</v>
      </c>
      <c r="C73" s="531">
        <v>0</v>
      </c>
      <c r="D73" s="531">
        <v>0</v>
      </c>
      <c r="E73" s="477"/>
      <c r="F73" s="477"/>
      <c r="G73" s="477"/>
      <c r="H73" s="477"/>
      <c r="I73" s="477"/>
      <c r="J73" s="477"/>
      <c r="K73" s="480"/>
      <c r="L73" s="524"/>
    </row>
    <row r="74" spans="1:12" s="485" customFormat="1" ht="14.25" thickTop="1" thickBot="1" x14ac:dyDescent="0.25">
      <c r="A74" s="1488" t="s">
        <v>375</v>
      </c>
      <c r="B74" s="483">
        <v>8910</v>
      </c>
      <c r="C74" s="531">
        <v>0</v>
      </c>
      <c r="D74" s="531">
        <v>0</v>
      </c>
      <c r="E74" s="480"/>
      <c r="F74" s="530">
        <v>0</v>
      </c>
      <c r="G74" s="530">
        <v>0</v>
      </c>
      <c r="H74" s="530">
        <v>0</v>
      </c>
      <c r="I74" s="480"/>
      <c r="J74" s="480"/>
      <c r="K74" s="530">
        <v>0</v>
      </c>
      <c r="L74" s="524"/>
    </row>
    <row r="75" spans="1:12" s="485" customFormat="1" ht="14.25" thickTop="1" thickBot="1" x14ac:dyDescent="0.25">
      <c r="A75" s="1491" t="s">
        <v>439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22" t="s">
        <v>440</v>
      </c>
      <c r="B76" s="2123"/>
      <c r="C76" s="1697">
        <f t="shared" ref="C76:K76" si="7">SUM(C47:C75)</f>
        <v>0</v>
      </c>
      <c r="D76" s="1697">
        <f t="shared" si="7"/>
        <v>0</v>
      </c>
      <c r="E76" s="1697">
        <f t="shared" si="7"/>
        <v>0</v>
      </c>
      <c r="F76" s="1697">
        <f t="shared" si="7"/>
        <v>0</v>
      </c>
      <c r="G76" s="1697">
        <f t="shared" si="7"/>
        <v>0</v>
      </c>
      <c r="H76" s="1697">
        <f t="shared" si="7"/>
        <v>0</v>
      </c>
      <c r="I76" s="1697">
        <f t="shared" si="7"/>
        <v>0</v>
      </c>
      <c r="J76" s="1697">
        <f t="shared" si="7"/>
        <v>0</v>
      </c>
      <c r="K76" s="1697">
        <f t="shared" si="7"/>
        <v>0</v>
      </c>
      <c r="L76" s="524"/>
    </row>
    <row r="77" spans="1:12" ht="14.25" thickTop="1" thickBot="1" x14ac:dyDescent="0.25">
      <c r="A77" s="2124" t="s">
        <v>1177</v>
      </c>
      <c r="B77" s="2125"/>
      <c r="C77" s="1697">
        <f t="shared" ref="C77:K77" si="8">C44-C76</f>
        <v>0</v>
      </c>
      <c r="D77" s="1697">
        <f t="shared" si="8"/>
        <v>0</v>
      </c>
      <c r="E77" s="1697">
        <f t="shared" si="8"/>
        <v>0</v>
      </c>
      <c r="F77" s="1697">
        <f t="shared" si="8"/>
        <v>0</v>
      </c>
      <c r="G77" s="1697">
        <f t="shared" si="8"/>
        <v>0</v>
      </c>
      <c r="H77" s="1697">
        <f t="shared" si="8"/>
        <v>0</v>
      </c>
      <c r="I77" s="1697">
        <f t="shared" si="8"/>
        <v>0</v>
      </c>
      <c r="J77" s="1697">
        <f t="shared" si="8"/>
        <v>0</v>
      </c>
      <c r="K77" s="1697">
        <f t="shared" si="8"/>
        <v>0</v>
      </c>
      <c r="L77" s="347"/>
    </row>
    <row r="78" spans="1:12" ht="21.75" customHeight="1" thickTop="1" thickBot="1" x14ac:dyDescent="0.25">
      <c r="A78" s="2128" t="s">
        <v>597</v>
      </c>
      <c r="B78" s="2129"/>
      <c r="C78" s="1696">
        <f t="shared" ref="C78:K78" si="9">C20+C77</f>
        <v>66169</v>
      </c>
      <c r="D78" s="1696">
        <f t="shared" si="9"/>
        <v>0</v>
      </c>
      <c r="E78" s="1696">
        <f t="shared" si="9"/>
        <v>0</v>
      </c>
      <c r="F78" s="1696">
        <f t="shared" si="9"/>
        <v>0</v>
      </c>
      <c r="G78" s="1696">
        <f t="shared" si="9"/>
        <v>0</v>
      </c>
      <c r="H78" s="1696">
        <f t="shared" si="9"/>
        <v>0</v>
      </c>
      <c r="I78" s="1696">
        <f t="shared" si="9"/>
        <v>0</v>
      </c>
      <c r="J78" s="1696">
        <f t="shared" si="9"/>
        <v>0</v>
      </c>
      <c r="K78" s="1696">
        <f t="shared" si="9"/>
        <v>0</v>
      </c>
      <c r="L78" s="533"/>
    </row>
    <row r="79" spans="1:12" ht="13.5" thickTop="1" x14ac:dyDescent="0.2">
      <c r="A79" s="1492" t="s">
        <v>1947</v>
      </c>
      <c r="B79" s="534"/>
      <c r="C79" s="639">
        <v>1212685</v>
      </c>
      <c r="D79" s="535"/>
      <c r="E79" s="535"/>
      <c r="F79" s="535"/>
      <c r="G79" s="535"/>
      <c r="H79" s="535"/>
      <c r="I79" s="535"/>
      <c r="J79" s="535"/>
      <c r="K79" s="535"/>
      <c r="L79" s="347"/>
    </row>
    <row r="80" spans="1:12" x14ac:dyDescent="0.2">
      <c r="A80" s="2134" t="s">
        <v>1795</v>
      </c>
      <c r="B80" s="2135"/>
      <c r="C80" s="467"/>
      <c r="D80" s="467"/>
      <c r="E80" s="467"/>
      <c r="F80" s="467"/>
      <c r="G80" s="467"/>
      <c r="H80" s="467"/>
      <c r="I80" s="467"/>
      <c r="J80" s="467"/>
      <c r="K80" s="467"/>
      <c r="L80" s="347"/>
    </row>
    <row r="81" spans="1:12" ht="13.5" thickBot="1" x14ac:dyDescent="0.25">
      <c r="A81" s="2126" t="s">
        <v>1948</v>
      </c>
      <c r="B81" s="2127"/>
      <c r="C81" s="1682">
        <f>(SUM(C78:C80))</f>
        <v>1278854</v>
      </c>
      <c r="D81" s="1682">
        <f>SUM(D78:D80)</f>
        <v>0</v>
      </c>
      <c r="E81" s="1682">
        <f t="shared" ref="E81:K81" si="10">SUM(E78:E80)</f>
        <v>0</v>
      </c>
      <c r="F81" s="1682">
        <f t="shared" si="10"/>
        <v>0</v>
      </c>
      <c r="G81" s="1682">
        <f t="shared" si="10"/>
        <v>0</v>
      </c>
      <c r="H81" s="1682">
        <f t="shared" si="10"/>
        <v>0</v>
      </c>
      <c r="I81" s="1682">
        <f t="shared" si="10"/>
        <v>0</v>
      </c>
      <c r="J81" s="1682">
        <f t="shared" si="10"/>
        <v>0</v>
      </c>
      <c r="K81" s="1682">
        <f t="shared" si="10"/>
        <v>0</v>
      </c>
      <c r="L81" s="347"/>
    </row>
    <row r="82" spans="1:12" ht="0.75" customHeight="1" thickTop="1" thickBot="1" x14ac:dyDescent="0.25">
      <c r="A82" s="536" t="s">
        <v>343</v>
      </c>
      <c r="B82" s="537"/>
      <c r="C82" s="538">
        <f>(C81-C79)</f>
        <v>66169</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5.1740855484676121E-2</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Normal="100" zoomScaleSheetLayoutView="75" workbookViewId="0">
      <pane ySplit="2" topLeftCell="A78" activePane="bottomLeft" state="frozen"/>
      <selection pane="bottomLeft" activeCell="C79" sqref="C79"/>
    </sheetView>
  </sheetViews>
  <sheetFormatPr defaultColWidth="9.140625" defaultRowHeight="12.75" x14ac:dyDescent="0.2"/>
  <cols>
    <col min="1" max="1" width="54.140625" style="593" customWidth="1"/>
    <col min="2" max="2" width="4.7109375" style="594" customWidth="1"/>
    <col min="3" max="11" width="13.7109375" style="384" customWidth="1"/>
    <col min="12" max="16384" width="9.140625" style="384"/>
  </cols>
  <sheetData>
    <row r="1" spans="1:12" x14ac:dyDescent="0.2">
      <c r="A1" s="2130" t="s">
        <v>1802</v>
      </c>
      <c r="B1" s="452"/>
      <c r="C1" s="453" t="s">
        <v>425</v>
      </c>
      <c r="D1" s="453" t="s">
        <v>426</v>
      </c>
      <c r="E1" s="453" t="s">
        <v>427</v>
      </c>
      <c r="F1" s="453" t="s">
        <v>428</v>
      </c>
      <c r="G1" s="453" t="s">
        <v>429</v>
      </c>
      <c r="H1" s="453" t="s">
        <v>430</v>
      </c>
      <c r="I1" s="453" t="s">
        <v>431</v>
      </c>
      <c r="J1" s="453" t="s">
        <v>432</v>
      </c>
      <c r="K1" s="453" t="s">
        <v>756</v>
      </c>
    </row>
    <row r="2" spans="1:12" ht="36" x14ac:dyDescent="0.2">
      <c r="A2" s="2131"/>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7" t="s">
        <v>113</v>
      </c>
      <c r="B3" s="1578"/>
      <c r="C3" s="1579"/>
      <c r="D3" s="1579"/>
      <c r="E3" s="1579"/>
      <c r="F3" s="1580"/>
      <c r="G3" s="1581"/>
      <c r="H3" s="1580"/>
      <c r="I3" s="1580"/>
      <c r="J3" s="1580"/>
      <c r="K3" s="1582"/>
    </row>
    <row r="4" spans="1:12" ht="15.75" customHeight="1" x14ac:dyDescent="0.2">
      <c r="A4" s="1588" t="s">
        <v>379</v>
      </c>
      <c r="B4" s="1589">
        <v>1100</v>
      </c>
      <c r="C4" s="543"/>
      <c r="D4" s="543"/>
      <c r="E4" s="543"/>
      <c r="F4" s="544"/>
      <c r="G4" s="545"/>
      <c r="H4" s="546"/>
      <c r="I4" s="546"/>
      <c r="J4" s="546"/>
      <c r="K4" s="546"/>
    </row>
    <row r="5" spans="1:12" ht="15" x14ac:dyDescent="0.2">
      <c r="A5" s="493" t="s">
        <v>1661</v>
      </c>
      <c r="B5" s="547"/>
      <c r="C5" s="568">
        <v>0</v>
      </c>
      <c r="D5" s="568">
        <v>0</v>
      </c>
      <c r="E5" s="466">
        <v>0</v>
      </c>
      <c r="F5" s="548">
        <v>0</v>
      </c>
      <c r="G5" s="466">
        <v>0</v>
      </c>
      <c r="H5" s="466">
        <v>0</v>
      </c>
      <c r="I5" s="466">
        <v>0</v>
      </c>
      <c r="J5" s="467">
        <v>0</v>
      </c>
      <c r="K5" s="466">
        <v>0</v>
      </c>
    </row>
    <row r="6" spans="1:12" ht="15" x14ac:dyDescent="0.2">
      <c r="A6" s="463" t="s">
        <v>1662</v>
      </c>
      <c r="B6" s="470">
        <v>1130</v>
      </c>
      <c r="C6" s="466">
        <v>0</v>
      </c>
      <c r="D6" s="466">
        <v>0</v>
      </c>
      <c r="E6" s="475"/>
      <c r="F6" s="475"/>
      <c r="G6" s="468"/>
      <c r="H6" s="468"/>
      <c r="I6" s="468"/>
      <c r="J6" s="468"/>
      <c r="K6" s="468"/>
    </row>
    <row r="7" spans="1:12" x14ac:dyDescent="0.2">
      <c r="A7" s="463" t="s">
        <v>110</v>
      </c>
      <c r="B7" s="549">
        <v>1140</v>
      </c>
      <c r="C7" s="466">
        <v>0</v>
      </c>
      <c r="D7" s="466">
        <v>0</v>
      </c>
      <c r="E7" s="468"/>
      <c r="F7" s="467">
        <v>0</v>
      </c>
      <c r="G7" s="467">
        <v>0</v>
      </c>
      <c r="H7" s="467">
        <v>0</v>
      </c>
      <c r="I7" s="468"/>
      <c r="J7" s="468"/>
      <c r="K7" s="468"/>
    </row>
    <row r="8" spans="1:12" x14ac:dyDescent="0.2">
      <c r="A8" s="463" t="s">
        <v>413</v>
      </c>
      <c r="B8" s="470">
        <v>1150</v>
      </c>
      <c r="C8" s="475"/>
      <c r="D8" s="475"/>
      <c r="E8" s="477"/>
      <c r="F8" s="477"/>
      <c r="G8" s="568">
        <v>0</v>
      </c>
      <c r="H8" s="468"/>
      <c r="I8" s="468"/>
      <c r="J8" s="468"/>
      <c r="K8" s="468"/>
    </row>
    <row r="9" spans="1:12" x14ac:dyDescent="0.2">
      <c r="A9" s="473" t="s">
        <v>111</v>
      </c>
      <c r="B9" s="470">
        <v>1160</v>
      </c>
      <c r="C9" s="468"/>
      <c r="D9" s="467">
        <v>0</v>
      </c>
      <c r="E9" s="467">
        <v>0</v>
      </c>
      <c r="F9" s="469"/>
      <c r="G9" s="475"/>
      <c r="H9" s="467">
        <v>0</v>
      </c>
      <c r="I9" s="468"/>
      <c r="J9" s="468"/>
      <c r="K9" s="468"/>
    </row>
    <row r="10" spans="1:12" x14ac:dyDescent="0.2">
      <c r="A10" s="473" t="s">
        <v>112</v>
      </c>
      <c r="B10" s="470">
        <v>1170</v>
      </c>
      <c r="C10" s="467">
        <v>0</v>
      </c>
      <c r="D10" s="526"/>
      <c r="E10" s="526"/>
      <c r="F10" s="469"/>
      <c r="G10" s="468"/>
      <c r="H10" s="468"/>
      <c r="I10" s="468"/>
      <c r="J10" s="468"/>
      <c r="K10" s="468"/>
    </row>
    <row r="11" spans="1:12" x14ac:dyDescent="0.2">
      <c r="A11" s="473" t="s">
        <v>414</v>
      </c>
      <c r="B11" s="550">
        <v>1190</v>
      </c>
      <c r="C11" s="551">
        <v>0</v>
      </c>
      <c r="D11" s="466">
        <v>0</v>
      </c>
      <c r="E11" s="466">
        <v>0</v>
      </c>
      <c r="F11" s="466">
        <v>0</v>
      </c>
      <c r="G11" s="466">
        <v>0</v>
      </c>
      <c r="H11" s="466">
        <v>0</v>
      </c>
      <c r="I11" s="466">
        <v>0</v>
      </c>
      <c r="J11" s="467">
        <v>0</v>
      </c>
      <c r="K11" s="466">
        <v>0</v>
      </c>
      <c r="L11" s="552"/>
    </row>
    <row r="12" spans="1:12" ht="12.75" customHeight="1" thickBot="1" x14ac:dyDescent="0.25">
      <c r="A12" s="1699" t="s">
        <v>29</v>
      </c>
      <c r="B12" s="1700"/>
      <c r="C12" s="1701">
        <f t="shared" ref="C12:K12" si="0">SUM(C5:C11)</f>
        <v>0</v>
      </c>
      <c r="D12" s="1701">
        <f t="shared" si="0"/>
        <v>0</v>
      </c>
      <c r="E12" s="1701">
        <f t="shared" si="0"/>
        <v>0</v>
      </c>
      <c r="F12" s="1701">
        <f t="shared" si="0"/>
        <v>0</v>
      </c>
      <c r="G12" s="1701">
        <f t="shared" si="0"/>
        <v>0</v>
      </c>
      <c r="H12" s="1701">
        <f t="shared" si="0"/>
        <v>0</v>
      </c>
      <c r="I12" s="1701">
        <f t="shared" si="0"/>
        <v>0</v>
      </c>
      <c r="J12" s="1701">
        <f t="shared" si="0"/>
        <v>0</v>
      </c>
      <c r="K12" s="1682">
        <f t="shared" si="0"/>
        <v>0</v>
      </c>
    </row>
    <row r="13" spans="1:12" ht="15.75" customHeight="1" thickTop="1" x14ac:dyDescent="0.2">
      <c r="A13" s="1590" t="s">
        <v>451</v>
      </c>
      <c r="B13" s="159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95</v>
      </c>
      <c r="B15" s="470">
        <v>1220</v>
      </c>
      <c r="C15" s="551">
        <v>0</v>
      </c>
      <c r="D15" s="466">
        <v>0</v>
      </c>
      <c r="E15" s="466">
        <v>0</v>
      </c>
      <c r="F15" s="466">
        <v>0</v>
      </c>
      <c r="G15" s="466">
        <v>0</v>
      </c>
      <c r="H15" s="466">
        <v>0</v>
      </c>
      <c r="I15" s="466">
        <v>0</v>
      </c>
      <c r="J15" s="467">
        <v>0</v>
      </c>
      <c r="K15" s="466">
        <v>0</v>
      </c>
    </row>
    <row r="16" spans="1:12" ht="15" customHeight="1" x14ac:dyDescent="0.2">
      <c r="A16" s="463" t="s">
        <v>1663</v>
      </c>
      <c r="B16" s="549">
        <v>1230</v>
      </c>
      <c r="C16" s="551">
        <v>0</v>
      </c>
      <c r="D16" s="466">
        <v>0</v>
      </c>
      <c r="E16" s="466">
        <v>0</v>
      </c>
      <c r="F16" s="466">
        <v>0</v>
      </c>
      <c r="G16" s="466">
        <v>0</v>
      </c>
      <c r="H16" s="466">
        <v>0</v>
      </c>
      <c r="I16" s="466">
        <v>0</v>
      </c>
      <c r="J16" s="467">
        <v>0</v>
      </c>
      <c r="K16" s="466">
        <v>0</v>
      </c>
    </row>
    <row r="17" spans="1:11" ht="12.75" customHeight="1" x14ac:dyDescent="0.2">
      <c r="A17" s="463" t="s">
        <v>807</v>
      </c>
      <c r="B17" s="470">
        <v>1290</v>
      </c>
      <c r="C17" s="551">
        <v>0</v>
      </c>
      <c r="D17" s="466">
        <v>0</v>
      </c>
      <c r="E17" s="466">
        <v>0</v>
      </c>
      <c r="F17" s="466">
        <v>0</v>
      </c>
      <c r="G17" s="466">
        <v>0</v>
      </c>
      <c r="H17" s="466">
        <v>0</v>
      </c>
      <c r="I17" s="466">
        <v>0</v>
      </c>
      <c r="J17" s="467">
        <v>0</v>
      </c>
      <c r="K17" s="466">
        <v>0</v>
      </c>
    </row>
    <row r="18" spans="1:11" ht="12.75" customHeight="1" thickBot="1" x14ac:dyDescent="0.25">
      <c r="A18" s="1702" t="s">
        <v>537</v>
      </c>
      <c r="B18" s="1703"/>
      <c r="C18" s="1704">
        <f>SUM(C14:C17)</f>
        <v>0</v>
      </c>
      <c r="D18" s="1704">
        <f t="shared" ref="D18:K18" si="1">SUM(D14:D17)</f>
        <v>0</v>
      </c>
      <c r="E18" s="1704">
        <f t="shared" si="1"/>
        <v>0</v>
      </c>
      <c r="F18" s="1704">
        <f t="shared" si="1"/>
        <v>0</v>
      </c>
      <c r="G18" s="1704">
        <f t="shared" si="1"/>
        <v>0</v>
      </c>
      <c r="H18" s="1704">
        <f t="shared" si="1"/>
        <v>0</v>
      </c>
      <c r="I18" s="1704">
        <f t="shared" si="1"/>
        <v>0</v>
      </c>
      <c r="J18" s="1704">
        <f t="shared" si="1"/>
        <v>0</v>
      </c>
      <c r="K18" s="1705">
        <f t="shared" si="1"/>
        <v>0</v>
      </c>
    </row>
    <row r="19" spans="1:11" ht="15.75" customHeight="1" thickTop="1" x14ac:dyDescent="0.2">
      <c r="A19" s="1590" t="s">
        <v>452</v>
      </c>
      <c r="B19" s="1591">
        <v>1300</v>
      </c>
      <c r="C19" s="554"/>
      <c r="D19" s="554"/>
      <c r="E19" s="554"/>
      <c r="F19" s="554"/>
      <c r="G19" s="553"/>
      <c r="H19" s="554"/>
      <c r="I19" s="554"/>
      <c r="J19" s="554"/>
      <c r="K19" s="555"/>
    </row>
    <row r="20" spans="1:11" x14ac:dyDescent="0.2">
      <c r="A20" s="463" t="s">
        <v>1073</v>
      </c>
      <c r="B20" s="470">
        <v>1311</v>
      </c>
      <c r="C20" s="466">
        <v>0</v>
      </c>
      <c r="D20" s="468"/>
      <c r="E20" s="468"/>
      <c r="F20" s="468"/>
      <c r="G20" s="468"/>
      <c r="H20" s="468"/>
      <c r="I20" s="468"/>
      <c r="J20" s="468"/>
      <c r="K20" s="468"/>
    </row>
    <row r="21" spans="1:11" ht="12.75" customHeight="1" x14ac:dyDescent="0.2">
      <c r="A21" s="463" t="s">
        <v>832</v>
      </c>
      <c r="B21" s="470">
        <v>1312</v>
      </c>
      <c r="C21" s="551">
        <v>0</v>
      </c>
      <c r="D21" s="468"/>
      <c r="E21" s="468"/>
      <c r="F21" s="468"/>
      <c r="G21" s="468"/>
      <c r="H21" s="468"/>
      <c r="I21" s="468"/>
      <c r="J21" s="468"/>
      <c r="K21" s="468"/>
    </row>
    <row r="22" spans="1:11" ht="12.75" customHeight="1" x14ac:dyDescent="0.2">
      <c r="A22" s="463" t="s">
        <v>1074</v>
      </c>
      <c r="B22" s="470">
        <v>1313</v>
      </c>
      <c r="C22" s="551">
        <v>0</v>
      </c>
      <c r="D22" s="468"/>
      <c r="E22" s="468"/>
      <c r="F22" s="468"/>
      <c r="G22" s="468"/>
      <c r="H22" s="468"/>
      <c r="I22" s="468"/>
      <c r="J22" s="468"/>
      <c r="K22" s="468"/>
    </row>
    <row r="23" spans="1:11" ht="12.75" customHeight="1" x14ac:dyDescent="0.2">
      <c r="A23" s="463" t="s">
        <v>1075</v>
      </c>
      <c r="B23" s="470">
        <v>1314</v>
      </c>
      <c r="C23" s="489">
        <v>0</v>
      </c>
      <c r="D23" s="468"/>
      <c r="E23" s="468"/>
      <c r="F23" s="468"/>
      <c r="G23" s="468"/>
      <c r="H23" s="468"/>
      <c r="I23" s="468"/>
      <c r="J23" s="468"/>
      <c r="K23" s="468"/>
    </row>
    <row r="24" spans="1:11" ht="12.75" customHeight="1" x14ac:dyDescent="0.2">
      <c r="A24" s="463" t="s">
        <v>1027</v>
      </c>
      <c r="B24" s="470">
        <v>1321</v>
      </c>
      <c r="C24" s="551">
        <v>0</v>
      </c>
      <c r="D24" s="468"/>
      <c r="E24" s="468"/>
      <c r="F24" s="468"/>
      <c r="G24" s="468"/>
      <c r="H24" s="468"/>
      <c r="I24" s="468"/>
      <c r="J24" s="468"/>
      <c r="K24" s="468"/>
    </row>
    <row r="25" spans="1:11" ht="12.75" customHeight="1" x14ac:dyDescent="0.2">
      <c r="A25" s="463" t="s">
        <v>833</v>
      </c>
      <c r="B25" s="470">
        <v>1322</v>
      </c>
      <c r="C25" s="551">
        <v>0</v>
      </c>
      <c r="D25" s="468"/>
      <c r="E25" s="468"/>
      <c r="F25" s="468"/>
      <c r="G25" s="468"/>
      <c r="H25" s="468"/>
      <c r="I25" s="468"/>
      <c r="J25" s="468"/>
      <c r="K25" s="468"/>
    </row>
    <row r="26" spans="1:11" ht="12.75" customHeight="1" x14ac:dyDescent="0.2">
      <c r="A26" s="463" t="s">
        <v>1101</v>
      </c>
      <c r="B26" s="470">
        <v>1323</v>
      </c>
      <c r="C26" s="551">
        <v>0</v>
      </c>
      <c r="D26" s="468"/>
      <c r="E26" s="468"/>
      <c r="F26" s="468"/>
      <c r="G26" s="468"/>
      <c r="H26" s="468"/>
      <c r="I26" s="468"/>
      <c r="J26" s="468"/>
      <c r="K26" s="468"/>
    </row>
    <row r="27" spans="1:11" ht="12.75" customHeight="1" x14ac:dyDescent="0.2">
      <c r="A27" s="463" t="s">
        <v>1023</v>
      </c>
      <c r="B27" s="470">
        <v>1324</v>
      </c>
      <c r="C27" s="489">
        <v>0</v>
      </c>
      <c r="D27" s="468"/>
      <c r="E27" s="468"/>
      <c r="F27" s="468"/>
      <c r="G27" s="468"/>
      <c r="H27" s="468"/>
      <c r="I27" s="468"/>
      <c r="J27" s="468"/>
      <c r="K27" s="468"/>
    </row>
    <row r="28" spans="1:11" ht="12.75" customHeight="1" x14ac:dyDescent="0.2">
      <c r="A28" s="463" t="s">
        <v>1024</v>
      </c>
      <c r="B28" s="470">
        <v>1331</v>
      </c>
      <c r="C28" s="551">
        <v>0</v>
      </c>
      <c r="D28" s="468"/>
      <c r="E28" s="468"/>
      <c r="F28" s="468"/>
      <c r="G28" s="468"/>
      <c r="H28" s="468"/>
      <c r="I28" s="468"/>
      <c r="J28" s="468"/>
      <c r="K28" s="468"/>
    </row>
    <row r="29" spans="1:11" ht="12.75" customHeight="1" x14ac:dyDescent="0.2">
      <c r="A29" s="463" t="s">
        <v>834</v>
      </c>
      <c r="B29" s="470">
        <v>1332</v>
      </c>
      <c r="C29" s="551">
        <v>477774</v>
      </c>
      <c r="D29" s="468"/>
      <c r="E29" s="468"/>
      <c r="F29" s="468"/>
      <c r="G29" s="468"/>
      <c r="H29" s="468"/>
      <c r="I29" s="468"/>
      <c r="J29" s="468"/>
      <c r="K29" s="468"/>
    </row>
    <row r="30" spans="1:11" ht="12.75" customHeight="1" x14ac:dyDescent="0.2">
      <c r="A30" s="463" t="s">
        <v>1026</v>
      </c>
      <c r="B30" s="470">
        <v>1333</v>
      </c>
      <c r="C30" s="551">
        <v>0</v>
      </c>
      <c r="D30" s="468"/>
      <c r="E30" s="468"/>
      <c r="F30" s="468"/>
      <c r="G30" s="468"/>
      <c r="H30" s="468"/>
      <c r="I30" s="468"/>
      <c r="J30" s="468"/>
      <c r="K30" s="468"/>
    </row>
    <row r="31" spans="1:11" ht="12.75" customHeight="1" x14ac:dyDescent="0.2">
      <c r="A31" s="463" t="s">
        <v>1025</v>
      </c>
      <c r="B31" s="470">
        <v>1334</v>
      </c>
      <c r="C31" s="489">
        <v>0</v>
      </c>
      <c r="D31" s="468"/>
      <c r="E31" s="468"/>
      <c r="F31" s="468"/>
      <c r="G31" s="468"/>
      <c r="H31" s="468"/>
      <c r="I31" s="468"/>
      <c r="J31" s="468"/>
      <c r="K31" s="468"/>
    </row>
    <row r="32" spans="1:11" ht="12.75" customHeight="1" x14ac:dyDescent="0.2">
      <c r="A32" s="463" t="s">
        <v>494</v>
      </c>
      <c r="B32" s="470">
        <v>1341</v>
      </c>
      <c r="C32" s="551">
        <v>0</v>
      </c>
      <c r="D32" s="468"/>
      <c r="E32" s="468"/>
      <c r="F32" s="468"/>
      <c r="G32" s="468"/>
      <c r="H32" s="468"/>
      <c r="I32" s="468"/>
      <c r="J32" s="468"/>
      <c r="K32" s="468"/>
    </row>
    <row r="33" spans="1:11" ht="12.75" customHeight="1" x14ac:dyDescent="0.2">
      <c r="A33" s="463" t="s">
        <v>835</v>
      </c>
      <c r="B33" s="470">
        <v>1342</v>
      </c>
      <c r="C33" s="551">
        <v>0</v>
      </c>
      <c r="D33" s="468"/>
      <c r="E33" s="468"/>
      <c r="F33" s="468"/>
      <c r="G33" s="468"/>
      <c r="H33" s="468"/>
      <c r="I33" s="468"/>
      <c r="J33" s="468"/>
      <c r="K33" s="468"/>
    </row>
    <row r="34" spans="1:11" ht="12.75" customHeight="1" x14ac:dyDescent="0.2">
      <c r="A34" s="463" t="s">
        <v>495</v>
      </c>
      <c r="B34" s="470">
        <v>1343</v>
      </c>
      <c r="C34" s="551">
        <v>0</v>
      </c>
      <c r="D34" s="468"/>
      <c r="E34" s="468"/>
      <c r="F34" s="468"/>
      <c r="G34" s="468"/>
      <c r="H34" s="468"/>
      <c r="I34" s="468"/>
      <c r="J34" s="468"/>
      <c r="K34" s="468"/>
    </row>
    <row r="35" spans="1:11" ht="12.75" customHeight="1" x14ac:dyDescent="0.2">
      <c r="A35" s="463" t="s">
        <v>493</v>
      </c>
      <c r="B35" s="470">
        <v>1344</v>
      </c>
      <c r="C35" s="489">
        <v>0</v>
      </c>
      <c r="D35" s="468"/>
      <c r="E35" s="468"/>
      <c r="F35" s="468"/>
      <c r="G35" s="468"/>
      <c r="H35" s="468"/>
      <c r="I35" s="468"/>
      <c r="J35" s="468"/>
      <c r="K35" s="468"/>
    </row>
    <row r="36" spans="1:11" ht="12.75" customHeight="1" x14ac:dyDescent="0.2">
      <c r="A36" s="463" t="s">
        <v>831</v>
      </c>
      <c r="B36" s="470">
        <v>1351</v>
      </c>
      <c r="C36" s="551">
        <v>0</v>
      </c>
      <c r="D36" s="468"/>
      <c r="E36" s="468"/>
      <c r="F36" s="468"/>
      <c r="G36" s="468"/>
      <c r="H36" s="468"/>
      <c r="I36" s="468"/>
      <c r="J36" s="468"/>
      <c r="K36" s="468"/>
    </row>
    <row r="37" spans="1:11" ht="12.75" customHeight="1" x14ac:dyDescent="0.2">
      <c r="A37" s="463" t="s">
        <v>836</v>
      </c>
      <c r="B37" s="470">
        <v>1352</v>
      </c>
      <c r="C37" s="551">
        <v>0</v>
      </c>
      <c r="D37" s="468"/>
      <c r="E37" s="468"/>
      <c r="F37" s="468"/>
      <c r="G37" s="468"/>
      <c r="H37" s="468"/>
      <c r="I37" s="468"/>
      <c r="J37" s="468"/>
      <c r="K37" s="468"/>
    </row>
    <row r="38" spans="1:11" ht="12.75" customHeight="1" x14ac:dyDescent="0.2">
      <c r="A38" s="463" t="s">
        <v>593</v>
      </c>
      <c r="B38" s="470">
        <v>1353</v>
      </c>
      <c r="C38" s="551">
        <v>0</v>
      </c>
      <c r="D38" s="468"/>
      <c r="E38" s="468"/>
      <c r="F38" s="468"/>
      <c r="G38" s="468"/>
      <c r="H38" s="468"/>
      <c r="I38" s="468"/>
      <c r="J38" s="468"/>
      <c r="K38" s="468"/>
    </row>
    <row r="39" spans="1:11" ht="12.75" customHeight="1" x14ac:dyDescent="0.2">
      <c r="A39" s="1493" t="s">
        <v>594</v>
      </c>
      <c r="B39" s="556">
        <v>1354</v>
      </c>
      <c r="C39" s="489">
        <v>0</v>
      </c>
      <c r="D39" s="468"/>
      <c r="E39" s="468"/>
      <c r="F39" s="468"/>
      <c r="G39" s="468"/>
      <c r="H39" s="468"/>
      <c r="I39" s="468"/>
      <c r="J39" s="468"/>
      <c r="K39" s="468"/>
    </row>
    <row r="40" spans="1:11" ht="12.75" customHeight="1" thickBot="1" x14ac:dyDescent="0.25">
      <c r="A40" s="1702" t="s">
        <v>538</v>
      </c>
      <c r="B40" s="1703"/>
      <c r="C40" s="1682">
        <f>SUM(C20:C39)</f>
        <v>477774</v>
      </c>
      <c r="D40" s="468"/>
      <c r="E40" s="468"/>
      <c r="F40" s="468"/>
      <c r="G40" s="468"/>
      <c r="H40" s="468"/>
      <c r="I40" s="468"/>
      <c r="J40" s="468"/>
      <c r="K40" s="468"/>
    </row>
    <row r="41" spans="1:11" ht="15.75" customHeight="1" thickTop="1" x14ac:dyDescent="0.2">
      <c r="A41" s="1590" t="s">
        <v>274</v>
      </c>
      <c r="B41" s="1591">
        <v>1400</v>
      </c>
      <c r="C41" s="468"/>
      <c r="D41" s="468"/>
      <c r="E41" s="468"/>
      <c r="F41" s="521"/>
      <c r="G41" s="468"/>
      <c r="H41" s="468"/>
      <c r="I41" s="468"/>
      <c r="J41" s="468"/>
      <c r="K41" s="468"/>
    </row>
    <row r="42" spans="1:11" ht="12.75" customHeight="1" x14ac:dyDescent="0.2">
      <c r="A42" s="463" t="s">
        <v>1076</v>
      </c>
      <c r="B42" s="470">
        <v>1411</v>
      </c>
      <c r="C42" s="468"/>
      <c r="D42" s="468"/>
      <c r="E42" s="468"/>
      <c r="F42" s="568">
        <v>0</v>
      </c>
      <c r="G42" s="468"/>
      <c r="H42" s="468"/>
      <c r="I42" s="468"/>
      <c r="J42" s="468"/>
      <c r="K42" s="468"/>
    </row>
    <row r="43" spans="1:11" ht="12.75" customHeight="1" x14ac:dyDescent="0.2">
      <c r="A43" s="463" t="s">
        <v>837</v>
      </c>
      <c r="B43" s="470">
        <v>1412</v>
      </c>
      <c r="C43" s="468"/>
      <c r="D43" s="468"/>
      <c r="E43" s="468"/>
      <c r="F43" s="466">
        <v>0</v>
      </c>
      <c r="G43" s="468"/>
      <c r="H43" s="468"/>
      <c r="I43" s="468"/>
      <c r="J43" s="468"/>
      <c r="K43" s="468"/>
    </row>
    <row r="44" spans="1:11" ht="12.75" customHeight="1" x14ac:dyDescent="0.2">
      <c r="A44" s="463" t="s">
        <v>384</v>
      </c>
      <c r="B44" s="470">
        <v>1413</v>
      </c>
      <c r="C44" s="468"/>
      <c r="D44" s="468"/>
      <c r="E44" s="468"/>
      <c r="F44" s="466">
        <v>0</v>
      </c>
      <c r="G44" s="468"/>
      <c r="H44" s="468"/>
      <c r="I44" s="468"/>
      <c r="J44" s="468"/>
      <c r="K44" s="468"/>
    </row>
    <row r="45" spans="1:11" ht="12.75" customHeight="1" x14ac:dyDescent="0.2">
      <c r="A45" s="463" t="s">
        <v>240</v>
      </c>
      <c r="B45" s="470">
        <v>1415</v>
      </c>
      <c r="C45" s="468"/>
      <c r="D45" s="468"/>
      <c r="E45" s="468"/>
      <c r="F45" s="466">
        <v>0</v>
      </c>
      <c r="G45" s="468"/>
      <c r="H45" s="468"/>
      <c r="I45" s="468"/>
      <c r="J45" s="468"/>
      <c r="K45" s="468"/>
    </row>
    <row r="46" spans="1:11" ht="12.75" customHeight="1" x14ac:dyDescent="0.2">
      <c r="A46" s="463" t="s">
        <v>1174</v>
      </c>
      <c r="B46" s="470">
        <v>1416</v>
      </c>
      <c r="C46" s="468"/>
      <c r="D46" s="468"/>
      <c r="E46" s="468"/>
      <c r="F46" s="467">
        <v>0</v>
      </c>
      <c r="G46" s="468"/>
      <c r="H46" s="468"/>
      <c r="I46" s="468"/>
      <c r="J46" s="468"/>
      <c r="K46" s="468"/>
    </row>
    <row r="47" spans="1:11" ht="12.75" customHeight="1" x14ac:dyDescent="0.2">
      <c r="A47" s="463" t="s">
        <v>57</v>
      </c>
      <c r="B47" s="470">
        <v>1421</v>
      </c>
      <c r="C47" s="468"/>
      <c r="D47" s="468"/>
      <c r="E47" s="468"/>
      <c r="F47" s="466">
        <v>0</v>
      </c>
      <c r="G47" s="468"/>
      <c r="H47" s="468"/>
      <c r="I47" s="468"/>
      <c r="J47" s="468"/>
      <c r="K47" s="468"/>
    </row>
    <row r="48" spans="1:11" ht="12.75" customHeight="1" x14ac:dyDescent="0.2">
      <c r="A48" s="463" t="s">
        <v>838</v>
      </c>
      <c r="B48" s="470">
        <v>1422</v>
      </c>
      <c r="C48" s="468"/>
      <c r="D48" s="468"/>
      <c r="E48" s="468"/>
      <c r="F48" s="466">
        <v>0</v>
      </c>
      <c r="G48" s="468"/>
      <c r="H48" s="468"/>
      <c r="I48" s="468"/>
      <c r="J48" s="468"/>
      <c r="K48" s="468"/>
    </row>
    <row r="49" spans="1:11" ht="12.75" customHeight="1" x14ac:dyDescent="0.2">
      <c r="A49" s="463" t="s">
        <v>58</v>
      </c>
      <c r="B49" s="470">
        <v>1423</v>
      </c>
      <c r="C49" s="468"/>
      <c r="D49" s="468"/>
      <c r="E49" s="468"/>
      <c r="F49" s="466">
        <v>0</v>
      </c>
      <c r="G49" s="468"/>
      <c r="H49" s="468"/>
      <c r="I49" s="468"/>
      <c r="J49" s="468"/>
      <c r="K49" s="468"/>
    </row>
    <row r="50" spans="1:11" ht="12.75" customHeight="1" x14ac:dyDescent="0.2">
      <c r="A50" s="463" t="s">
        <v>59</v>
      </c>
      <c r="B50" s="470">
        <v>1424</v>
      </c>
      <c r="C50" s="468"/>
      <c r="D50" s="468"/>
      <c r="E50" s="468"/>
      <c r="F50" s="467">
        <v>0</v>
      </c>
      <c r="G50" s="468"/>
      <c r="H50" s="468"/>
      <c r="I50" s="468"/>
      <c r="J50" s="468"/>
      <c r="K50" s="468"/>
    </row>
    <row r="51" spans="1:11" ht="12.75" customHeight="1" x14ac:dyDescent="0.2">
      <c r="A51" s="1494" t="s">
        <v>60</v>
      </c>
      <c r="B51" s="557">
        <v>1431</v>
      </c>
      <c r="C51" s="468"/>
      <c r="D51" s="468"/>
      <c r="E51" s="468"/>
      <c r="F51" s="466">
        <v>0</v>
      </c>
      <c r="G51" s="468"/>
      <c r="H51" s="468"/>
      <c r="I51" s="468"/>
      <c r="J51" s="468"/>
      <c r="K51" s="468"/>
    </row>
    <row r="52" spans="1:11" ht="12.75" customHeight="1" x14ac:dyDescent="0.2">
      <c r="A52" s="1494" t="s">
        <v>1106</v>
      </c>
      <c r="B52" s="557">
        <v>1432</v>
      </c>
      <c r="C52" s="468"/>
      <c r="D52" s="468"/>
      <c r="E52" s="468"/>
      <c r="F52" s="466">
        <v>0</v>
      </c>
      <c r="G52" s="468"/>
      <c r="H52" s="468"/>
      <c r="I52" s="468"/>
      <c r="J52" s="468"/>
      <c r="K52" s="468"/>
    </row>
    <row r="53" spans="1:11" ht="12.75" customHeight="1" x14ac:dyDescent="0.2">
      <c r="A53" s="1494" t="s">
        <v>61</v>
      </c>
      <c r="B53" s="557">
        <v>1433</v>
      </c>
      <c r="C53" s="468"/>
      <c r="D53" s="468"/>
      <c r="E53" s="468"/>
      <c r="F53" s="466">
        <v>0</v>
      </c>
      <c r="G53" s="468"/>
      <c r="H53" s="468"/>
      <c r="I53" s="468"/>
      <c r="J53" s="468"/>
      <c r="K53" s="468"/>
    </row>
    <row r="54" spans="1:11" ht="12.75" customHeight="1" x14ac:dyDescent="0.2">
      <c r="A54" s="1494" t="s">
        <v>62</v>
      </c>
      <c r="B54" s="557">
        <v>1434</v>
      </c>
      <c r="C54" s="468"/>
      <c r="D54" s="468"/>
      <c r="E54" s="468"/>
      <c r="F54" s="467">
        <v>0</v>
      </c>
      <c r="G54" s="468"/>
      <c r="H54" s="468"/>
      <c r="I54" s="468"/>
      <c r="J54" s="468"/>
      <c r="K54" s="468"/>
    </row>
    <row r="55" spans="1:11" ht="12.75" customHeight="1" x14ac:dyDescent="0.2">
      <c r="A55" s="1494" t="s">
        <v>63</v>
      </c>
      <c r="B55" s="557">
        <v>1441</v>
      </c>
      <c r="C55" s="468"/>
      <c r="D55" s="468"/>
      <c r="E55" s="468"/>
      <c r="F55" s="466">
        <v>0</v>
      </c>
      <c r="G55" s="468"/>
      <c r="H55" s="468"/>
      <c r="I55" s="468"/>
      <c r="J55" s="468"/>
      <c r="K55" s="468"/>
    </row>
    <row r="56" spans="1:11" ht="12.75" customHeight="1" x14ac:dyDescent="0.2">
      <c r="A56" s="1494" t="s">
        <v>1107</v>
      </c>
      <c r="B56" s="557">
        <v>1442</v>
      </c>
      <c r="C56" s="468"/>
      <c r="D56" s="468"/>
      <c r="E56" s="468"/>
      <c r="F56" s="466">
        <v>0</v>
      </c>
      <c r="G56" s="468"/>
      <c r="H56" s="468"/>
      <c r="I56" s="468"/>
      <c r="J56" s="468"/>
      <c r="K56" s="468"/>
    </row>
    <row r="57" spans="1:11" ht="12.75" customHeight="1" x14ac:dyDescent="0.2">
      <c r="A57" s="1494" t="s">
        <v>489</v>
      </c>
      <c r="B57" s="557">
        <v>1443</v>
      </c>
      <c r="C57" s="468"/>
      <c r="D57" s="468"/>
      <c r="E57" s="468"/>
      <c r="F57" s="466">
        <v>0</v>
      </c>
      <c r="G57" s="468"/>
      <c r="H57" s="468"/>
      <c r="I57" s="468"/>
      <c r="J57" s="468"/>
      <c r="K57" s="468"/>
    </row>
    <row r="58" spans="1:11" ht="12.75" customHeight="1" x14ac:dyDescent="0.2">
      <c r="A58" s="1494" t="s">
        <v>65</v>
      </c>
      <c r="B58" s="557">
        <v>1444</v>
      </c>
      <c r="C58" s="468"/>
      <c r="D58" s="468"/>
      <c r="E58" s="468"/>
      <c r="F58" s="466">
        <v>0</v>
      </c>
      <c r="G58" s="468"/>
      <c r="H58" s="468"/>
      <c r="I58" s="468"/>
      <c r="J58" s="468"/>
      <c r="K58" s="468"/>
    </row>
    <row r="59" spans="1:11" ht="12.75" customHeight="1" x14ac:dyDescent="0.2">
      <c r="A59" s="1494" t="s">
        <v>878</v>
      </c>
      <c r="B59" s="557">
        <v>1451</v>
      </c>
      <c r="C59" s="468"/>
      <c r="D59" s="468"/>
      <c r="E59" s="468"/>
      <c r="F59" s="466">
        <v>0</v>
      </c>
      <c r="G59" s="468"/>
      <c r="H59" s="468"/>
      <c r="I59" s="468"/>
      <c r="J59" s="468"/>
      <c r="K59" s="468"/>
    </row>
    <row r="60" spans="1:11" ht="12.75" customHeight="1" x14ac:dyDescent="0.2">
      <c r="A60" s="1494" t="s">
        <v>1108</v>
      </c>
      <c r="B60" s="557">
        <v>1452</v>
      </c>
      <c r="C60" s="468"/>
      <c r="D60" s="468"/>
      <c r="E60" s="468"/>
      <c r="F60" s="466">
        <v>0</v>
      </c>
      <c r="G60" s="468"/>
      <c r="H60" s="468"/>
      <c r="I60" s="468"/>
      <c r="J60" s="468"/>
      <c r="K60" s="468"/>
    </row>
    <row r="61" spans="1:11" ht="12.75" customHeight="1" x14ac:dyDescent="0.2">
      <c r="A61" s="562" t="s">
        <v>879</v>
      </c>
      <c r="B61" s="557">
        <v>1453</v>
      </c>
      <c r="C61" s="468"/>
      <c r="D61" s="468"/>
      <c r="E61" s="468"/>
      <c r="F61" s="466">
        <v>0</v>
      </c>
      <c r="G61" s="468"/>
      <c r="H61" s="468"/>
      <c r="I61" s="468"/>
      <c r="J61" s="468"/>
      <c r="K61" s="468"/>
    </row>
    <row r="62" spans="1:11" ht="12.75" customHeight="1" x14ac:dyDescent="0.2">
      <c r="A62" s="1495" t="s">
        <v>880</v>
      </c>
      <c r="B62" s="558">
        <v>1454</v>
      </c>
      <c r="C62" s="468"/>
      <c r="D62" s="468"/>
      <c r="E62" s="468"/>
      <c r="F62" s="467">
        <v>0</v>
      </c>
      <c r="G62" s="468"/>
      <c r="H62" s="468"/>
      <c r="I62" s="468"/>
      <c r="J62" s="468"/>
      <c r="K62" s="468"/>
    </row>
    <row r="63" spans="1:11" ht="12.75" customHeight="1" thickBot="1" x14ac:dyDescent="0.25">
      <c r="A63" s="1702" t="s">
        <v>485</v>
      </c>
      <c r="B63" s="1703"/>
      <c r="C63" s="468"/>
      <c r="D63" s="468"/>
      <c r="E63" s="468"/>
      <c r="F63" s="1682">
        <f>SUM(F42:F62)</f>
        <v>0</v>
      </c>
      <c r="G63" s="468"/>
      <c r="H63" s="468"/>
      <c r="I63" s="468"/>
      <c r="J63" s="468"/>
      <c r="K63" s="468"/>
    </row>
    <row r="64" spans="1:11" ht="15.75" customHeight="1" thickTop="1" x14ac:dyDescent="0.2">
      <c r="A64" s="1590" t="s">
        <v>454</v>
      </c>
      <c r="B64" s="1591">
        <v>1500</v>
      </c>
      <c r="C64" s="468"/>
      <c r="D64" s="468"/>
      <c r="E64" s="468"/>
      <c r="F64" s="468"/>
      <c r="G64" s="468"/>
      <c r="H64" s="468"/>
      <c r="I64" s="468"/>
      <c r="J64" s="468"/>
      <c r="K64" s="468"/>
    </row>
    <row r="65" spans="1:11" ht="12.75" customHeight="1" x14ac:dyDescent="0.2">
      <c r="A65" s="463" t="s">
        <v>547</v>
      </c>
      <c r="B65" s="470">
        <v>1510</v>
      </c>
      <c r="C65" s="466">
        <v>5519</v>
      </c>
      <c r="D65" s="466">
        <v>0</v>
      </c>
      <c r="E65" s="466">
        <v>0</v>
      </c>
      <c r="F65" s="467">
        <v>0</v>
      </c>
      <c r="G65" s="466">
        <v>0</v>
      </c>
      <c r="H65" s="466">
        <v>0</v>
      </c>
      <c r="I65" s="466">
        <v>0</v>
      </c>
      <c r="J65" s="467">
        <v>0</v>
      </c>
      <c r="K65" s="466">
        <v>0</v>
      </c>
    </row>
    <row r="66" spans="1:11" ht="12.75" customHeight="1" x14ac:dyDescent="0.2">
      <c r="A66" s="463" t="s">
        <v>679</v>
      </c>
      <c r="B66" s="470">
        <v>1520</v>
      </c>
      <c r="C66" s="466">
        <v>0</v>
      </c>
      <c r="D66" s="466">
        <v>0</v>
      </c>
      <c r="E66" s="466">
        <v>0</v>
      </c>
      <c r="F66" s="466">
        <v>0</v>
      </c>
      <c r="G66" s="466">
        <v>0</v>
      </c>
      <c r="H66" s="466">
        <v>0</v>
      </c>
      <c r="I66" s="466">
        <v>0</v>
      </c>
      <c r="J66" s="467">
        <v>0</v>
      </c>
      <c r="K66" s="466">
        <v>0</v>
      </c>
    </row>
    <row r="67" spans="1:11" ht="12.75" customHeight="1" thickBot="1" x14ac:dyDescent="0.25">
      <c r="A67" s="1702" t="s">
        <v>486</v>
      </c>
      <c r="B67" s="1703"/>
      <c r="C67" s="1682">
        <f>SUM(C65:C66)</f>
        <v>5519</v>
      </c>
      <c r="D67" s="1682">
        <f t="shared" ref="D67:K67" si="2">SUM(D65:D66)</f>
        <v>0</v>
      </c>
      <c r="E67" s="1682">
        <f t="shared" si="2"/>
        <v>0</v>
      </c>
      <c r="F67" s="1682">
        <f t="shared" si="2"/>
        <v>0</v>
      </c>
      <c r="G67" s="1682">
        <f t="shared" si="2"/>
        <v>0</v>
      </c>
      <c r="H67" s="1682">
        <f t="shared" si="2"/>
        <v>0</v>
      </c>
      <c r="I67" s="1682">
        <f t="shared" si="2"/>
        <v>0</v>
      </c>
      <c r="J67" s="1682">
        <f t="shared" si="2"/>
        <v>0</v>
      </c>
      <c r="K67" s="1682">
        <f t="shared" si="2"/>
        <v>0</v>
      </c>
    </row>
    <row r="68" spans="1:11" ht="15.75" customHeight="1" thickTop="1" x14ac:dyDescent="0.2">
      <c r="A68" s="1590" t="s">
        <v>455</v>
      </c>
      <c r="B68" s="1592">
        <v>1600</v>
      </c>
      <c r="C68" s="553"/>
      <c r="D68" s="468"/>
      <c r="E68" s="468"/>
      <c r="F68" s="468"/>
      <c r="G68" s="468"/>
      <c r="H68" s="468"/>
      <c r="I68" s="468"/>
      <c r="J68" s="468"/>
      <c r="K68" s="468"/>
    </row>
    <row r="69" spans="1:11" ht="12.75" customHeight="1" x14ac:dyDescent="0.2">
      <c r="A69" s="463" t="s">
        <v>666</v>
      </c>
      <c r="B69" s="470">
        <v>1611</v>
      </c>
      <c r="C69" s="466">
        <v>0</v>
      </c>
      <c r="D69" s="468"/>
      <c r="E69" s="468"/>
      <c r="F69" s="468"/>
      <c r="G69" s="468"/>
      <c r="H69" s="468"/>
      <c r="I69" s="468"/>
      <c r="J69" s="468"/>
      <c r="K69" s="468"/>
    </row>
    <row r="70" spans="1:11" ht="12.75" customHeight="1" x14ac:dyDescent="0.2">
      <c r="A70" s="463" t="s">
        <v>997</v>
      </c>
      <c r="B70" s="470">
        <v>1612</v>
      </c>
      <c r="C70" s="551">
        <v>0</v>
      </c>
      <c r="D70" s="468"/>
      <c r="E70" s="468"/>
      <c r="F70" s="468"/>
      <c r="G70" s="468"/>
      <c r="H70" s="468"/>
      <c r="I70" s="468"/>
      <c r="J70" s="468"/>
      <c r="K70" s="468"/>
    </row>
    <row r="71" spans="1:11" ht="12.75" customHeight="1" x14ac:dyDescent="0.2">
      <c r="A71" s="463" t="s">
        <v>273</v>
      </c>
      <c r="B71" s="470">
        <v>1613</v>
      </c>
      <c r="C71" s="551">
        <v>0</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998</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02" t="s">
        <v>548</v>
      </c>
      <c r="B75" s="1703"/>
      <c r="C75" s="1682">
        <f>SUM(C69:C74)</f>
        <v>0</v>
      </c>
      <c r="D75" s="468"/>
      <c r="E75" s="468"/>
      <c r="F75" s="468"/>
      <c r="G75" s="468"/>
      <c r="H75" s="468"/>
      <c r="I75" s="468"/>
      <c r="J75" s="468"/>
      <c r="K75" s="468"/>
    </row>
    <row r="76" spans="1:11" ht="15.75" customHeight="1" thickTop="1" x14ac:dyDescent="0.2">
      <c r="A76" s="1590" t="s">
        <v>881</v>
      </c>
      <c r="B76" s="1592">
        <v>1700</v>
      </c>
      <c r="C76" s="553"/>
      <c r="D76" s="468"/>
      <c r="E76" s="468"/>
      <c r="F76" s="468"/>
      <c r="G76" s="468"/>
      <c r="H76" s="468"/>
      <c r="I76" s="468"/>
      <c r="J76" s="468"/>
      <c r="K76" s="468"/>
    </row>
    <row r="77" spans="1:11" ht="12.75" customHeight="1" x14ac:dyDescent="0.2">
      <c r="A77" s="463" t="s">
        <v>549</v>
      </c>
      <c r="B77" s="470">
        <v>1711</v>
      </c>
      <c r="C77" s="1932">
        <v>0</v>
      </c>
      <c r="D77" s="466">
        <v>0</v>
      </c>
      <c r="E77" s="468"/>
      <c r="F77" s="468"/>
      <c r="G77" s="468"/>
      <c r="H77" s="468"/>
      <c r="I77" s="468"/>
      <c r="J77" s="468"/>
      <c r="K77" s="468"/>
    </row>
    <row r="78" spans="1:11" ht="12.75" customHeight="1" x14ac:dyDescent="0.2">
      <c r="A78" s="463" t="s">
        <v>76</v>
      </c>
      <c r="B78" s="470">
        <v>1719</v>
      </c>
      <c r="C78" s="551">
        <v>0</v>
      </c>
      <c r="D78" s="466">
        <v>0</v>
      </c>
      <c r="E78" s="468"/>
      <c r="F78" s="468"/>
      <c r="G78" s="468"/>
      <c r="H78" s="468"/>
      <c r="I78" s="468"/>
      <c r="J78" s="468"/>
      <c r="K78" s="468"/>
    </row>
    <row r="79" spans="1:11" ht="12.75" customHeight="1" x14ac:dyDescent="0.2">
      <c r="A79" s="463" t="s">
        <v>550</v>
      </c>
      <c r="B79" s="470">
        <v>1720</v>
      </c>
      <c r="C79" s="551">
        <v>189712</v>
      </c>
      <c r="D79" s="466">
        <v>0</v>
      </c>
      <c r="E79" s="468"/>
      <c r="F79" s="468"/>
      <c r="G79" s="468"/>
      <c r="H79" s="468"/>
      <c r="I79" s="468"/>
      <c r="J79" s="468"/>
      <c r="K79" s="468"/>
    </row>
    <row r="80" spans="1:11" ht="12.75" customHeight="1" x14ac:dyDescent="0.2">
      <c r="A80" s="463" t="s">
        <v>551</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02" t="s">
        <v>241</v>
      </c>
      <c r="B82" s="1703"/>
      <c r="C82" s="1701">
        <f>SUM(C77:C81)</f>
        <v>189712</v>
      </c>
      <c r="D82" s="1682">
        <f>SUM(D77:D81)</f>
        <v>0</v>
      </c>
      <c r="E82" s="468"/>
      <c r="F82" s="468"/>
      <c r="G82" s="468"/>
      <c r="H82" s="468"/>
      <c r="I82" s="468"/>
      <c r="J82" s="468"/>
      <c r="K82" s="468"/>
    </row>
    <row r="83" spans="1:11" ht="15.75" customHeight="1" thickTop="1" x14ac:dyDescent="0.2">
      <c r="A83" s="1590" t="s">
        <v>242</v>
      </c>
      <c r="B83" s="1592">
        <v>1800</v>
      </c>
      <c r="C83" s="553"/>
      <c r="D83" s="468"/>
      <c r="E83" s="468"/>
      <c r="F83" s="468"/>
      <c r="G83" s="468"/>
      <c r="H83" s="468"/>
      <c r="I83" s="468"/>
      <c r="J83" s="468"/>
      <c r="K83" s="468"/>
    </row>
    <row r="84" spans="1:11" ht="12.75" customHeight="1" x14ac:dyDescent="0.2">
      <c r="A84" s="463" t="s">
        <v>552</v>
      </c>
      <c r="B84" s="470">
        <v>1811</v>
      </c>
      <c r="C84" s="466">
        <v>1393</v>
      </c>
      <c r="D84" s="468"/>
      <c r="E84" s="468"/>
      <c r="F84" s="468"/>
      <c r="G84" s="468"/>
      <c r="H84" s="468"/>
      <c r="I84" s="468"/>
      <c r="J84" s="468"/>
      <c r="K84" s="468"/>
    </row>
    <row r="85" spans="1:11" ht="12.75" customHeight="1" x14ac:dyDescent="0.2">
      <c r="A85" s="463" t="s">
        <v>553</v>
      </c>
      <c r="B85" s="470">
        <v>1812</v>
      </c>
      <c r="C85" s="551">
        <v>0</v>
      </c>
      <c r="D85" s="468"/>
      <c r="E85" s="468"/>
      <c r="F85" s="468"/>
      <c r="G85" s="468"/>
      <c r="H85" s="468"/>
      <c r="I85" s="468"/>
      <c r="J85" s="468"/>
      <c r="K85" s="468"/>
    </row>
    <row r="86" spans="1:11" ht="12.75" customHeight="1" x14ac:dyDescent="0.2">
      <c r="A86" s="463" t="s">
        <v>999</v>
      </c>
      <c r="B86" s="470">
        <v>1813</v>
      </c>
      <c r="C86" s="551">
        <v>0</v>
      </c>
      <c r="D86" s="468"/>
      <c r="E86" s="468"/>
      <c r="F86" s="468"/>
      <c r="G86" s="468"/>
      <c r="H86" s="468"/>
      <c r="I86" s="468"/>
      <c r="J86" s="468"/>
      <c r="K86" s="468"/>
    </row>
    <row r="87" spans="1:11" ht="12.75" customHeight="1" x14ac:dyDescent="0.2">
      <c r="A87" s="463" t="s">
        <v>77</v>
      </c>
      <c r="B87" s="470">
        <v>1819</v>
      </c>
      <c r="C87" s="551">
        <v>0</v>
      </c>
      <c r="D87" s="468"/>
      <c r="E87" s="468"/>
      <c r="F87" s="468"/>
      <c r="G87" s="468"/>
      <c r="H87" s="468"/>
      <c r="I87" s="468"/>
      <c r="J87" s="468"/>
      <c r="K87" s="468"/>
    </row>
    <row r="88" spans="1:11" ht="12.75" customHeight="1" x14ac:dyDescent="0.2">
      <c r="A88" s="463" t="s">
        <v>554</v>
      </c>
      <c r="B88" s="470">
        <v>1821</v>
      </c>
      <c r="C88" s="551">
        <v>0</v>
      </c>
      <c r="D88" s="468"/>
      <c r="E88" s="468"/>
      <c r="F88" s="468"/>
      <c r="G88" s="468"/>
      <c r="H88" s="468"/>
      <c r="I88" s="468"/>
      <c r="J88" s="468"/>
      <c r="K88" s="468"/>
    </row>
    <row r="89" spans="1:11" ht="12.75" customHeight="1" x14ac:dyDescent="0.2">
      <c r="A89" s="463" t="s">
        <v>714</v>
      </c>
      <c r="B89" s="470">
        <v>1822</v>
      </c>
      <c r="C89" s="551">
        <v>0</v>
      </c>
      <c r="D89" s="468"/>
      <c r="E89" s="468"/>
      <c r="F89" s="468"/>
      <c r="G89" s="468"/>
      <c r="H89" s="468"/>
      <c r="I89" s="468"/>
      <c r="J89" s="468"/>
      <c r="K89" s="468"/>
    </row>
    <row r="90" spans="1:11" ht="12.75" customHeight="1" x14ac:dyDescent="0.2">
      <c r="A90" s="463" t="s">
        <v>139</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762</v>
      </c>
      <c r="B92" s="470">
        <v>1890</v>
      </c>
      <c r="C92" s="551">
        <v>0</v>
      </c>
      <c r="D92" s="468"/>
      <c r="E92" s="468"/>
      <c r="F92" s="468"/>
      <c r="G92" s="468"/>
      <c r="H92" s="468"/>
      <c r="I92" s="468"/>
      <c r="J92" s="468"/>
      <c r="K92" s="468"/>
    </row>
    <row r="93" spans="1:11" ht="12.75" customHeight="1" thickBot="1" x14ac:dyDescent="0.25">
      <c r="A93" s="1702" t="s">
        <v>243</v>
      </c>
      <c r="B93" s="1703"/>
      <c r="C93" s="1682">
        <f>SUM(C84:C92)</f>
        <v>1393</v>
      </c>
      <c r="D93" s="468"/>
      <c r="E93" s="468"/>
      <c r="F93" s="468"/>
      <c r="G93" s="468"/>
      <c r="H93" s="468"/>
      <c r="I93" s="468"/>
      <c r="J93" s="468"/>
      <c r="K93" s="468"/>
    </row>
    <row r="94" spans="1:11" ht="15.75" customHeight="1" thickTop="1" x14ac:dyDescent="0.2">
      <c r="A94" s="1590" t="s">
        <v>1137</v>
      </c>
      <c r="B94" s="1592">
        <v>1900</v>
      </c>
      <c r="C94" s="553"/>
      <c r="D94" s="521"/>
      <c r="E94" s="468"/>
      <c r="F94" s="468"/>
      <c r="G94" s="468"/>
      <c r="H94" s="468"/>
      <c r="I94" s="468"/>
      <c r="J94" s="468"/>
      <c r="K94" s="468"/>
    </row>
    <row r="95" spans="1:11" ht="12.75" customHeight="1" x14ac:dyDescent="0.2">
      <c r="A95" s="463" t="s">
        <v>1064</v>
      </c>
      <c r="B95" s="470">
        <v>1910</v>
      </c>
      <c r="C95" s="466">
        <v>0</v>
      </c>
      <c r="D95" s="551">
        <v>0</v>
      </c>
      <c r="E95" s="521"/>
      <c r="F95" s="521"/>
      <c r="G95" s="521"/>
      <c r="H95" s="521"/>
      <c r="I95" s="521"/>
      <c r="J95" s="521"/>
      <c r="K95" s="521"/>
    </row>
    <row r="96" spans="1:11" ht="12.75" customHeight="1" x14ac:dyDescent="0.2">
      <c r="A96" s="463" t="s">
        <v>391</v>
      </c>
      <c r="B96" s="470">
        <v>1920</v>
      </c>
      <c r="C96" s="551">
        <v>0</v>
      </c>
      <c r="D96" s="551">
        <v>0</v>
      </c>
      <c r="E96" s="479">
        <v>0</v>
      </c>
      <c r="F96" s="639">
        <v>0</v>
      </c>
      <c r="G96" s="639">
        <v>0</v>
      </c>
      <c r="H96" s="639">
        <v>0</v>
      </c>
      <c r="I96" s="639">
        <v>0</v>
      </c>
      <c r="J96" s="639">
        <v>0</v>
      </c>
      <c r="K96" s="639">
        <v>0</v>
      </c>
    </row>
    <row r="97" spans="1:12" ht="12.75" customHeight="1" x14ac:dyDescent="0.2">
      <c r="A97" s="1493" t="s">
        <v>244</v>
      </c>
      <c r="B97" s="559">
        <v>1930</v>
      </c>
      <c r="C97" s="489" t="s">
        <v>1169</v>
      </c>
      <c r="D97" s="467">
        <v>0</v>
      </c>
      <c r="E97" s="474">
        <v>0</v>
      </c>
      <c r="F97" s="467">
        <v>0</v>
      </c>
      <c r="G97" s="467">
        <v>0</v>
      </c>
      <c r="H97" s="467">
        <v>0</v>
      </c>
      <c r="I97" s="467">
        <v>0</v>
      </c>
      <c r="J97" s="467">
        <v>0</v>
      </c>
      <c r="K97" s="467">
        <v>0</v>
      </c>
    </row>
    <row r="98" spans="1:12" ht="12.75" customHeight="1" x14ac:dyDescent="0.2">
      <c r="A98" s="463" t="s">
        <v>189</v>
      </c>
      <c r="B98" s="470">
        <v>1940</v>
      </c>
      <c r="C98" s="489">
        <v>3728</v>
      </c>
      <c r="D98" s="466">
        <v>0</v>
      </c>
      <c r="E98" s="512"/>
      <c r="F98" s="466">
        <v>0</v>
      </c>
      <c r="G98" s="512"/>
      <c r="H98" s="512"/>
      <c r="I98" s="510"/>
      <c r="J98" s="512"/>
      <c r="K98" s="512"/>
    </row>
    <row r="99" spans="1:12" ht="12.75" customHeight="1" x14ac:dyDescent="0.2">
      <c r="A99" s="463" t="s">
        <v>821</v>
      </c>
      <c r="B99" s="470">
        <v>1950</v>
      </c>
      <c r="C99" s="489">
        <v>0</v>
      </c>
      <c r="D99" s="466">
        <v>0</v>
      </c>
      <c r="E99" s="466">
        <v>0</v>
      </c>
      <c r="F99" s="466">
        <v>0</v>
      </c>
      <c r="G99" s="466">
        <v>0</v>
      </c>
      <c r="H99" s="466">
        <v>0</v>
      </c>
      <c r="I99" s="468"/>
      <c r="J99" s="467">
        <v>0</v>
      </c>
      <c r="K99" s="466">
        <v>0</v>
      </c>
    </row>
    <row r="100" spans="1:12" ht="12.75" customHeight="1" x14ac:dyDescent="0.2">
      <c r="A100" s="463" t="s">
        <v>245</v>
      </c>
      <c r="B100" s="470">
        <v>1960</v>
      </c>
      <c r="C100" s="489">
        <v>0</v>
      </c>
      <c r="D100" s="489">
        <v>0</v>
      </c>
      <c r="E100" s="489">
        <v>0</v>
      </c>
      <c r="F100" s="489">
        <v>0</v>
      </c>
      <c r="G100" s="489">
        <v>0</v>
      </c>
      <c r="H100" s="489">
        <v>0</v>
      </c>
      <c r="I100" s="467">
        <v>0</v>
      </c>
      <c r="J100" s="489">
        <v>0</v>
      </c>
      <c r="K100" s="467">
        <v>0</v>
      </c>
    </row>
    <row r="101" spans="1:12" ht="12.75" customHeight="1" x14ac:dyDescent="0.2">
      <c r="A101" s="463" t="s">
        <v>246</v>
      </c>
      <c r="B101" s="470">
        <v>1970</v>
      </c>
      <c r="C101" s="489">
        <v>0</v>
      </c>
      <c r="D101" s="526"/>
      <c r="E101" s="480"/>
      <c r="F101" s="526"/>
      <c r="G101" s="475"/>
      <c r="H101" s="526"/>
      <c r="I101" s="468"/>
      <c r="J101" s="475"/>
      <c r="K101" s="475"/>
    </row>
    <row r="102" spans="1:12" ht="12.75" customHeight="1" x14ac:dyDescent="0.2">
      <c r="A102" s="463" t="s">
        <v>247</v>
      </c>
      <c r="B102" s="470">
        <v>1980</v>
      </c>
      <c r="C102" s="489">
        <v>0</v>
      </c>
      <c r="D102" s="489">
        <v>0</v>
      </c>
      <c r="E102" s="489">
        <v>0</v>
      </c>
      <c r="F102" s="489">
        <v>0</v>
      </c>
      <c r="G102" s="489">
        <v>0</v>
      </c>
      <c r="H102" s="489">
        <v>0</v>
      </c>
      <c r="I102" s="467">
        <v>0</v>
      </c>
      <c r="J102" s="489">
        <v>0</v>
      </c>
      <c r="K102" s="467">
        <v>0</v>
      </c>
    </row>
    <row r="103" spans="1:12" ht="12.75" customHeight="1" x14ac:dyDescent="0.2">
      <c r="A103" s="463" t="s">
        <v>345</v>
      </c>
      <c r="B103" s="470">
        <v>1983</v>
      </c>
      <c r="C103" s="468"/>
      <c r="D103" s="468"/>
      <c r="E103" s="1933">
        <v>0</v>
      </c>
      <c r="F103" s="468"/>
      <c r="G103" s="468"/>
      <c r="H103" s="489">
        <v>0</v>
      </c>
      <c r="I103" s="468"/>
      <c r="J103" s="510"/>
      <c r="K103" s="510"/>
    </row>
    <row r="104" spans="1:12" ht="12.75" customHeight="1" x14ac:dyDescent="0.2">
      <c r="A104" s="463" t="s">
        <v>830</v>
      </c>
      <c r="B104" s="470">
        <v>1991</v>
      </c>
      <c r="C104" s="489">
        <v>13035</v>
      </c>
      <c r="D104" s="466">
        <v>0</v>
      </c>
      <c r="E104" s="568">
        <v>0</v>
      </c>
      <c r="F104" s="467">
        <v>0</v>
      </c>
      <c r="G104" s="467">
        <v>0</v>
      </c>
      <c r="H104" s="466">
        <v>0</v>
      </c>
      <c r="I104" s="468"/>
      <c r="J104" s="468"/>
      <c r="K104" s="468"/>
    </row>
    <row r="105" spans="1:12" ht="12.75" customHeight="1" x14ac:dyDescent="0.2">
      <c r="A105" s="463" t="s">
        <v>822</v>
      </c>
      <c r="B105" s="470">
        <v>1992</v>
      </c>
      <c r="C105" s="466">
        <v>0</v>
      </c>
      <c r="D105" s="560"/>
      <c r="E105" s="468"/>
      <c r="F105" s="468"/>
      <c r="G105" s="468"/>
      <c r="H105" s="510"/>
      <c r="I105" s="468"/>
      <c r="J105" s="468"/>
      <c r="K105" s="468"/>
    </row>
    <row r="106" spans="1:12" ht="12.75" customHeight="1" x14ac:dyDescent="0.2">
      <c r="A106" s="463" t="s">
        <v>1430</v>
      </c>
      <c r="B106" s="470">
        <v>1993</v>
      </c>
      <c r="C106" s="466">
        <v>0</v>
      </c>
      <c r="D106" s="489">
        <v>0</v>
      </c>
      <c r="E106" s="467">
        <v>0</v>
      </c>
      <c r="F106" s="467">
        <v>0</v>
      </c>
      <c r="G106" s="467">
        <v>0</v>
      </c>
      <c r="H106" s="467">
        <v>0</v>
      </c>
      <c r="I106" s="521"/>
      <c r="J106" s="467">
        <v>0</v>
      </c>
      <c r="K106" s="467">
        <v>0</v>
      </c>
    </row>
    <row r="107" spans="1:12" ht="12.75" customHeight="1" x14ac:dyDescent="0.2">
      <c r="A107" s="463" t="s">
        <v>78</v>
      </c>
      <c r="B107" s="470">
        <v>1999</v>
      </c>
      <c r="C107" s="551">
        <v>0</v>
      </c>
      <c r="D107" s="466">
        <v>0</v>
      </c>
      <c r="E107" s="466">
        <v>0</v>
      </c>
      <c r="F107" s="466">
        <v>0</v>
      </c>
      <c r="G107" s="466">
        <v>0</v>
      </c>
      <c r="H107" s="466">
        <v>0</v>
      </c>
      <c r="I107" s="466">
        <v>0</v>
      </c>
      <c r="J107" s="467">
        <v>0</v>
      </c>
      <c r="K107" s="466">
        <v>0</v>
      </c>
    </row>
    <row r="108" spans="1:12" ht="12.75" customHeight="1" thickBot="1" x14ac:dyDescent="0.25">
      <c r="A108" s="1702" t="s">
        <v>487</v>
      </c>
      <c r="B108" s="1706"/>
      <c r="C108" s="1701">
        <f>SUM(C95:C107)</f>
        <v>16763</v>
      </c>
      <c r="D108" s="1701">
        <f t="shared" ref="D108:K108" si="3">SUM(D95:D107)</f>
        <v>0</v>
      </c>
      <c r="E108" s="1701">
        <f t="shared" si="3"/>
        <v>0</v>
      </c>
      <c r="F108" s="1701">
        <f t="shared" si="3"/>
        <v>0</v>
      </c>
      <c r="G108" s="1701">
        <f t="shared" si="3"/>
        <v>0</v>
      </c>
      <c r="H108" s="1701">
        <f t="shared" si="3"/>
        <v>0</v>
      </c>
      <c r="I108" s="1701">
        <f t="shared" si="3"/>
        <v>0</v>
      </c>
      <c r="J108" s="1701">
        <f t="shared" si="3"/>
        <v>0</v>
      </c>
      <c r="K108" s="1682">
        <f t="shared" si="3"/>
        <v>0</v>
      </c>
    </row>
    <row r="109" spans="1:12" ht="14.25" thickTop="1" thickBot="1" x14ac:dyDescent="0.25">
      <c r="A109" s="1707" t="s">
        <v>248</v>
      </c>
      <c r="B109" s="1708" t="s">
        <v>570</v>
      </c>
      <c r="C109" s="1709">
        <f t="shared" ref="C109:K109" si="4">SUM(C12,C18,C40,C63,C67,C75,C82,C93,C108,)</f>
        <v>691161</v>
      </c>
      <c r="D109" s="1709">
        <f t="shared" si="4"/>
        <v>0</v>
      </c>
      <c r="E109" s="1709">
        <f t="shared" si="4"/>
        <v>0</v>
      </c>
      <c r="F109" s="1709">
        <f t="shared" si="4"/>
        <v>0</v>
      </c>
      <c r="G109" s="1709">
        <f t="shared" si="4"/>
        <v>0</v>
      </c>
      <c r="H109" s="1709">
        <f t="shared" si="4"/>
        <v>0</v>
      </c>
      <c r="I109" s="1709">
        <f t="shared" si="4"/>
        <v>0</v>
      </c>
      <c r="J109" s="1709">
        <f t="shared" si="4"/>
        <v>0</v>
      </c>
      <c r="K109" s="1696">
        <f t="shared" si="4"/>
        <v>0</v>
      </c>
    </row>
    <row r="110" spans="1:12" ht="30" customHeight="1" thickTop="1" x14ac:dyDescent="0.2">
      <c r="A110" s="1583" t="s">
        <v>346</v>
      </c>
      <c r="B110" s="1584"/>
      <c r="C110" s="1569"/>
      <c r="D110" s="1569"/>
      <c r="E110" s="1569"/>
      <c r="F110" s="1569"/>
      <c r="G110" s="1569"/>
      <c r="H110" s="1569"/>
      <c r="I110" s="1569"/>
      <c r="J110" s="1569"/>
      <c r="K110" s="1570"/>
    </row>
    <row r="111" spans="1:12" ht="12.75" customHeight="1" x14ac:dyDescent="0.2">
      <c r="A111" s="493" t="s">
        <v>823</v>
      </c>
      <c r="B111" s="491">
        <v>2100</v>
      </c>
      <c r="C111" s="1932">
        <v>0</v>
      </c>
      <c r="D111" s="568">
        <v>0</v>
      </c>
      <c r="E111" s="560"/>
      <c r="F111" s="568">
        <v>0</v>
      </c>
      <c r="G111" s="568">
        <v>0</v>
      </c>
      <c r="H111" s="560"/>
      <c r="I111" s="468"/>
      <c r="J111" s="468"/>
      <c r="K111" s="468"/>
    </row>
    <row r="112" spans="1:12" ht="12.75" customHeight="1" x14ac:dyDescent="0.2">
      <c r="A112" s="463" t="s">
        <v>824</v>
      </c>
      <c r="B112" s="470">
        <v>2200</v>
      </c>
      <c r="C112" s="551">
        <v>0</v>
      </c>
      <c r="D112" s="466">
        <v>0</v>
      </c>
      <c r="E112" s="560"/>
      <c r="F112" s="466">
        <v>0</v>
      </c>
      <c r="G112" s="466">
        <v>0</v>
      </c>
      <c r="H112" s="560"/>
      <c r="I112" s="468"/>
      <c r="J112" s="468"/>
      <c r="K112" s="468"/>
      <c r="L112" s="552"/>
    </row>
    <row r="113" spans="1:11" ht="12.75" customHeight="1" x14ac:dyDescent="0.2">
      <c r="A113" s="463" t="s">
        <v>28</v>
      </c>
      <c r="B113" s="470">
        <v>2300</v>
      </c>
      <c r="C113" s="551">
        <v>0</v>
      </c>
      <c r="D113" s="466">
        <v>0</v>
      </c>
      <c r="E113" s="560"/>
      <c r="F113" s="466">
        <v>0</v>
      </c>
      <c r="G113" s="466">
        <v>0</v>
      </c>
      <c r="H113" s="560"/>
      <c r="I113" s="468"/>
      <c r="J113" s="468"/>
      <c r="K113" s="468"/>
    </row>
    <row r="114" spans="1:11" ht="13.5" thickBot="1" x14ac:dyDescent="0.25">
      <c r="A114" s="1710" t="s">
        <v>806</v>
      </c>
      <c r="B114" s="1711" t="s">
        <v>569</v>
      </c>
      <c r="C114" s="1712">
        <f>SUM(C111:C113)</f>
        <v>0</v>
      </c>
      <c r="D114" s="1712">
        <f>SUM(D111:D113)</f>
        <v>0</v>
      </c>
      <c r="E114" s="560" t="s">
        <v>1169</v>
      </c>
      <c r="F114" s="1712">
        <f>SUM(F111:F113)</f>
        <v>0</v>
      </c>
      <c r="G114" s="1712">
        <f>SUM(G111:G113)</f>
        <v>0</v>
      </c>
      <c r="H114" s="560"/>
      <c r="I114" s="468"/>
      <c r="J114" s="468"/>
      <c r="K114" s="468"/>
    </row>
    <row r="115" spans="1:11" ht="16.7" customHeight="1" thickTop="1" x14ac:dyDescent="0.2">
      <c r="A115" s="1585" t="s">
        <v>803</v>
      </c>
      <c r="B115" s="1586"/>
      <c r="C115" s="1568"/>
      <c r="D115" s="1569"/>
      <c r="E115" s="1569"/>
      <c r="F115" s="1569"/>
      <c r="G115" s="1569"/>
      <c r="H115" s="1569"/>
      <c r="I115" s="1569"/>
      <c r="J115" s="1569"/>
      <c r="K115" s="1570"/>
    </row>
    <row r="116" spans="1:11" ht="18" customHeight="1" x14ac:dyDescent="0.2">
      <c r="A116" s="1593" t="s">
        <v>1491</v>
      </c>
      <c r="B116" s="1594"/>
      <c r="C116" s="522"/>
      <c r="D116" s="521"/>
      <c r="E116" s="560"/>
      <c r="F116" s="521"/>
      <c r="G116" s="521"/>
      <c r="H116" s="560"/>
      <c r="I116" s="468"/>
      <c r="J116" s="521"/>
      <c r="K116" s="521"/>
    </row>
    <row r="117" spans="1:11" ht="12.75" customHeight="1" x14ac:dyDescent="0.2">
      <c r="A117" s="463" t="s">
        <v>1667</v>
      </c>
      <c r="B117" s="561">
        <v>3001</v>
      </c>
      <c r="C117" s="1932">
        <v>0</v>
      </c>
      <c r="D117" s="568">
        <v>0</v>
      </c>
      <c r="E117" s="466">
        <v>0</v>
      </c>
      <c r="F117" s="568">
        <v>0</v>
      </c>
      <c r="G117" s="568">
        <v>0</v>
      </c>
      <c r="H117" s="466">
        <v>0</v>
      </c>
      <c r="I117" s="468"/>
      <c r="J117" s="467">
        <v>0</v>
      </c>
      <c r="K117" s="466">
        <v>0</v>
      </c>
    </row>
    <row r="118" spans="1:11" ht="12.75" customHeight="1" x14ac:dyDescent="0.2">
      <c r="A118" s="463" t="s">
        <v>1799</v>
      </c>
      <c r="B118" s="561">
        <v>3002</v>
      </c>
      <c r="C118" s="551">
        <v>0</v>
      </c>
      <c r="D118" s="466">
        <v>0</v>
      </c>
      <c r="E118" s="466">
        <v>0</v>
      </c>
      <c r="F118" s="466">
        <v>0</v>
      </c>
      <c r="G118" s="466">
        <v>0</v>
      </c>
      <c r="H118" s="466">
        <v>0</v>
      </c>
      <c r="I118" s="468"/>
      <c r="J118" s="467">
        <v>0</v>
      </c>
      <c r="K118" s="466">
        <v>0</v>
      </c>
    </row>
    <row r="119" spans="1:11" ht="12.75" customHeight="1" x14ac:dyDescent="0.2">
      <c r="A119" s="463" t="s">
        <v>1800</v>
      </c>
      <c r="B119" s="561">
        <v>3005</v>
      </c>
      <c r="C119" s="551">
        <v>0</v>
      </c>
      <c r="D119" s="466">
        <v>0</v>
      </c>
      <c r="E119" s="466">
        <v>0</v>
      </c>
      <c r="F119" s="466">
        <v>0</v>
      </c>
      <c r="G119" s="466">
        <v>0</v>
      </c>
      <c r="H119" s="466">
        <v>0</v>
      </c>
      <c r="I119" s="468"/>
      <c r="J119" s="467">
        <v>0</v>
      </c>
      <c r="K119" s="466">
        <v>0</v>
      </c>
    </row>
    <row r="120" spans="1:11" ht="12.75" customHeight="1" x14ac:dyDescent="0.2">
      <c r="A120" s="1923" t="s">
        <v>1934</v>
      </c>
      <c r="B120" s="561">
        <v>3030</v>
      </c>
      <c r="C120" s="551">
        <v>0</v>
      </c>
      <c r="D120" s="466" t="s">
        <v>1169</v>
      </c>
      <c r="E120" s="466" t="s">
        <v>1169</v>
      </c>
      <c r="F120" s="466" t="s">
        <v>1169</v>
      </c>
      <c r="G120" s="466" t="s">
        <v>1169</v>
      </c>
      <c r="H120" s="466" t="s">
        <v>1169</v>
      </c>
      <c r="I120" s="468"/>
      <c r="J120" s="467" t="s">
        <v>1169</v>
      </c>
      <c r="K120" s="466" t="s">
        <v>1169</v>
      </c>
    </row>
    <row r="121" spans="1:11" x14ac:dyDescent="0.2">
      <c r="A121" s="1494" t="s">
        <v>1801</v>
      </c>
      <c r="B121" s="563">
        <v>3099</v>
      </c>
      <c r="C121" s="551">
        <v>0</v>
      </c>
      <c r="D121" s="466">
        <v>0</v>
      </c>
      <c r="E121" s="466">
        <v>0</v>
      </c>
      <c r="F121" s="466">
        <v>0</v>
      </c>
      <c r="G121" s="466">
        <v>0</v>
      </c>
      <c r="H121" s="466">
        <v>0</v>
      </c>
      <c r="I121" s="468"/>
      <c r="J121" s="467">
        <v>0</v>
      </c>
      <c r="K121" s="466">
        <v>0</v>
      </c>
    </row>
    <row r="122" spans="1:11" ht="12.6" customHeight="1" thickBot="1" x14ac:dyDescent="0.25">
      <c r="A122" s="1702" t="s">
        <v>488</v>
      </c>
      <c r="B122" s="1713"/>
      <c r="C122" s="1701">
        <f t="shared" ref="C122:H122" si="5">SUM(C117:C121)</f>
        <v>0</v>
      </c>
      <c r="D122" s="1701">
        <f t="shared" si="5"/>
        <v>0</v>
      </c>
      <c r="E122" s="1701">
        <f t="shared" si="5"/>
        <v>0</v>
      </c>
      <c r="F122" s="1701">
        <f t="shared" si="5"/>
        <v>0</v>
      </c>
      <c r="G122" s="1701">
        <f t="shared" si="5"/>
        <v>0</v>
      </c>
      <c r="H122" s="1701">
        <f t="shared" si="5"/>
        <v>0</v>
      </c>
      <c r="I122" s="468"/>
      <c r="J122" s="1701">
        <f>SUM(J117:J121)</f>
        <v>0</v>
      </c>
      <c r="K122" s="1682">
        <f>SUM(K117:K121)</f>
        <v>0</v>
      </c>
    </row>
    <row r="123" spans="1:11" ht="15.75" customHeight="1" thickTop="1" x14ac:dyDescent="0.2">
      <c r="A123" s="1590" t="s">
        <v>1490</v>
      </c>
      <c r="B123" s="1595"/>
      <c r="C123" s="564"/>
      <c r="D123" s="509"/>
      <c r="E123" s="468"/>
      <c r="F123" s="565"/>
      <c r="G123" s="468"/>
      <c r="H123" s="468"/>
      <c r="I123" s="468"/>
      <c r="J123" s="468"/>
      <c r="K123" s="468"/>
    </row>
    <row r="124" spans="1:11" ht="15" customHeight="1" x14ac:dyDescent="0.2">
      <c r="A124" s="1596" t="s">
        <v>667</v>
      </c>
      <c r="B124" s="1597"/>
      <c r="C124" s="521"/>
      <c r="D124" s="509"/>
      <c r="E124" s="468"/>
      <c r="F124" s="521"/>
      <c r="G124" s="468"/>
      <c r="H124" s="468"/>
      <c r="I124" s="468"/>
      <c r="J124" s="468"/>
      <c r="K124" s="468"/>
    </row>
    <row r="125" spans="1:11" ht="12.75" customHeight="1" x14ac:dyDescent="0.2">
      <c r="A125" s="463" t="s">
        <v>866</v>
      </c>
      <c r="B125" s="566">
        <v>3100</v>
      </c>
      <c r="C125" s="568">
        <v>0</v>
      </c>
      <c r="D125" s="560"/>
      <c r="E125" s="468"/>
      <c r="F125" s="548">
        <v>0</v>
      </c>
      <c r="G125" s="468"/>
      <c r="H125" s="468"/>
      <c r="I125" s="468"/>
      <c r="J125" s="468"/>
      <c r="K125" s="468"/>
    </row>
    <row r="126" spans="1:11" ht="12.75" customHeight="1" x14ac:dyDescent="0.2">
      <c r="A126" s="463" t="s">
        <v>1446</v>
      </c>
      <c r="B126" s="561">
        <v>3105</v>
      </c>
      <c r="C126" s="466">
        <v>0</v>
      </c>
      <c r="D126" s="560"/>
      <c r="E126" s="468"/>
      <c r="F126" s="466">
        <v>0</v>
      </c>
      <c r="G126" s="468"/>
      <c r="H126" s="468"/>
      <c r="I126" s="468"/>
      <c r="J126" s="468"/>
      <c r="K126" s="468"/>
    </row>
    <row r="127" spans="1:11" ht="12.75" customHeight="1" x14ac:dyDescent="0.2">
      <c r="A127" s="463" t="s">
        <v>867</v>
      </c>
      <c r="B127" s="561">
        <v>3110</v>
      </c>
      <c r="C127" s="551">
        <v>0</v>
      </c>
      <c r="D127" s="466">
        <v>0</v>
      </c>
      <c r="E127" s="468"/>
      <c r="F127" s="466">
        <v>0</v>
      </c>
      <c r="G127" s="468"/>
      <c r="H127" s="468"/>
      <c r="I127" s="468"/>
      <c r="J127" s="468"/>
      <c r="K127" s="468"/>
    </row>
    <row r="128" spans="1:11" ht="12.75" customHeight="1" x14ac:dyDescent="0.2">
      <c r="A128" s="463" t="s">
        <v>105</v>
      </c>
      <c r="B128" s="561">
        <v>3120</v>
      </c>
      <c r="C128" s="466">
        <v>0</v>
      </c>
      <c r="D128" s="560"/>
      <c r="E128" s="468"/>
      <c r="F128" s="466">
        <v>0</v>
      </c>
      <c r="G128" s="468"/>
      <c r="H128" s="468"/>
      <c r="I128" s="468"/>
      <c r="J128" s="468"/>
      <c r="K128" s="468"/>
    </row>
    <row r="129" spans="1:11" ht="12.75" customHeight="1" x14ac:dyDescent="0.2">
      <c r="A129" s="463" t="s">
        <v>1447</v>
      </c>
      <c r="B129" s="561">
        <v>3130</v>
      </c>
      <c r="C129" s="466">
        <v>0</v>
      </c>
      <c r="D129" s="560"/>
      <c r="E129" s="468"/>
      <c r="F129" s="466">
        <v>0</v>
      </c>
      <c r="G129" s="468"/>
      <c r="H129" s="468"/>
      <c r="I129" s="468"/>
      <c r="J129" s="468"/>
      <c r="K129" s="468"/>
    </row>
    <row r="130" spans="1:11" ht="12.75" customHeight="1" x14ac:dyDescent="0.2">
      <c r="A130" s="463" t="s">
        <v>137</v>
      </c>
      <c r="B130" s="561">
        <v>3145</v>
      </c>
      <c r="C130" s="466">
        <v>0</v>
      </c>
      <c r="D130" s="560"/>
      <c r="E130" s="468"/>
      <c r="F130" s="466">
        <v>0</v>
      </c>
      <c r="G130" s="468"/>
      <c r="H130" s="468"/>
      <c r="I130" s="468"/>
      <c r="J130" s="468"/>
      <c r="K130" s="468"/>
    </row>
    <row r="131" spans="1:11" ht="12.75" customHeight="1" x14ac:dyDescent="0.2">
      <c r="A131" s="463" t="s">
        <v>66</v>
      </c>
      <c r="B131" s="561">
        <v>3199</v>
      </c>
      <c r="C131" s="551">
        <v>0</v>
      </c>
      <c r="D131" s="467">
        <v>0</v>
      </c>
      <c r="E131" s="468"/>
      <c r="F131" s="466">
        <v>0</v>
      </c>
      <c r="G131" s="468"/>
      <c r="H131" s="468"/>
      <c r="I131" s="468"/>
      <c r="J131" s="468"/>
      <c r="K131" s="468"/>
    </row>
    <row r="132" spans="1:11" ht="12.75" customHeight="1" thickBot="1" x14ac:dyDescent="0.25">
      <c r="A132" s="1702" t="s">
        <v>1032</v>
      </c>
      <c r="B132" s="1714"/>
      <c r="C132" s="1701">
        <f>SUM(C125:C131)</f>
        <v>0</v>
      </c>
      <c r="D132" s="1701">
        <f>SUM(D125:D131)</f>
        <v>0</v>
      </c>
      <c r="E132" s="469" t="s">
        <v>1169</v>
      </c>
      <c r="F132" s="1701">
        <f>SUM(F125:F131)</f>
        <v>0</v>
      </c>
      <c r="G132" s="468" t="s">
        <v>1169</v>
      </c>
      <c r="H132" s="468" t="s">
        <v>1169</v>
      </c>
      <c r="I132" s="468" t="s">
        <v>1169</v>
      </c>
      <c r="J132" s="468" t="s">
        <v>1169</v>
      </c>
      <c r="K132" s="468" t="s">
        <v>1169</v>
      </c>
    </row>
    <row r="133" spans="1:11" ht="15.75" customHeight="1" thickTop="1" x14ac:dyDescent="0.2">
      <c r="A133" s="1598" t="s">
        <v>250</v>
      </c>
      <c r="B133" s="1599"/>
      <c r="C133" s="553"/>
      <c r="D133" s="553"/>
      <c r="E133" s="509"/>
      <c r="F133" s="553"/>
      <c r="G133" s="468"/>
      <c r="H133" s="468"/>
      <c r="I133" s="468"/>
      <c r="J133" s="468"/>
      <c r="K133" s="468"/>
    </row>
    <row r="134" spans="1:11" x14ac:dyDescent="0.2">
      <c r="A134" s="463" t="s">
        <v>599</v>
      </c>
      <c r="B134" s="561">
        <v>3200</v>
      </c>
      <c r="C134" s="551">
        <v>0</v>
      </c>
      <c r="D134" s="466">
        <v>0</v>
      </c>
      <c r="E134" s="560"/>
      <c r="F134" s="468"/>
      <c r="G134" s="466">
        <v>0</v>
      </c>
      <c r="H134" s="468"/>
      <c r="I134" s="468"/>
      <c r="J134" s="468"/>
      <c r="K134" s="468"/>
    </row>
    <row r="135" spans="1:11" ht="12.75" customHeight="1" x14ac:dyDescent="0.2">
      <c r="A135" s="463" t="s">
        <v>669</v>
      </c>
      <c r="B135" s="561">
        <v>3220</v>
      </c>
      <c r="C135" s="551">
        <v>590506</v>
      </c>
      <c r="D135" s="466">
        <v>0</v>
      </c>
      <c r="E135" s="560"/>
      <c r="F135" s="468"/>
      <c r="G135" s="467">
        <v>0</v>
      </c>
      <c r="H135" s="468"/>
      <c r="I135" s="468"/>
      <c r="J135" s="468"/>
      <c r="K135" s="468"/>
    </row>
    <row r="136" spans="1:11" ht="12.75" customHeight="1" x14ac:dyDescent="0.2">
      <c r="A136" s="463" t="s">
        <v>249</v>
      </c>
      <c r="B136" s="561">
        <v>3225</v>
      </c>
      <c r="C136" s="551">
        <v>0</v>
      </c>
      <c r="D136" s="466">
        <v>0</v>
      </c>
      <c r="E136" s="560"/>
      <c r="F136" s="468"/>
      <c r="G136" s="467">
        <v>0</v>
      </c>
      <c r="H136" s="468"/>
      <c r="I136" s="468"/>
      <c r="J136" s="468"/>
      <c r="K136" s="468"/>
    </row>
    <row r="137" spans="1:11" ht="12.75" customHeight="1" x14ac:dyDescent="0.2">
      <c r="A137" s="463" t="s">
        <v>600</v>
      </c>
      <c r="B137" s="561">
        <v>3235</v>
      </c>
      <c r="C137" s="489">
        <v>0</v>
      </c>
      <c r="D137" s="467">
        <v>0</v>
      </c>
      <c r="E137" s="560"/>
      <c r="F137" s="468"/>
      <c r="G137" s="467">
        <v>0</v>
      </c>
      <c r="H137" s="468"/>
      <c r="I137" s="468"/>
      <c r="J137" s="468"/>
      <c r="K137" s="468"/>
    </row>
    <row r="138" spans="1:11" ht="12.75" customHeight="1" x14ac:dyDescent="0.2">
      <c r="A138" s="463" t="s">
        <v>601</v>
      </c>
      <c r="B138" s="561">
        <v>3240</v>
      </c>
      <c r="C138" s="489">
        <v>0</v>
      </c>
      <c r="D138" s="467">
        <v>0</v>
      </c>
      <c r="E138" s="560"/>
      <c r="F138" s="468"/>
      <c r="G138" s="467">
        <v>0</v>
      </c>
      <c r="H138" s="468"/>
      <c r="I138" s="468"/>
      <c r="J138" s="468"/>
      <c r="K138" s="468"/>
    </row>
    <row r="139" spans="1:11" ht="12.75" customHeight="1" x14ac:dyDescent="0.2">
      <c r="A139" s="463" t="s">
        <v>602</v>
      </c>
      <c r="B139" s="561">
        <v>3270</v>
      </c>
      <c r="C139" s="489">
        <v>0</v>
      </c>
      <c r="D139" s="467">
        <v>0</v>
      </c>
      <c r="E139" s="560"/>
      <c r="F139" s="468"/>
      <c r="G139" s="467">
        <v>0</v>
      </c>
      <c r="H139" s="468"/>
      <c r="I139" s="468"/>
      <c r="J139" s="468"/>
      <c r="K139" s="468"/>
    </row>
    <row r="140" spans="1:11" ht="12.75" customHeight="1" x14ac:dyDescent="0.2">
      <c r="A140" s="463" t="s">
        <v>67</v>
      </c>
      <c r="B140" s="561">
        <v>3299</v>
      </c>
      <c r="C140" s="551">
        <v>0</v>
      </c>
      <c r="D140" s="466">
        <v>0</v>
      </c>
      <c r="E140" s="560"/>
      <c r="F140" s="477"/>
      <c r="G140" s="467">
        <v>0</v>
      </c>
      <c r="H140" s="468"/>
      <c r="I140" s="468"/>
      <c r="J140" s="468"/>
      <c r="K140" s="468"/>
    </row>
    <row r="141" spans="1:11" ht="12.75" customHeight="1" thickBot="1" x14ac:dyDescent="0.25">
      <c r="A141" s="1702" t="s">
        <v>603</v>
      </c>
      <c r="B141" s="1714"/>
      <c r="C141" s="1701">
        <f>SUM(C134:C140)</f>
        <v>590506</v>
      </c>
      <c r="D141" s="1701">
        <f>SUM(D134:D140)</f>
        <v>0</v>
      </c>
      <c r="E141" s="560" t="s">
        <v>1169</v>
      </c>
      <c r="F141" s="477"/>
      <c r="G141" s="1701">
        <f>SUM(G134:G140)</f>
        <v>0</v>
      </c>
      <c r="H141" s="468" t="s">
        <v>1169</v>
      </c>
      <c r="I141" s="468" t="s">
        <v>1169</v>
      </c>
      <c r="J141" s="468" t="s">
        <v>1169</v>
      </c>
      <c r="K141" s="468" t="s">
        <v>1169</v>
      </c>
    </row>
    <row r="142" spans="1:11" ht="15.75" customHeight="1" thickTop="1" x14ac:dyDescent="0.2">
      <c r="A142" s="1598" t="s">
        <v>670</v>
      </c>
      <c r="B142" s="1599"/>
      <c r="C142" s="553"/>
      <c r="D142" s="565"/>
      <c r="E142" s="560"/>
      <c r="F142" s="553"/>
      <c r="G142" s="553"/>
      <c r="H142" s="468"/>
      <c r="I142" s="468"/>
      <c r="J142" s="468"/>
      <c r="K142" s="468"/>
    </row>
    <row r="143" spans="1:11" ht="12.75" customHeight="1" x14ac:dyDescent="0.2">
      <c r="A143" s="463" t="s">
        <v>604</v>
      </c>
      <c r="B143" s="561">
        <v>3305</v>
      </c>
      <c r="C143" s="466">
        <v>0</v>
      </c>
      <c r="D143" s="468"/>
      <c r="E143" s="560"/>
      <c r="F143" s="468"/>
      <c r="G143" s="466">
        <v>0</v>
      </c>
      <c r="H143" s="468"/>
      <c r="I143" s="468"/>
      <c r="J143" s="468"/>
      <c r="K143" s="468"/>
    </row>
    <row r="144" spans="1:11" ht="12.75" customHeight="1" x14ac:dyDescent="0.2">
      <c r="A144" s="463" t="s">
        <v>347</v>
      </c>
      <c r="B144" s="561">
        <v>3310</v>
      </c>
      <c r="C144" s="551">
        <v>0</v>
      </c>
      <c r="D144" s="468"/>
      <c r="E144" s="560"/>
      <c r="F144" s="468"/>
      <c r="G144" s="466">
        <v>0</v>
      </c>
      <c r="H144" s="468"/>
      <c r="I144" s="468"/>
      <c r="J144" s="468"/>
      <c r="K144" s="468"/>
    </row>
    <row r="145" spans="1:11" s="202" customFormat="1" ht="13.5" thickBot="1" x14ac:dyDescent="0.25">
      <c r="A145" s="1702" t="s">
        <v>396</v>
      </c>
      <c r="B145" s="1714"/>
      <c r="C145" s="1682">
        <f>SUM(C143:C144)</f>
        <v>0</v>
      </c>
      <c r="D145" s="468"/>
      <c r="E145" s="509"/>
      <c r="F145" s="468"/>
      <c r="G145" s="1715">
        <f>SUM(G143:G144)</f>
        <v>0</v>
      </c>
      <c r="H145" s="468"/>
      <c r="I145" s="468"/>
      <c r="J145" s="468"/>
      <c r="K145" s="468"/>
    </row>
    <row r="146" spans="1:11" s="202" customFormat="1" ht="12.75" customHeight="1" thickTop="1" x14ac:dyDescent="0.2">
      <c r="A146" s="1496" t="s">
        <v>1056</v>
      </c>
      <c r="B146" s="567">
        <v>3360</v>
      </c>
      <c r="C146" s="568">
        <v>0</v>
      </c>
      <c r="D146" s="569"/>
      <c r="E146" s="509"/>
      <c r="F146" s="468"/>
      <c r="G146" s="570"/>
      <c r="H146" s="468"/>
      <c r="I146" s="468"/>
      <c r="J146" s="468"/>
      <c r="K146" s="468"/>
    </row>
    <row r="147" spans="1:11" ht="12.75" customHeight="1" thickBot="1" x14ac:dyDescent="0.25">
      <c r="A147" s="1497" t="s">
        <v>922</v>
      </c>
      <c r="B147" s="571">
        <v>3365</v>
      </c>
      <c r="C147" s="572">
        <v>0</v>
      </c>
      <c r="D147" s="532">
        <v>0</v>
      </c>
      <c r="E147" s="560"/>
      <c r="F147" s="468"/>
      <c r="G147" s="532">
        <v>0</v>
      </c>
      <c r="H147" s="468"/>
      <c r="I147" s="468"/>
      <c r="J147" s="468"/>
      <c r="K147" s="468"/>
    </row>
    <row r="148" spans="1:11" ht="12.75" customHeight="1" thickTop="1" thickBot="1" x14ac:dyDescent="0.25">
      <c r="A148" s="1498" t="s">
        <v>138</v>
      </c>
      <c r="B148" s="573">
        <v>3370</v>
      </c>
      <c r="C148" s="572">
        <v>0</v>
      </c>
      <c r="D148" s="572">
        <v>0</v>
      </c>
      <c r="E148" s="509"/>
      <c r="F148" s="468"/>
      <c r="G148" s="468"/>
      <c r="H148" s="468"/>
      <c r="I148" s="468"/>
      <c r="J148" s="468"/>
      <c r="K148" s="468"/>
    </row>
    <row r="149" spans="1:11" ht="12.75" customHeight="1" thickTop="1" thickBot="1" x14ac:dyDescent="0.25">
      <c r="A149" s="1498" t="s">
        <v>767</v>
      </c>
      <c r="B149" s="573">
        <v>3410</v>
      </c>
      <c r="C149" s="574">
        <v>0</v>
      </c>
      <c r="D149" s="575">
        <v>0</v>
      </c>
      <c r="E149" s="576">
        <v>0</v>
      </c>
      <c r="F149" s="530">
        <v>0</v>
      </c>
      <c r="G149" s="530">
        <v>0</v>
      </c>
      <c r="H149" s="530">
        <v>0</v>
      </c>
      <c r="I149" s="530">
        <v>0</v>
      </c>
      <c r="J149" s="530">
        <v>0</v>
      </c>
      <c r="K149" s="530">
        <v>0</v>
      </c>
    </row>
    <row r="150" spans="1:11" ht="12.75" customHeight="1" thickTop="1" thickBot="1" x14ac:dyDescent="0.25">
      <c r="A150" s="1498" t="s">
        <v>68</v>
      </c>
      <c r="B150" s="573">
        <v>3499</v>
      </c>
      <c r="C150" s="574">
        <v>0</v>
      </c>
      <c r="D150" s="575">
        <v>0</v>
      </c>
      <c r="E150" s="532">
        <v>0</v>
      </c>
      <c r="F150" s="532">
        <v>0</v>
      </c>
      <c r="G150" s="532">
        <v>0</v>
      </c>
      <c r="H150" s="532">
        <v>0</v>
      </c>
      <c r="I150" s="532">
        <v>0</v>
      </c>
      <c r="J150" s="532">
        <v>0</v>
      </c>
      <c r="K150" s="532">
        <v>0</v>
      </c>
    </row>
    <row r="151" spans="1:11" ht="15.75" customHeight="1" thickTop="1" x14ac:dyDescent="0.2">
      <c r="A151" s="1598" t="s">
        <v>453</v>
      </c>
      <c r="B151" s="1600"/>
      <c r="C151" s="553"/>
      <c r="D151" s="468"/>
      <c r="E151" s="560"/>
      <c r="F151" s="468"/>
      <c r="G151" s="468"/>
      <c r="H151" s="468"/>
      <c r="I151" s="468"/>
      <c r="J151" s="468"/>
      <c r="K151" s="468"/>
    </row>
    <row r="152" spans="1:11" ht="12.75" customHeight="1" x14ac:dyDescent="0.2">
      <c r="A152" s="463" t="s">
        <v>1448</v>
      </c>
      <c r="B152" s="561">
        <v>3500</v>
      </c>
      <c r="C152" s="551">
        <v>0</v>
      </c>
      <c r="D152" s="466">
        <v>0</v>
      </c>
      <c r="E152" s="560"/>
      <c r="F152" s="466">
        <v>0</v>
      </c>
      <c r="G152" s="467">
        <v>0</v>
      </c>
      <c r="H152" s="468"/>
      <c r="I152" s="468"/>
      <c r="J152" s="468"/>
      <c r="K152" s="468"/>
    </row>
    <row r="153" spans="1:11" ht="12.75" customHeight="1" x14ac:dyDescent="0.2">
      <c r="A153" s="463" t="s">
        <v>1057</v>
      </c>
      <c r="B153" s="561">
        <v>3510</v>
      </c>
      <c r="C153" s="551">
        <v>0</v>
      </c>
      <c r="D153" s="466">
        <v>0</v>
      </c>
      <c r="E153" s="560"/>
      <c r="F153" s="466">
        <v>0</v>
      </c>
      <c r="G153" s="467">
        <v>0</v>
      </c>
      <c r="H153" s="468"/>
      <c r="I153" s="468"/>
      <c r="J153" s="468"/>
      <c r="K153" s="468"/>
    </row>
    <row r="154" spans="1:11" ht="12.75" customHeight="1" x14ac:dyDescent="0.2">
      <c r="A154" s="463" t="s">
        <v>69</v>
      </c>
      <c r="B154" s="561">
        <v>3599</v>
      </c>
      <c r="C154" s="551">
        <v>0</v>
      </c>
      <c r="D154" s="466">
        <v>0</v>
      </c>
      <c r="E154" s="560"/>
      <c r="F154" s="466">
        <v>0</v>
      </c>
      <c r="G154" s="467">
        <v>0</v>
      </c>
      <c r="H154" s="468"/>
      <c r="I154" s="468"/>
      <c r="J154" s="468"/>
      <c r="K154" s="468"/>
    </row>
    <row r="155" spans="1:11" ht="12.75" customHeight="1" thickBot="1" x14ac:dyDescent="0.25">
      <c r="A155" s="1702" t="s">
        <v>94</v>
      </c>
      <c r="B155" s="1714"/>
      <c r="C155" s="1701">
        <f>SUM(C152:C154)</f>
        <v>0</v>
      </c>
      <c r="D155" s="1701">
        <f>SUM(D152:D154)</f>
        <v>0</v>
      </c>
      <c r="E155" s="560"/>
      <c r="F155" s="1701">
        <f>SUM(F152:F154)</f>
        <v>0</v>
      </c>
      <c r="G155" s="1701">
        <f>SUM(G152:G154)</f>
        <v>0</v>
      </c>
      <c r="H155" s="468"/>
      <c r="I155" s="468"/>
      <c r="J155" s="468"/>
      <c r="K155" s="468"/>
    </row>
    <row r="156" spans="1:11" ht="12.75" customHeight="1" thickTop="1" thickBot="1" x14ac:dyDescent="0.25">
      <c r="A156" s="1498" t="s">
        <v>380</v>
      </c>
      <c r="B156" s="573">
        <v>3610</v>
      </c>
      <c r="C156" s="575">
        <v>0</v>
      </c>
      <c r="D156" s="468"/>
      <c r="E156" s="509"/>
      <c r="F156" s="468"/>
      <c r="G156" s="468"/>
      <c r="H156" s="468"/>
      <c r="I156" s="468"/>
      <c r="J156" s="468"/>
      <c r="K156" s="468"/>
    </row>
    <row r="157" spans="1:11" ht="12.75" customHeight="1" thickTop="1" thickBot="1" x14ac:dyDescent="0.25">
      <c r="A157" s="1498" t="s">
        <v>50</v>
      </c>
      <c r="B157" s="573">
        <v>3660</v>
      </c>
      <c r="C157" s="572">
        <v>0</v>
      </c>
      <c r="D157" s="577">
        <v>0</v>
      </c>
      <c r="E157" s="560"/>
      <c r="F157" s="577">
        <v>0</v>
      </c>
      <c r="G157" s="577">
        <v>0</v>
      </c>
      <c r="H157" s="468"/>
      <c r="I157" s="468"/>
      <c r="J157" s="468"/>
      <c r="K157" s="468"/>
    </row>
    <row r="158" spans="1:11" ht="12.75" customHeight="1" thickTop="1" thickBot="1" x14ac:dyDescent="0.25">
      <c r="A158" s="1498" t="s">
        <v>1000</v>
      </c>
      <c r="B158" s="573">
        <v>3695</v>
      </c>
      <c r="C158" s="575">
        <v>0</v>
      </c>
      <c r="D158" s="468"/>
      <c r="E158" s="560"/>
      <c r="F158" s="575">
        <v>0</v>
      </c>
      <c r="G158" s="575">
        <v>0</v>
      </c>
      <c r="H158" s="468"/>
      <c r="I158" s="468"/>
      <c r="J158" s="468"/>
      <c r="K158" s="468"/>
    </row>
    <row r="159" spans="1:11" ht="12.75" customHeight="1" thickTop="1" thickBot="1" x14ac:dyDescent="0.25">
      <c r="A159" s="1498" t="s">
        <v>1051</v>
      </c>
      <c r="B159" s="573">
        <v>3705</v>
      </c>
      <c r="C159" s="575">
        <v>0</v>
      </c>
      <c r="D159" s="577">
        <v>0</v>
      </c>
      <c r="E159" s="560"/>
      <c r="F159" s="575">
        <v>0</v>
      </c>
      <c r="G159" s="575">
        <v>0</v>
      </c>
      <c r="H159" s="468"/>
      <c r="I159" s="468"/>
      <c r="J159" s="468"/>
      <c r="K159" s="468"/>
    </row>
    <row r="160" spans="1:11" ht="12.75" customHeight="1" thickTop="1" thickBot="1" x14ac:dyDescent="0.25">
      <c r="A160" s="1498" t="s">
        <v>39</v>
      </c>
      <c r="B160" s="573">
        <v>3766</v>
      </c>
      <c r="C160" s="575">
        <v>0</v>
      </c>
      <c r="D160" s="577">
        <v>0</v>
      </c>
      <c r="E160" s="560"/>
      <c r="F160" s="575">
        <v>0</v>
      </c>
      <c r="G160" s="531">
        <v>0</v>
      </c>
      <c r="H160" s="468"/>
      <c r="I160" s="468"/>
      <c r="J160" s="468"/>
      <c r="K160" s="468"/>
    </row>
    <row r="161" spans="1:11" ht="12.75" customHeight="1" thickTop="1" thickBot="1" x14ac:dyDescent="0.25">
      <c r="A161" s="1498" t="s">
        <v>985</v>
      </c>
      <c r="B161" s="573">
        <v>3767</v>
      </c>
      <c r="C161" s="575">
        <v>0</v>
      </c>
      <c r="D161" s="531">
        <v>0</v>
      </c>
      <c r="E161" s="560"/>
      <c r="F161" s="531">
        <v>0</v>
      </c>
      <c r="G161" s="531">
        <v>0</v>
      </c>
      <c r="H161" s="468"/>
      <c r="I161" s="468"/>
      <c r="J161" s="468"/>
      <c r="K161" s="468"/>
    </row>
    <row r="162" spans="1:11" ht="12.75" customHeight="1" thickTop="1" thickBot="1" x14ac:dyDescent="0.25">
      <c r="A162" s="1498" t="s">
        <v>986</v>
      </c>
      <c r="B162" s="573">
        <v>3775</v>
      </c>
      <c r="C162" s="575">
        <v>0</v>
      </c>
      <c r="D162" s="572">
        <v>0</v>
      </c>
      <c r="E162" s="530">
        <v>0</v>
      </c>
      <c r="F162" s="572">
        <v>0</v>
      </c>
      <c r="G162" s="532">
        <v>0</v>
      </c>
      <c r="H162" s="530">
        <v>0</v>
      </c>
      <c r="I162" s="468"/>
      <c r="J162" s="468"/>
      <c r="K162" s="530">
        <v>0</v>
      </c>
    </row>
    <row r="163" spans="1:11" ht="12.75" customHeight="1" thickTop="1" thickBot="1" x14ac:dyDescent="0.25">
      <c r="A163" s="1498" t="s">
        <v>1449</v>
      </c>
      <c r="B163" s="573">
        <v>3780</v>
      </c>
      <c r="C163" s="531">
        <v>0</v>
      </c>
      <c r="D163" s="530">
        <v>0</v>
      </c>
      <c r="E163" s="531">
        <v>0</v>
      </c>
      <c r="F163" s="531">
        <v>0</v>
      </c>
      <c r="G163" s="531">
        <v>0</v>
      </c>
      <c r="H163" s="531">
        <v>0</v>
      </c>
      <c r="I163" s="468"/>
      <c r="J163" s="468"/>
      <c r="K163" s="531">
        <v>0</v>
      </c>
    </row>
    <row r="164" spans="1:11" ht="12.75" customHeight="1" thickTop="1" thickBot="1" x14ac:dyDescent="0.25">
      <c r="A164" s="1498" t="s">
        <v>858</v>
      </c>
      <c r="B164" s="573">
        <v>3815</v>
      </c>
      <c r="C164" s="575">
        <v>0</v>
      </c>
      <c r="D164" s="468"/>
      <c r="E164" s="560"/>
      <c r="F164" s="575">
        <v>0</v>
      </c>
      <c r="G164" s="468"/>
      <c r="H164" s="468"/>
      <c r="I164" s="468"/>
      <c r="J164" s="468"/>
      <c r="K164" s="468"/>
    </row>
    <row r="165" spans="1:11" ht="12.75" customHeight="1" thickTop="1" thickBot="1" x14ac:dyDescent="0.25">
      <c r="A165" s="1498" t="s">
        <v>397</v>
      </c>
      <c r="B165" s="573">
        <v>3825</v>
      </c>
      <c r="C165" s="575">
        <v>0</v>
      </c>
      <c r="D165" s="468"/>
      <c r="E165" s="560"/>
      <c r="F165" s="575">
        <v>0</v>
      </c>
      <c r="G165" s="468"/>
      <c r="H165" s="468"/>
      <c r="I165" s="468"/>
      <c r="J165" s="468"/>
      <c r="K165" s="468"/>
    </row>
    <row r="166" spans="1:11" ht="12.75" customHeight="1" thickTop="1" thickBot="1" x14ac:dyDescent="0.25">
      <c r="A166" s="1498" t="s">
        <v>348</v>
      </c>
      <c r="B166" s="573">
        <v>3920</v>
      </c>
      <c r="C166" s="565"/>
      <c r="D166" s="577">
        <v>0</v>
      </c>
      <c r="E166" s="468"/>
      <c r="F166" s="565"/>
      <c r="G166" s="468"/>
      <c r="H166" s="530">
        <v>0</v>
      </c>
      <c r="I166" s="468"/>
      <c r="J166" s="468"/>
      <c r="K166" s="468"/>
    </row>
    <row r="167" spans="1:11" ht="12.75" customHeight="1" thickTop="1" thickBot="1" x14ac:dyDescent="0.25">
      <c r="A167" s="1498" t="s">
        <v>349</v>
      </c>
      <c r="B167" s="573">
        <v>3925</v>
      </c>
      <c r="C167" s="521"/>
      <c r="D167" s="575">
        <v>0</v>
      </c>
      <c r="E167" s="521"/>
      <c r="F167" s="521"/>
      <c r="G167" s="468"/>
      <c r="H167" s="531">
        <v>0</v>
      </c>
      <c r="I167" s="468"/>
      <c r="J167" s="468"/>
      <c r="K167" s="530">
        <v>0</v>
      </c>
    </row>
    <row r="168" spans="1:11" ht="14.25" thickTop="1" thickBot="1" x14ac:dyDescent="0.25">
      <c r="A168" s="1498" t="s">
        <v>70</v>
      </c>
      <c r="B168" s="573">
        <v>3999</v>
      </c>
      <c r="C168" s="578">
        <v>0</v>
      </c>
      <c r="D168" s="579">
        <v>0</v>
      </c>
      <c r="E168" s="579">
        <v>0</v>
      </c>
      <c r="F168" s="579">
        <v>0</v>
      </c>
      <c r="G168" s="580">
        <v>0</v>
      </c>
      <c r="H168" s="581">
        <v>0</v>
      </c>
      <c r="I168" s="580">
        <v>0</v>
      </c>
      <c r="J168" s="580">
        <v>0</v>
      </c>
      <c r="K168" s="581">
        <v>0</v>
      </c>
    </row>
    <row r="169" spans="1:11" ht="12.75" customHeight="1" thickTop="1" thickBot="1" x14ac:dyDescent="0.25">
      <c r="A169" s="2150" t="s">
        <v>398</v>
      </c>
      <c r="B169" s="2151"/>
      <c r="C169" s="1716">
        <f t="shared" ref="C169:K169" si="6">SUM(C132,C141,C145,C146:C150,C155,C156:C167,C168)</f>
        <v>590506</v>
      </c>
      <c r="D169" s="1716">
        <f t="shared" si="6"/>
        <v>0</v>
      </c>
      <c r="E169" s="1716">
        <f t="shared" si="6"/>
        <v>0</v>
      </c>
      <c r="F169" s="1716">
        <f t="shared" si="6"/>
        <v>0</v>
      </c>
      <c r="G169" s="1716">
        <f t="shared" si="6"/>
        <v>0</v>
      </c>
      <c r="H169" s="1716">
        <f t="shared" si="6"/>
        <v>0</v>
      </c>
      <c r="I169" s="1716">
        <f t="shared" si="6"/>
        <v>0</v>
      </c>
      <c r="J169" s="1716">
        <f t="shared" si="6"/>
        <v>0</v>
      </c>
      <c r="K169" s="1697">
        <f t="shared" si="6"/>
        <v>0</v>
      </c>
    </row>
    <row r="170" spans="1:11" ht="12.75" customHeight="1" thickTop="1" thickBot="1" x14ac:dyDescent="0.25">
      <c r="A170" s="1702" t="s">
        <v>399</v>
      </c>
      <c r="B170" s="1708" t="s">
        <v>575</v>
      </c>
      <c r="C170" s="1709">
        <f t="shared" ref="C170:K170" si="7">SUM(C122,C169)</f>
        <v>590506</v>
      </c>
      <c r="D170" s="1709">
        <f t="shared" si="7"/>
        <v>0</v>
      </c>
      <c r="E170" s="1709">
        <f t="shared" si="7"/>
        <v>0</v>
      </c>
      <c r="F170" s="1709">
        <f t="shared" si="7"/>
        <v>0</v>
      </c>
      <c r="G170" s="1709">
        <f t="shared" si="7"/>
        <v>0</v>
      </c>
      <c r="H170" s="1709">
        <f t="shared" si="7"/>
        <v>0</v>
      </c>
      <c r="I170" s="1709">
        <f t="shared" si="7"/>
        <v>0</v>
      </c>
      <c r="J170" s="1709">
        <f t="shared" si="7"/>
        <v>0</v>
      </c>
      <c r="K170" s="1696">
        <f t="shared" si="7"/>
        <v>0</v>
      </c>
    </row>
    <row r="171" spans="1:11" ht="16.7" customHeight="1" thickTop="1" x14ac:dyDescent="0.2">
      <c r="A171" s="1587" t="s">
        <v>804</v>
      </c>
      <c r="B171" s="1565"/>
      <c r="C171" s="1568"/>
      <c r="D171" s="1569"/>
      <c r="E171" s="1569"/>
      <c r="F171" s="1569"/>
      <c r="G171" s="1569"/>
      <c r="H171" s="1569"/>
      <c r="I171" s="1569"/>
      <c r="J171" s="1569"/>
      <c r="K171" s="1570"/>
    </row>
    <row r="172" spans="1:11" ht="15.75" customHeight="1" x14ac:dyDescent="0.2">
      <c r="A172" s="2152" t="s">
        <v>1492</v>
      </c>
      <c r="B172" s="2153"/>
      <c r="C172" s="520"/>
      <c r="D172" s="520"/>
      <c r="E172" s="509"/>
      <c r="F172" s="468"/>
      <c r="G172" s="468"/>
      <c r="H172" s="468"/>
      <c r="I172" s="468"/>
      <c r="J172" s="468"/>
      <c r="K172" s="468"/>
    </row>
    <row r="173" spans="1:11" ht="12.6" customHeight="1" x14ac:dyDescent="0.2">
      <c r="A173" s="493" t="s">
        <v>1044</v>
      </c>
      <c r="B173" s="491">
        <v>4001</v>
      </c>
      <c r="C173" s="1932">
        <v>0</v>
      </c>
      <c r="D173" s="568">
        <v>0</v>
      </c>
      <c r="E173" s="467">
        <v>0</v>
      </c>
      <c r="F173" s="466">
        <v>0</v>
      </c>
      <c r="G173" s="466">
        <v>0</v>
      </c>
      <c r="H173" s="467">
        <v>0</v>
      </c>
      <c r="I173" s="467">
        <v>0</v>
      </c>
      <c r="J173" s="467">
        <v>0</v>
      </c>
      <c r="K173" s="467">
        <v>0</v>
      </c>
    </row>
    <row r="174" spans="1:11" ht="22.5" x14ac:dyDescent="0.2">
      <c r="A174" s="562" t="s">
        <v>805</v>
      </c>
      <c r="B174" s="582">
        <v>4009</v>
      </c>
      <c r="C174" s="551">
        <v>0</v>
      </c>
      <c r="D174" s="466">
        <v>0</v>
      </c>
      <c r="E174" s="467">
        <v>0</v>
      </c>
      <c r="F174" s="466">
        <v>0</v>
      </c>
      <c r="G174" s="466">
        <v>0</v>
      </c>
      <c r="H174" s="467">
        <v>0</v>
      </c>
      <c r="I174" s="467">
        <v>0</v>
      </c>
      <c r="J174" s="467">
        <v>0</v>
      </c>
      <c r="K174" s="467">
        <v>0</v>
      </c>
    </row>
    <row r="175" spans="1:11" ht="13.5" thickBot="1" x14ac:dyDescent="0.25">
      <c r="A175" s="2156" t="s">
        <v>1665</v>
      </c>
      <c r="B175" s="2157"/>
      <c r="C175" s="1701">
        <f>SUM(C173:C174)</f>
        <v>0</v>
      </c>
      <c r="D175" s="1701">
        <f t="shared" ref="D175:K175" si="8">SUM(D173:D174)</f>
        <v>0</v>
      </c>
      <c r="E175" s="1701">
        <f t="shared" si="8"/>
        <v>0</v>
      </c>
      <c r="F175" s="1701">
        <f t="shared" si="8"/>
        <v>0</v>
      </c>
      <c r="G175" s="1701">
        <f t="shared" si="8"/>
        <v>0</v>
      </c>
      <c r="H175" s="1701">
        <f t="shared" si="8"/>
        <v>0</v>
      </c>
      <c r="I175" s="1701">
        <f t="shared" si="8"/>
        <v>0</v>
      </c>
      <c r="J175" s="1701">
        <f t="shared" si="8"/>
        <v>0</v>
      </c>
      <c r="K175" s="1682">
        <f t="shared" si="8"/>
        <v>0</v>
      </c>
    </row>
    <row r="176" spans="1:11" s="457" customFormat="1" ht="15.75" customHeight="1" thickTop="1" x14ac:dyDescent="0.2">
      <c r="A176" s="2160" t="s">
        <v>1664</v>
      </c>
      <c r="B176" s="2161"/>
      <c r="C176" s="597"/>
      <c r="D176" s="598"/>
      <c r="E176" s="599"/>
      <c r="F176" s="600"/>
      <c r="G176" s="600"/>
      <c r="H176" s="600"/>
      <c r="I176" s="600"/>
      <c r="J176" s="600"/>
      <c r="K176" s="600"/>
    </row>
    <row r="177" spans="1:11" ht="12.75" customHeight="1" x14ac:dyDescent="0.2">
      <c r="A177" s="463" t="s">
        <v>1045</v>
      </c>
      <c r="B177" s="470">
        <v>4045</v>
      </c>
      <c r="C177" s="551">
        <v>0</v>
      </c>
      <c r="D177" s="468"/>
      <c r="E177" s="560"/>
      <c r="F177" s="468"/>
      <c r="G177" s="468"/>
      <c r="H177" s="468"/>
      <c r="I177" s="468"/>
      <c r="J177" s="468"/>
      <c r="K177" s="468"/>
    </row>
    <row r="178" spans="1:11" ht="12.75" customHeight="1" x14ac:dyDescent="0.2">
      <c r="A178" s="463" t="s">
        <v>1046</v>
      </c>
      <c r="B178" s="470">
        <v>4050</v>
      </c>
      <c r="C178" s="551">
        <v>0</v>
      </c>
      <c r="D178" s="467">
        <v>0</v>
      </c>
      <c r="E178" s="560"/>
      <c r="F178" s="468"/>
      <c r="G178" s="468"/>
      <c r="H178" s="467">
        <v>0</v>
      </c>
      <c r="I178" s="468"/>
      <c r="J178" s="468"/>
      <c r="K178" s="468"/>
    </row>
    <row r="179" spans="1:11" ht="12.75" customHeight="1" x14ac:dyDescent="0.2">
      <c r="A179" s="463" t="s">
        <v>260</v>
      </c>
      <c r="B179" s="470">
        <v>4060</v>
      </c>
      <c r="C179" s="1932">
        <v>0</v>
      </c>
      <c r="D179" s="466">
        <v>0</v>
      </c>
      <c r="E179" s="468"/>
      <c r="F179" s="466">
        <v>0</v>
      </c>
      <c r="G179" s="466">
        <v>0</v>
      </c>
      <c r="H179" s="466">
        <v>0</v>
      </c>
      <c r="I179" s="468"/>
      <c r="J179" s="468"/>
      <c r="K179" s="521"/>
    </row>
    <row r="180" spans="1:11" ht="22.5" x14ac:dyDescent="0.2">
      <c r="A180" s="562" t="s">
        <v>786</v>
      </c>
      <c r="B180" s="582">
        <v>4090</v>
      </c>
      <c r="C180" s="551">
        <v>0</v>
      </c>
      <c r="D180" s="466">
        <v>0</v>
      </c>
      <c r="E180" s="468"/>
      <c r="F180" s="466">
        <v>0</v>
      </c>
      <c r="G180" s="466">
        <v>0</v>
      </c>
      <c r="H180" s="466">
        <v>0</v>
      </c>
      <c r="I180" s="468"/>
      <c r="J180" s="468"/>
      <c r="K180" s="466">
        <v>0</v>
      </c>
    </row>
    <row r="181" spans="1:11" ht="13.5" thickBot="1" x14ac:dyDescent="0.25">
      <c r="A181" s="2158" t="s">
        <v>785</v>
      </c>
      <c r="B181" s="2159"/>
      <c r="C181" s="1701">
        <f>SUM(C177:C180)</f>
        <v>0</v>
      </c>
      <c r="D181" s="1701">
        <f>SUM(D177:D180)</f>
        <v>0</v>
      </c>
      <c r="E181" s="468"/>
      <c r="F181" s="1701">
        <f>SUM(F177:F180)</f>
        <v>0</v>
      </c>
      <c r="G181" s="1701">
        <f>SUM(G177:G180)</f>
        <v>0</v>
      </c>
      <c r="H181" s="1701">
        <f>SUM(H177:H180)</f>
        <v>0</v>
      </c>
      <c r="I181" s="468"/>
      <c r="J181" s="468"/>
      <c r="K181" s="1682">
        <f>SUM(K177:K180)</f>
        <v>0</v>
      </c>
    </row>
    <row r="182" spans="1:11" ht="22.5" customHeight="1" thickTop="1" x14ac:dyDescent="0.2">
      <c r="A182" s="2154" t="s">
        <v>1803</v>
      </c>
      <c r="B182" s="2155"/>
      <c r="C182" s="583"/>
      <c r="D182" s="565"/>
      <c r="E182" s="509"/>
      <c r="F182" s="565"/>
      <c r="G182" s="565"/>
      <c r="H182" s="468"/>
      <c r="I182" s="468"/>
      <c r="J182" s="468"/>
      <c r="K182" s="468"/>
    </row>
    <row r="183" spans="1:11" ht="15.75" customHeight="1" x14ac:dyDescent="0.2">
      <c r="A183" s="1601" t="s">
        <v>1602</v>
      </c>
      <c r="B183" s="1602"/>
      <c r="C183" s="522"/>
      <c r="D183" s="521"/>
      <c r="E183" s="509"/>
      <c r="F183" s="521"/>
      <c r="G183" s="521"/>
      <c r="H183" s="468"/>
      <c r="I183" s="468"/>
      <c r="J183" s="468"/>
      <c r="K183" s="468"/>
    </row>
    <row r="184" spans="1:11" ht="12.75" customHeight="1" x14ac:dyDescent="0.2">
      <c r="A184" s="463" t="s">
        <v>1603</v>
      </c>
      <c r="B184" s="470">
        <v>4100</v>
      </c>
      <c r="C184" s="1932">
        <v>0</v>
      </c>
      <c r="D184" s="568">
        <v>0</v>
      </c>
      <c r="E184" s="560"/>
      <c r="F184" s="568">
        <v>0</v>
      </c>
      <c r="G184" s="568">
        <v>0</v>
      </c>
      <c r="H184" s="468"/>
      <c r="I184" s="468"/>
      <c r="J184" s="468"/>
      <c r="K184" s="468"/>
    </row>
    <row r="185" spans="1:11" ht="12.75" customHeight="1" x14ac:dyDescent="0.2">
      <c r="A185" s="463" t="s">
        <v>1604</v>
      </c>
      <c r="B185" s="470">
        <v>4105</v>
      </c>
      <c r="C185" s="551">
        <v>0</v>
      </c>
      <c r="D185" s="466">
        <v>0</v>
      </c>
      <c r="E185" s="560"/>
      <c r="F185" s="466">
        <v>0</v>
      </c>
      <c r="G185" s="466">
        <v>0</v>
      </c>
      <c r="H185" s="468"/>
      <c r="I185" s="468"/>
      <c r="J185" s="468"/>
      <c r="K185" s="468"/>
    </row>
    <row r="186" spans="1:11" ht="12.75" customHeight="1" x14ac:dyDescent="0.2">
      <c r="A186" s="463" t="s">
        <v>1606</v>
      </c>
      <c r="B186" s="470">
        <v>4107</v>
      </c>
      <c r="C186" s="551">
        <v>0</v>
      </c>
      <c r="D186" s="466">
        <v>0</v>
      </c>
      <c r="E186" s="560"/>
      <c r="F186" s="466">
        <v>0</v>
      </c>
      <c r="G186" s="466">
        <v>0</v>
      </c>
      <c r="H186" s="468"/>
      <c r="I186" s="468"/>
      <c r="J186" s="468"/>
      <c r="K186" s="468"/>
    </row>
    <row r="187" spans="1:11" ht="12.75" customHeight="1" x14ac:dyDescent="0.2">
      <c r="A187" s="463" t="s">
        <v>1605</v>
      </c>
      <c r="B187" s="470">
        <v>4199</v>
      </c>
      <c r="C187" s="551">
        <v>0</v>
      </c>
      <c r="D187" s="466">
        <v>0</v>
      </c>
      <c r="E187" s="560"/>
      <c r="F187" s="466">
        <v>0</v>
      </c>
      <c r="G187" s="466">
        <v>0</v>
      </c>
      <c r="H187" s="468"/>
      <c r="I187" s="468"/>
      <c r="J187" s="468"/>
      <c r="K187" s="468"/>
    </row>
    <row r="188" spans="1:11" ht="12.75" customHeight="1" thickBot="1" x14ac:dyDescent="0.25">
      <c r="A188" s="1702" t="s">
        <v>1607</v>
      </c>
      <c r="B188" s="1703"/>
      <c r="C188" s="1701">
        <f>SUM(C184:C187)</f>
        <v>0</v>
      </c>
      <c r="D188" s="1701">
        <f>SUM(D184:D187)</f>
        <v>0</v>
      </c>
      <c r="E188" s="560"/>
      <c r="F188" s="1701">
        <f>SUM(F184:F187)</f>
        <v>0</v>
      </c>
      <c r="G188" s="1701">
        <f>SUM(G184:G187)</f>
        <v>0</v>
      </c>
      <c r="H188" s="468"/>
      <c r="I188" s="468"/>
      <c r="J188" s="468"/>
      <c r="K188" s="468"/>
    </row>
    <row r="189" spans="1:11" ht="15.75" customHeight="1" thickTop="1" x14ac:dyDescent="0.2">
      <c r="A189" s="1598" t="s">
        <v>455</v>
      </c>
      <c r="B189" s="1603"/>
      <c r="C189" s="553"/>
      <c r="D189" s="565"/>
      <c r="E189" s="560"/>
      <c r="F189" s="553"/>
      <c r="G189" s="553"/>
      <c r="H189" s="468"/>
      <c r="I189" s="468"/>
      <c r="J189" s="468"/>
      <c r="K189" s="468"/>
    </row>
    <row r="190" spans="1:11" x14ac:dyDescent="0.2">
      <c r="A190" s="463" t="s">
        <v>1450</v>
      </c>
      <c r="B190" s="470">
        <v>4200</v>
      </c>
      <c r="C190" s="467">
        <v>0</v>
      </c>
      <c r="D190" s="468"/>
      <c r="E190" s="560"/>
      <c r="F190" s="553"/>
      <c r="G190" s="584">
        <v>0</v>
      </c>
      <c r="H190" s="468"/>
      <c r="I190" s="468"/>
      <c r="J190" s="468"/>
      <c r="K190" s="468"/>
    </row>
    <row r="191" spans="1:11" ht="12.75" customHeight="1" x14ac:dyDescent="0.2">
      <c r="A191" s="463" t="s">
        <v>1058</v>
      </c>
      <c r="B191" s="470">
        <v>4210</v>
      </c>
      <c r="C191" s="466">
        <v>0</v>
      </c>
      <c r="D191" s="468"/>
      <c r="E191" s="560"/>
      <c r="F191" s="468"/>
      <c r="G191" s="584">
        <v>0</v>
      </c>
      <c r="H191" s="468"/>
      <c r="I191" s="468"/>
      <c r="J191" s="468"/>
      <c r="K191" s="468"/>
    </row>
    <row r="192" spans="1:11" ht="12.75" customHeight="1" x14ac:dyDescent="0.2">
      <c r="A192" s="463" t="s">
        <v>1047</v>
      </c>
      <c r="B192" s="470">
        <v>4215</v>
      </c>
      <c r="C192" s="551">
        <v>0</v>
      </c>
      <c r="D192" s="468"/>
      <c r="E192" s="560"/>
      <c r="F192" s="468"/>
      <c r="G192" s="584">
        <v>0</v>
      </c>
      <c r="H192" s="468"/>
      <c r="I192" s="468"/>
      <c r="J192" s="468"/>
      <c r="K192" s="468"/>
    </row>
    <row r="193" spans="1:11" ht="12.75" customHeight="1" x14ac:dyDescent="0.2">
      <c r="A193" s="463" t="s">
        <v>1059</v>
      </c>
      <c r="B193" s="470">
        <v>4220</v>
      </c>
      <c r="C193" s="551">
        <v>0</v>
      </c>
      <c r="D193" s="468"/>
      <c r="E193" s="560"/>
      <c r="F193" s="468"/>
      <c r="G193" s="584">
        <v>0</v>
      </c>
      <c r="H193" s="468"/>
      <c r="I193" s="468"/>
      <c r="J193" s="468"/>
      <c r="K193" s="468"/>
    </row>
    <row r="194" spans="1:11" ht="12.75" customHeight="1" x14ac:dyDescent="0.2">
      <c r="A194" s="463" t="s">
        <v>1451</v>
      </c>
      <c r="B194" s="470">
        <v>4225</v>
      </c>
      <c r="C194" s="551">
        <v>0</v>
      </c>
      <c r="D194" s="468"/>
      <c r="E194" s="560"/>
      <c r="F194" s="468"/>
      <c r="G194" s="584">
        <v>0</v>
      </c>
      <c r="H194" s="468"/>
      <c r="I194" s="468"/>
      <c r="J194" s="468"/>
      <c r="K194" s="468"/>
    </row>
    <row r="195" spans="1:11" ht="12.75" customHeight="1" x14ac:dyDescent="0.2">
      <c r="A195" s="463" t="s">
        <v>1452</v>
      </c>
      <c r="B195" s="470">
        <v>4226</v>
      </c>
      <c r="C195" s="551">
        <v>0</v>
      </c>
      <c r="D195" s="468"/>
      <c r="E195" s="560"/>
      <c r="F195" s="468"/>
      <c r="G195" s="584">
        <v>0</v>
      </c>
      <c r="H195" s="468"/>
      <c r="I195" s="468"/>
      <c r="J195" s="468"/>
      <c r="K195" s="468"/>
    </row>
    <row r="196" spans="1:11" ht="12.75" customHeight="1" x14ac:dyDescent="0.2">
      <c r="A196" s="463" t="s">
        <v>792</v>
      </c>
      <c r="B196" s="470">
        <v>4240</v>
      </c>
      <c r="C196" s="489">
        <v>0</v>
      </c>
      <c r="D196" s="468"/>
      <c r="E196" s="560"/>
      <c r="F196" s="468"/>
      <c r="G196" s="585"/>
      <c r="H196" s="468"/>
      <c r="I196" s="468"/>
      <c r="J196" s="468"/>
      <c r="K196" s="468"/>
    </row>
    <row r="197" spans="1:11" ht="12.75" customHeight="1" x14ac:dyDescent="0.2">
      <c r="A197" s="463" t="s">
        <v>71</v>
      </c>
      <c r="B197" s="470">
        <v>4299</v>
      </c>
      <c r="C197" s="551">
        <v>0</v>
      </c>
      <c r="D197" s="468"/>
      <c r="E197" s="560"/>
      <c r="F197" s="468"/>
      <c r="G197" s="584">
        <v>0</v>
      </c>
      <c r="H197" s="468"/>
      <c r="I197" s="468"/>
      <c r="J197" s="468"/>
      <c r="K197" s="468"/>
    </row>
    <row r="198" spans="1:11" ht="12.75" customHeight="1" thickBot="1" x14ac:dyDescent="0.25">
      <c r="A198" s="1702" t="s">
        <v>548</v>
      </c>
      <c r="B198" s="1703"/>
      <c r="C198" s="1682">
        <f>SUM(C190:C197)</f>
        <v>0</v>
      </c>
      <c r="D198" s="468"/>
      <c r="E198" s="468"/>
      <c r="F198" s="468"/>
      <c r="G198" s="1682">
        <f>SUM(G190:G197)</f>
        <v>0</v>
      </c>
      <c r="H198" s="468"/>
      <c r="I198" s="468"/>
      <c r="J198" s="468"/>
      <c r="K198" s="468"/>
    </row>
    <row r="199" spans="1:11" ht="15.75" customHeight="1" thickTop="1" x14ac:dyDescent="0.2">
      <c r="A199" s="1598" t="s">
        <v>1138</v>
      </c>
      <c r="B199" s="1603"/>
      <c r="C199" s="553"/>
      <c r="D199" s="468"/>
      <c r="E199" s="468"/>
      <c r="F199" s="468"/>
      <c r="G199" s="468"/>
      <c r="H199" s="468"/>
      <c r="I199" s="468"/>
      <c r="J199" s="468"/>
      <c r="K199" s="468"/>
    </row>
    <row r="200" spans="1:11" ht="12.75" customHeight="1" x14ac:dyDescent="0.2">
      <c r="A200" s="463" t="s">
        <v>918</v>
      </c>
      <c r="B200" s="470">
        <v>4300</v>
      </c>
      <c r="C200" s="466">
        <v>0</v>
      </c>
      <c r="D200" s="466">
        <v>0</v>
      </c>
      <c r="E200" s="468"/>
      <c r="F200" s="466">
        <v>0</v>
      </c>
      <c r="G200" s="466">
        <v>0</v>
      </c>
      <c r="H200" s="468"/>
      <c r="I200" s="468"/>
      <c r="J200" s="468"/>
      <c r="K200" s="468"/>
    </row>
    <row r="201" spans="1:11" ht="12.75" customHeight="1" x14ac:dyDescent="0.2">
      <c r="A201" s="463" t="s">
        <v>919</v>
      </c>
      <c r="B201" s="470">
        <v>4305</v>
      </c>
      <c r="C201" s="551">
        <v>0</v>
      </c>
      <c r="D201" s="466">
        <v>0</v>
      </c>
      <c r="E201" s="468"/>
      <c r="F201" s="466">
        <v>0</v>
      </c>
      <c r="G201" s="466">
        <v>0</v>
      </c>
      <c r="H201" s="468"/>
      <c r="I201" s="468"/>
      <c r="J201" s="468"/>
      <c r="K201" s="468"/>
    </row>
    <row r="202" spans="1:11" ht="12.75" customHeight="1" x14ac:dyDescent="0.2">
      <c r="A202" s="463" t="s">
        <v>1031</v>
      </c>
      <c r="B202" s="470">
        <v>4340</v>
      </c>
      <c r="C202" s="551">
        <v>0</v>
      </c>
      <c r="D202" s="466">
        <v>0</v>
      </c>
      <c r="E202" s="468"/>
      <c r="F202" s="466">
        <v>0</v>
      </c>
      <c r="G202" s="466">
        <v>0</v>
      </c>
      <c r="H202" s="468"/>
      <c r="I202" s="468"/>
      <c r="J202" s="468"/>
      <c r="K202" s="468"/>
    </row>
    <row r="203" spans="1:11" ht="12.75" customHeight="1" x14ac:dyDescent="0.2">
      <c r="A203" s="463" t="s">
        <v>72</v>
      </c>
      <c r="B203" s="470">
        <v>4399</v>
      </c>
      <c r="C203" s="551">
        <v>0</v>
      </c>
      <c r="D203" s="466">
        <v>0</v>
      </c>
      <c r="E203" s="468"/>
      <c r="F203" s="466">
        <v>0</v>
      </c>
      <c r="G203" s="466">
        <v>0</v>
      </c>
      <c r="H203" s="468"/>
      <c r="I203" s="468"/>
      <c r="J203" s="468"/>
      <c r="K203" s="468"/>
    </row>
    <row r="204" spans="1:11" ht="12.75" customHeight="1" thickBot="1" x14ac:dyDescent="0.25">
      <c r="A204" s="1702" t="s">
        <v>400</v>
      </c>
      <c r="B204" s="1703"/>
      <c r="C204" s="1701">
        <f>SUM(C200:C203)</f>
        <v>0</v>
      </c>
      <c r="D204" s="1701">
        <f>SUM(D200:D203)</f>
        <v>0</v>
      </c>
      <c r="E204" s="468"/>
      <c r="F204" s="1701">
        <f>SUM(F200:F203)</f>
        <v>0</v>
      </c>
      <c r="G204" s="1701">
        <f>SUM(G200:G203)</f>
        <v>0</v>
      </c>
      <c r="H204" s="468"/>
      <c r="I204" s="468"/>
      <c r="J204" s="468"/>
      <c r="K204" s="468"/>
    </row>
    <row r="205" spans="1:11" ht="15.75" customHeight="1" thickTop="1" x14ac:dyDescent="0.2">
      <c r="A205" s="1598" t="s">
        <v>1139</v>
      </c>
      <c r="B205" s="1603"/>
      <c r="C205" s="553"/>
      <c r="D205" s="553"/>
      <c r="E205" s="468"/>
      <c r="F205" s="553"/>
      <c r="G205" s="553"/>
      <c r="H205" s="468"/>
      <c r="I205" s="468"/>
      <c r="J205" s="468"/>
      <c r="K205" s="468"/>
    </row>
    <row r="206" spans="1:11" ht="12.75" customHeight="1" x14ac:dyDescent="0.2">
      <c r="A206" s="463" t="s">
        <v>759</v>
      </c>
      <c r="B206" s="470">
        <v>4400</v>
      </c>
      <c r="C206" s="551">
        <v>0</v>
      </c>
      <c r="D206" s="466">
        <v>0</v>
      </c>
      <c r="E206" s="468"/>
      <c r="F206" s="466">
        <v>0</v>
      </c>
      <c r="G206" s="466">
        <v>0</v>
      </c>
      <c r="H206" s="468"/>
      <c r="I206" s="468"/>
      <c r="J206" s="468"/>
      <c r="K206" s="468"/>
    </row>
    <row r="207" spans="1:11" ht="12.75" customHeight="1" x14ac:dyDescent="0.2">
      <c r="A207" s="463" t="s">
        <v>1453</v>
      </c>
      <c r="B207" s="470">
        <v>4421</v>
      </c>
      <c r="C207" s="551">
        <v>0</v>
      </c>
      <c r="D207" s="466">
        <v>0</v>
      </c>
      <c r="E207" s="468"/>
      <c r="F207" s="466">
        <v>0</v>
      </c>
      <c r="G207" s="466">
        <v>0</v>
      </c>
      <c r="H207" s="468"/>
      <c r="I207" s="468"/>
      <c r="J207" s="468"/>
      <c r="K207" s="468"/>
    </row>
    <row r="208" spans="1:11" ht="12.75" customHeight="1" x14ac:dyDescent="0.2">
      <c r="A208" s="463" t="s">
        <v>73</v>
      </c>
      <c r="B208" s="470">
        <v>4499</v>
      </c>
      <c r="C208" s="551">
        <v>0</v>
      </c>
      <c r="D208" s="466">
        <v>0</v>
      </c>
      <c r="E208" s="468"/>
      <c r="F208" s="466">
        <v>0</v>
      </c>
      <c r="G208" s="466">
        <v>0</v>
      </c>
      <c r="H208" s="468"/>
      <c r="I208" s="468"/>
      <c r="J208" s="468"/>
      <c r="K208" s="468"/>
    </row>
    <row r="209" spans="1:11" ht="12.75" customHeight="1" thickBot="1" x14ac:dyDescent="0.25">
      <c r="A209" s="1702" t="s">
        <v>889</v>
      </c>
      <c r="B209" s="1703"/>
      <c r="C209" s="1701">
        <f>SUM(C206:C208)</f>
        <v>0</v>
      </c>
      <c r="D209" s="1701">
        <f>SUM(D206:D208)</f>
        <v>0</v>
      </c>
      <c r="E209" s="468" t="s">
        <v>1169</v>
      </c>
      <c r="F209" s="1701">
        <f>SUM(F206:F208)</f>
        <v>0</v>
      </c>
      <c r="G209" s="1701">
        <f>SUM(G206:G208)</f>
        <v>0</v>
      </c>
      <c r="H209" s="468"/>
      <c r="I209" s="468"/>
      <c r="J209" s="468"/>
      <c r="K209" s="468"/>
    </row>
    <row r="210" spans="1:11" ht="15.75" customHeight="1" thickTop="1" x14ac:dyDescent="0.2">
      <c r="A210" s="1598" t="s">
        <v>1092</v>
      </c>
      <c r="B210" s="1603"/>
      <c r="C210" s="553"/>
      <c r="D210" s="553"/>
      <c r="E210" s="468"/>
      <c r="F210" s="553"/>
      <c r="G210" s="553"/>
      <c r="H210" s="468"/>
      <c r="I210" s="468"/>
      <c r="J210" s="468"/>
      <c r="K210" s="468"/>
    </row>
    <row r="211" spans="1:11" ht="12.75" customHeight="1" x14ac:dyDescent="0.2">
      <c r="A211" s="463" t="s">
        <v>1052</v>
      </c>
      <c r="B211" s="470">
        <v>4600</v>
      </c>
      <c r="C211" s="551">
        <v>0</v>
      </c>
      <c r="D211" s="466">
        <v>0</v>
      </c>
      <c r="E211" s="468"/>
      <c r="F211" s="466">
        <v>0</v>
      </c>
      <c r="G211" s="466">
        <v>0</v>
      </c>
      <c r="H211" s="468"/>
      <c r="I211" s="468"/>
      <c r="J211" s="468"/>
      <c r="K211" s="468"/>
    </row>
    <row r="212" spans="1:11" ht="12.75" customHeight="1" x14ac:dyDescent="0.2">
      <c r="A212" s="463" t="s">
        <v>1053</v>
      </c>
      <c r="B212" s="470">
        <v>4605</v>
      </c>
      <c r="C212" s="551">
        <v>0</v>
      </c>
      <c r="D212" s="466">
        <v>0</v>
      </c>
      <c r="E212" s="468"/>
      <c r="F212" s="466">
        <v>0</v>
      </c>
      <c r="G212" s="466">
        <v>0</v>
      </c>
      <c r="H212" s="468"/>
      <c r="I212" s="468"/>
      <c r="J212" s="468"/>
      <c r="K212" s="468"/>
    </row>
    <row r="213" spans="1:11" ht="12.75" customHeight="1" x14ac:dyDescent="0.2">
      <c r="A213" s="463" t="s">
        <v>1454</v>
      </c>
      <c r="B213" s="557">
        <v>4620</v>
      </c>
      <c r="C213" s="551">
        <v>0</v>
      </c>
      <c r="D213" s="466">
        <v>0</v>
      </c>
      <c r="E213" s="468"/>
      <c r="F213" s="466">
        <v>0</v>
      </c>
      <c r="G213" s="466">
        <v>0</v>
      </c>
      <c r="H213" s="468"/>
      <c r="I213" s="468"/>
      <c r="J213" s="468"/>
      <c r="K213" s="468"/>
    </row>
    <row r="214" spans="1:11" ht="12.75" customHeight="1" x14ac:dyDescent="0.2">
      <c r="A214" s="463" t="s">
        <v>1054</v>
      </c>
      <c r="B214" s="470">
        <v>4625</v>
      </c>
      <c r="C214" s="551">
        <v>0</v>
      </c>
      <c r="D214" s="466">
        <v>0</v>
      </c>
      <c r="E214" s="468"/>
      <c r="F214" s="466">
        <v>0</v>
      </c>
      <c r="G214" s="466">
        <v>0</v>
      </c>
      <c r="H214" s="468"/>
      <c r="I214" s="468"/>
      <c r="J214" s="468"/>
      <c r="K214" s="468"/>
    </row>
    <row r="215" spans="1:11" ht="12.75" customHeight="1" x14ac:dyDescent="0.2">
      <c r="A215" s="463" t="s">
        <v>1055</v>
      </c>
      <c r="B215" s="470">
        <v>4630</v>
      </c>
      <c r="C215" s="551">
        <v>0</v>
      </c>
      <c r="D215" s="466">
        <v>0</v>
      </c>
      <c r="E215" s="468"/>
      <c r="F215" s="466">
        <v>0</v>
      </c>
      <c r="G215" s="466">
        <v>0</v>
      </c>
      <c r="H215" s="468"/>
      <c r="I215" s="468"/>
      <c r="J215" s="468"/>
      <c r="K215" s="468"/>
    </row>
    <row r="216" spans="1:11" ht="12.75" customHeight="1" x14ac:dyDescent="0.2">
      <c r="A216" s="1499" t="s">
        <v>74</v>
      </c>
      <c r="B216" s="557">
        <v>4699</v>
      </c>
      <c r="C216" s="551">
        <v>0</v>
      </c>
      <c r="D216" s="466">
        <v>0</v>
      </c>
      <c r="E216" s="468"/>
      <c r="F216" s="466">
        <v>0</v>
      </c>
      <c r="G216" s="466">
        <v>0</v>
      </c>
      <c r="H216" s="468"/>
      <c r="I216" s="468"/>
      <c r="J216" s="468"/>
      <c r="K216" s="468"/>
    </row>
    <row r="217" spans="1:11" ht="12.75" customHeight="1" thickBot="1" x14ac:dyDescent="0.25">
      <c r="A217" s="1702" t="s">
        <v>447</v>
      </c>
      <c r="B217" s="1703"/>
      <c r="C217" s="1701">
        <f>SUM(C211:C216)</f>
        <v>0</v>
      </c>
      <c r="D217" s="1701">
        <f>SUM(D211:D216)</f>
        <v>0</v>
      </c>
      <c r="E217" s="468"/>
      <c r="F217" s="1701">
        <f>SUM(F211:F216)</f>
        <v>0</v>
      </c>
      <c r="G217" s="1701">
        <f>SUM(G211:G216)</f>
        <v>0</v>
      </c>
      <c r="H217" s="468"/>
      <c r="I217" s="468"/>
      <c r="J217" s="468"/>
      <c r="K217" s="468"/>
    </row>
    <row r="218" spans="1:11" ht="15.75" customHeight="1" thickTop="1" x14ac:dyDescent="0.2">
      <c r="A218" s="1598" t="s">
        <v>1093</v>
      </c>
      <c r="B218" s="1603"/>
      <c r="C218" s="553"/>
      <c r="D218" s="553"/>
      <c r="E218" s="468"/>
      <c r="F218" s="553"/>
      <c r="G218" s="553"/>
      <c r="H218" s="468"/>
      <c r="I218" s="468"/>
      <c r="J218" s="468"/>
      <c r="K218" s="468"/>
    </row>
    <row r="219" spans="1:11" ht="12.75" customHeight="1" x14ac:dyDescent="0.2">
      <c r="A219" s="463" t="s">
        <v>787</v>
      </c>
      <c r="B219" s="470">
        <v>4770</v>
      </c>
      <c r="C219" s="551">
        <v>0</v>
      </c>
      <c r="D219" s="466">
        <v>0</v>
      </c>
      <c r="E219" s="468"/>
      <c r="F219" s="468"/>
      <c r="G219" s="466">
        <v>0</v>
      </c>
      <c r="H219" s="468"/>
      <c r="I219" s="468"/>
      <c r="J219" s="468"/>
      <c r="K219" s="468"/>
    </row>
    <row r="220" spans="1:11" ht="12.75" customHeight="1" x14ac:dyDescent="0.2">
      <c r="A220" s="463" t="s">
        <v>67</v>
      </c>
      <c r="B220" s="470">
        <v>4799</v>
      </c>
      <c r="C220" s="551">
        <v>0</v>
      </c>
      <c r="D220" s="466">
        <v>0</v>
      </c>
      <c r="E220" s="468"/>
      <c r="F220" s="468"/>
      <c r="G220" s="466">
        <v>0</v>
      </c>
      <c r="H220" s="468"/>
      <c r="I220" s="468"/>
      <c r="J220" s="468"/>
      <c r="K220" s="468"/>
    </row>
    <row r="221" spans="1:11" ht="12.75" customHeight="1" thickBot="1" x14ac:dyDescent="0.25">
      <c r="A221" s="1717" t="s">
        <v>1085</v>
      </c>
      <c r="B221" s="1718"/>
      <c r="C221" s="1701">
        <f>SUM(C219:C220)</f>
        <v>0</v>
      </c>
      <c r="D221" s="1701">
        <f>SUM(D219:D220)</f>
        <v>0</v>
      </c>
      <c r="E221" s="468"/>
      <c r="F221" s="468"/>
      <c r="G221" s="1701">
        <f>SUM(G219:G220)</f>
        <v>0</v>
      </c>
      <c r="H221" s="468"/>
      <c r="I221" s="468"/>
      <c r="J221" s="468"/>
      <c r="K221" s="468"/>
    </row>
    <row r="222" spans="1:11" ht="12.75" customHeight="1" thickTop="1" thickBot="1" x14ac:dyDescent="0.25">
      <c r="A222" s="493" t="s">
        <v>757</v>
      </c>
      <c r="B222" s="491">
        <v>4810</v>
      </c>
      <c r="C222" s="574">
        <v>0</v>
      </c>
      <c r="D222" s="575">
        <v>0</v>
      </c>
      <c r="E222" s="468"/>
      <c r="F222" s="468"/>
      <c r="G222" s="575">
        <v>0</v>
      </c>
      <c r="H222" s="468"/>
      <c r="I222" s="468"/>
      <c r="J222" s="468"/>
      <c r="K222" s="468"/>
    </row>
    <row r="223" spans="1:11" ht="12.75" customHeight="1" thickTop="1" x14ac:dyDescent="0.2">
      <c r="A223" s="493" t="s">
        <v>350</v>
      </c>
      <c r="B223" s="491">
        <v>4850</v>
      </c>
      <c r="C223" s="489">
        <v>0</v>
      </c>
      <c r="D223" s="467">
        <v>0</v>
      </c>
      <c r="E223" s="467">
        <v>0</v>
      </c>
      <c r="F223" s="467">
        <v>0</v>
      </c>
      <c r="G223" s="467">
        <v>0</v>
      </c>
      <c r="H223" s="467">
        <v>0</v>
      </c>
      <c r="I223" s="468"/>
      <c r="J223" s="467">
        <v>0</v>
      </c>
      <c r="K223" s="467">
        <v>0</v>
      </c>
    </row>
    <row r="224" spans="1:11" ht="12.75" customHeight="1" x14ac:dyDescent="0.2">
      <c r="A224" s="493" t="s">
        <v>351</v>
      </c>
      <c r="B224" s="491">
        <v>4851</v>
      </c>
      <c r="C224" s="489">
        <v>0</v>
      </c>
      <c r="D224" s="467">
        <v>0</v>
      </c>
      <c r="E224" s="468"/>
      <c r="F224" s="474">
        <v>0</v>
      </c>
      <c r="G224" s="467">
        <v>0</v>
      </c>
      <c r="H224" s="468"/>
      <c r="I224" s="468"/>
      <c r="J224" s="468"/>
      <c r="K224" s="468"/>
    </row>
    <row r="225" spans="1:11" ht="12.75" customHeight="1" x14ac:dyDescent="0.2">
      <c r="A225" s="493" t="s">
        <v>352</v>
      </c>
      <c r="B225" s="491">
        <v>4852</v>
      </c>
      <c r="C225" s="489">
        <v>0</v>
      </c>
      <c r="D225" s="467">
        <v>0</v>
      </c>
      <c r="E225" s="467">
        <v>0</v>
      </c>
      <c r="F225" s="467">
        <v>0</v>
      </c>
      <c r="G225" s="467">
        <v>0</v>
      </c>
      <c r="H225" s="467">
        <v>0</v>
      </c>
      <c r="I225" s="468"/>
      <c r="J225" s="467">
        <v>0</v>
      </c>
      <c r="K225" s="467">
        <v>0</v>
      </c>
    </row>
    <row r="226" spans="1:11" ht="12.75" customHeight="1" x14ac:dyDescent="0.2">
      <c r="A226" s="493" t="s">
        <v>353</v>
      </c>
      <c r="B226" s="491">
        <v>4853</v>
      </c>
      <c r="C226" s="489">
        <v>0</v>
      </c>
      <c r="D226" s="467">
        <v>0</v>
      </c>
      <c r="E226" s="467">
        <v>0</v>
      </c>
      <c r="F226" s="467">
        <v>0</v>
      </c>
      <c r="G226" s="467">
        <v>0</v>
      </c>
      <c r="H226" s="467">
        <v>0</v>
      </c>
      <c r="I226" s="468"/>
      <c r="J226" s="467">
        <v>0</v>
      </c>
      <c r="K226" s="467">
        <v>0</v>
      </c>
    </row>
    <row r="227" spans="1:11" ht="12.75" customHeight="1" x14ac:dyDescent="0.2">
      <c r="A227" s="493" t="s">
        <v>354</v>
      </c>
      <c r="B227" s="491">
        <v>4854</v>
      </c>
      <c r="C227" s="489">
        <v>0</v>
      </c>
      <c r="D227" s="467">
        <v>0</v>
      </c>
      <c r="E227" s="467">
        <v>0</v>
      </c>
      <c r="F227" s="467">
        <v>0</v>
      </c>
      <c r="G227" s="467">
        <v>0</v>
      </c>
      <c r="H227" s="467">
        <v>0</v>
      </c>
      <c r="I227" s="468"/>
      <c r="J227" s="467">
        <v>0</v>
      </c>
      <c r="K227" s="467">
        <v>0</v>
      </c>
    </row>
    <row r="228" spans="1:11" ht="12.75" customHeight="1" x14ac:dyDescent="0.2">
      <c r="A228" s="493" t="s">
        <v>464</v>
      </c>
      <c r="B228" s="491">
        <v>4855</v>
      </c>
      <c r="C228" s="489">
        <v>0</v>
      </c>
      <c r="D228" s="467">
        <v>0</v>
      </c>
      <c r="E228" s="467">
        <v>0</v>
      </c>
      <c r="F228" s="467">
        <v>0</v>
      </c>
      <c r="G228" s="467">
        <v>0</v>
      </c>
      <c r="H228" s="467">
        <v>0</v>
      </c>
      <c r="I228" s="468"/>
      <c r="J228" s="467">
        <v>0</v>
      </c>
      <c r="K228" s="467">
        <v>0</v>
      </c>
    </row>
    <row r="229" spans="1:11" ht="12.75" customHeight="1" x14ac:dyDescent="0.2">
      <c r="A229" s="493" t="s">
        <v>355</v>
      </c>
      <c r="B229" s="491">
        <v>4856</v>
      </c>
      <c r="C229" s="489">
        <v>0</v>
      </c>
      <c r="D229" s="467">
        <v>0</v>
      </c>
      <c r="E229" s="467">
        <v>0</v>
      </c>
      <c r="F229" s="467">
        <v>0</v>
      </c>
      <c r="G229" s="467">
        <v>0</v>
      </c>
      <c r="H229" s="467">
        <v>0</v>
      </c>
      <c r="I229" s="468"/>
      <c r="J229" s="467">
        <v>0</v>
      </c>
      <c r="K229" s="467">
        <v>0</v>
      </c>
    </row>
    <row r="230" spans="1:11" ht="12.75" customHeight="1" x14ac:dyDescent="0.2">
      <c r="A230" s="493" t="s">
        <v>356</v>
      </c>
      <c r="B230" s="491">
        <v>4857</v>
      </c>
      <c r="C230" s="489">
        <v>0</v>
      </c>
      <c r="D230" s="467">
        <v>0</v>
      </c>
      <c r="E230" s="467">
        <v>0</v>
      </c>
      <c r="F230" s="467">
        <v>0</v>
      </c>
      <c r="G230" s="467">
        <v>0</v>
      </c>
      <c r="H230" s="467">
        <v>0</v>
      </c>
      <c r="I230" s="468"/>
      <c r="J230" s="467">
        <v>0</v>
      </c>
      <c r="K230" s="467">
        <v>0</v>
      </c>
    </row>
    <row r="231" spans="1:11" ht="12.75" customHeight="1" x14ac:dyDescent="0.2">
      <c r="A231" s="493" t="s">
        <v>357</v>
      </c>
      <c r="B231" s="491">
        <v>4860</v>
      </c>
      <c r="C231" s="489">
        <v>0</v>
      </c>
      <c r="D231" s="467">
        <v>0</v>
      </c>
      <c r="E231" s="467">
        <v>0</v>
      </c>
      <c r="F231" s="467">
        <v>0</v>
      </c>
      <c r="G231" s="467">
        <v>0</v>
      </c>
      <c r="H231" s="467">
        <v>0</v>
      </c>
      <c r="I231" s="468"/>
      <c r="J231" s="467">
        <v>0</v>
      </c>
      <c r="K231" s="467">
        <v>0</v>
      </c>
    </row>
    <row r="232" spans="1:11" ht="12.75" customHeight="1" x14ac:dyDescent="0.2">
      <c r="A232" s="493" t="s">
        <v>358</v>
      </c>
      <c r="B232" s="491">
        <v>4861</v>
      </c>
      <c r="C232" s="489">
        <v>0</v>
      </c>
      <c r="D232" s="467">
        <v>0</v>
      </c>
      <c r="E232" s="467">
        <v>0</v>
      </c>
      <c r="F232" s="467">
        <v>0</v>
      </c>
      <c r="G232" s="467">
        <v>0</v>
      </c>
      <c r="H232" s="467">
        <v>0</v>
      </c>
      <c r="I232" s="468"/>
      <c r="J232" s="467">
        <v>0</v>
      </c>
      <c r="K232" s="467">
        <v>0</v>
      </c>
    </row>
    <row r="233" spans="1:11" ht="12.75" customHeight="1" x14ac:dyDescent="0.2">
      <c r="A233" s="493" t="s">
        <v>359</v>
      </c>
      <c r="B233" s="491">
        <v>4862</v>
      </c>
      <c r="C233" s="489">
        <v>0</v>
      </c>
      <c r="D233" s="467">
        <v>0</v>
      </c>
      <c r="E233" s="475"/>
      <c r="F233" s="467">
        <v>0</v>
      </c>
      <c r="G233" s="467">
        <v>0</v>
      </c>
      <c r="H233" s="475"/>
      <c r="I233" s="468"/>
      <c r="J233" s="475"/>
      <c r="K233" s="475"/>
    </row>
    <row r="234" spans="1:11" ht="12.75" customHeight="1" x14ac:dyDescent="0.2">
      <c r="A234" s="493" t="s">
        <v>360</v>
      </c>
      <c r="B234" s="491">
        <v>4863</v>
      </c>
      <c r="C234" s="489">
        <v>0</v>
      </c>
      <c r="D234" s="467">
        <v>0</v>
      </c>
      <c r="E234" s="468"/>
      <c r="F234" s="475"/>
      <c r="G234" s="526"/>
      <c r="H234" s="468"/>
      <c r="I234" s="468"/>
      <c r="J234" s="468"/>
      <c r="K234" s="468"/>
    </row>
    <row r="235" spans="1:11" ht="12.75" customHeight="1" x14ac:dyDescent="0.2">
      <c r="A235" s="493" t="s">
        <v>469</v>
      </c>
      <c r="B235" s="491">
        <v>4864</v>
      </c>
      <c r="C235" s="489">
        <v>0</v>
      </c>
      <c r="D235" s="467">
        <v>0</v>
      </c>
      <c r="E235" s="467">
        <v>0</v>
      </c>
      <c r="F235" s="467">
        <v>0</v>
      </c>
      <c r="G235" s="467">
        <v>0</v>
      </c>
      <c r="H235" s="467">
        <v>0</v>
      </c>
      <c r="I235" s="468"/>
      <c r="J235" s="467">
        <v>0</v>
      </c>
      <c r="K235" s="467">
        <v>0</v>
      </c>
    </row>
    <row r="236" spans="1:11" ht="12.75" customHeight="1" x14ac:dyDescent="0.2">
      <c r="A236" s="493" t="s">
        <v>470</v>
      </c>
      <c r="B236" s="491">
        <v>4865</v>
      </c>
      <c r="C236" s="489">
        <v>0</v>
      </c>
      <c r="D236" s="467">
        <v>0</v>
      </c>
      <c r="E236" s="467">
        <v>0</v>
      </c>
      <c r="F236" s="467">
        <v>0</v>
      </c>
      <c r="G236" s="467">
        <v>0</v>
      </c>
      <c r="H236" s="467">
        <v>0</v>
      </c>
      <c r="I236" s="468"/>
      <c r="J236" s="467">
        <v>0</v>
      </c>
      <c r="K236" s="467">
        <v>0</v>
      </c>
    </row>
    <row r="237" spans="1:11" ht="12.75" customHeight="1" x14ac:dyDescent="0.2">
      <c r="A237" s="493" t="s">
        <v>468</v>
      </c>
      <c r="B237" s="491">
        <v>4866</v>
      </c>
      <c r="C237" s="489">
        <v>0</v>
      </c>
      <c r="D237" s="467">
        <v>0</v>
      </c>
      <c r="E237" s="467">
        <v>0</v>
      </c>
      <c r="F237" s="467">
        <v>0</v>
      </c>
      <c r="G237" s="467">
        <v>0</v>
      </c>
      <c r="H237" s="467">
        <v>0</v>
      </c>
      <c r="I237" s="468"/>
      <c r="J237" s="467">
        <v>0</v>
      </c>
      <c r="K237" s="467">
        <v>0</v>
      </c>
    </row>
    <row r="238" spans="1:11" ht="12.75" customHeight="1" x14ac:dyDescent="0.2">
      <c r="A238" s="493" t="s">
        <v>467</v>
      </c>
      <c r="B238" s="491">
        <v>4867</v>
      </c>
      <c r="C238" s="489">
        <v>0</v>
      </c>
      <c r="D238" s="467">
        <v>0</v>
      </c>
      <c r="E238" s="467">
        <v>0</v>
      </c>
      <c r="F238" s="467">
        <v>0</v>
      </c>
      <c r="G238" s="467">
        <v>0</v>
      </c>
      <c r="H238" s="467">
        <v>0</v>
      </c>
      <c r="I238" s="468"/>
      <c r="J238" s="467">
        <v>0</v>
      </c>
      <c r="K238" s="467">
        <v>0</v>
      </c>
    </row>
    <row r="239" spans="1:11" ht="12.75" customHeight="1" x14ac:dyDescent="0.2">
      <c r="A239" s="493" t="s">
        <v>466</v>
      </c>
      <c r="B239" s="491">
        <v>4868</v>
      </c>
      <c r="C239" s="489">
        <v>0</v>
      </c>
      <c r="D239" s="467">
        <v>0</v>
      </c>
      <c r="E239" s="467">
        <v>0</v>
      </c>
      <c r="F239" s="467">
        <v>0</v>
      </c>
      <c r="G239" s="467">
        <v>0</v>
      </c>
      <c r="H239" s="467">
        <v>0</v>
      </c>
      <c r="I239" s="468"/>
      <c r="J239" s="467">
        <v>0</v>
      </c>
      <c r="K239" s="467">
        <v>0</v>
      </c>
    </row>
    <row r="240" spans="1:11" ht="12.75" customHeight="1" x14ac:dyDescent="0.2">
      <c r="A240" s="493" t="s">
        <v>465</v>
      </c>
      <c r="B240" s="491">
        <v>4869</v>
      </c>
      <c r="C240" s="489">
        <v>0</v>
      </c>
      <c r="D240" s="467">
        <v>0</v>
      </c>
      <c r="E240" s="467">
        <v>0</v>
      </c>
      <c r="F240" s="467">
        <v>0</v>
      </c>
      <c r="G240" s="467">
        <v>0</v>
      </c>
      <c r="H240" s="467">
        <v>0</v>
      </c>
      <c r="I240" s="468"/>
      <c r="J240" s="467">
        <v>0</v>
      </c>
      <c r="K240" s="467">
        <v>0</v>
      </c>
    </row>
    <row r="241" spans="1:11" ht="12.75" customHeight="1" x14ac:dyDescent="0.2">
      <c r="A241" s="493" t="s">
        <v>1128</v>
      </c>
      <c r="B241" s="491">
        <v>4870</v>
      </c>
      <c r="C241" s="489">
        <v>0</v>
      </c>
      <c r="D241" s="467">
        <v>0</v>
      </c>
      <c r="E241" s="467">
        <v>0</v>
      </c>
      <c r="F241" s="467">
        <v>0</v>
      </c>
      <c r="G241" s="467">
        <v>0</v>
      </c>
      <c r="H241" s="467">
        <v>0</v>
      </c>
      <c r="I241" s="468"/>
      <c r="J241" s="467">
        <v>0</v>
      </c>
      <c r="K241" s="467">
        <v>0</v>
      </c>
    </row>
    <row r="242" spans="1:11" ht="12.75" customHeight="1" x14ac:dyDescent="0.2">
      <c r="A242" s="493" t="s">
        <v>788</v>
      </c>
      <c r="B242" s="491">
        <v>4871</v>
      </c>
      <c r="C242" s="489">
        <v>0</v>
      </c>
      <c r="D242" s="467">
        <v>0</v>
      </c>
      <c r="E242" s="467">
        <v>0</v>
      </c>
      <c r="F242" s="467">
        <v>0</v>
      </c>
      <c r="G242" s="467">
        <v>0</v>
      </c>
      <c r="H242" s="467">
        <v>0</v>
      </c>
      <c r="I242" s="468"/>
      <c r="J242" s="467">
        <v>0</v>
      </c>
      <c r="K242" s="467">
        <v>0</v>
      </c>
    </row>
    <row r="243" spans="1:11" ht="12.75" customHeight="1" x14ac:dyDescent="0.2">
      <c r="A243" s="493" t="s">
        <v>789</v>
      </c>
      <c r="B243" s="491">
        <v>4872</v>
      </c>
      <c r="C243" s="489">
        <v>0</v>
      </c>
      <c r="D243" s="467">
        <v>0</v>
      </c>
      <c r="E243" s="467">
        <v>0</v>
      </c>
      <c r="F243" s="467">
        <v>0</v>
      </c>
      <c r="G243" s="467">
        <v>0</v>
      </c>
      <c r="H243" s="467">
        <v>0</v>
      </c>
      <c r="I243" s="468"/>
      <c r="J243" s="467">
        <v>0</v>
      </c>
      <c r="K243" s="467">
        <v>0</v>
      </c>
    </row>
    <row r="244" spans="1:11" ht="12.75" customHeight="1" x14ac:dyDescent="0.2">
      <c r="A244" s="493" t="s">
        <v>790</v>
      </c>
      <c r="B244" s="491">
        <v>4873</v>
      </c>
      <c r="C244" s="489">
        <v>0</v>
      </c>
      <c r="D244" s="467">
        <v>0</v>
      </c>
      <c r="E244" s="467">
        <v>0</v>
      </c>
      <c r="F244" s="467">
        <v>0</v>
      </c>
      <c r="G244" s="467">
        <v>0</v>
      </c>
      <c r="H244" s="467">
        <v>0</v>
      </c>
      <c r="I244" s="468"/>
      <c r="J244" s="467">
        <v>0</v>
      </c>
      <c r="K244" s="467">
        <v>0</v>
      </c>
    </row>
    <row r="245" spans="1:11" ht="12.75" customHeight="1" x14ac:dyDescent="0.2">
      <c r="A245" s="493" t="s">
        <v>791</v>
      </c>
      <c r="B245" s="491">
        <v>4874</v>
      </c>
      <c r="C245" s="489">
        <v>0</v>
      </c>
      <c r="D245" s="467">
        <v>0</v>
      </c>
      <c r="E245" s="467">
        <v>0</v>
      </c>
      <c r="F245" s="467">
        <v>0</v>
      </c>
      <c r="G245" s="467">
        <v>0</v>
      </c>
      <c r="H245" s="467">
        <v>0</v>
      </c>
      <c r="I245" s="468"/>
      <c r="J245" s="467">
        <v>0</v>
      </c>
      <c r="K245" s="467">
        <v>0</v>
      </c>
    </row>
    <row r="246" spans="1:11" ht="12.75" customHeight="1" x14ac:dyDescent="0.2">
      <c r="A246" s="493" t="s">
        <v>471</v>
      </c>
      <c r="B246" s="491">
        <v>4875</v>
      </c>
      <c r="C246" s="489">
        <v>0</v>
      </c>
      <c r="D246" s="467">
        <v>0</v>
      </c>
      <c r="E246" s="467">
        <v>0</v>
      </c>
      <c r="F246" s="467">
        <v>0</v>
      </c>
      <c r="G246" s="467">
        <v>0</v>
      </c>
      <c r="H246" s="467">
        <v>0</v>
      </c>
      <c r="I246" s="468"/>
      <c r="J246" s="467">
        <v>0</v>
      </c>
      <c r="K246" s="467">
        <v>0</v>
      </c>
    </row>
    <row r="247" spans="1:11" ht="12.75" customHeight="1" x14ac:dyDescent="0.2">
      <c r="A247" s="493" t="s">
        <v>770</v>
      </c>
      <c r="B247" s="491">
        <v>4876</v>
      </c>
      <c r="C247" s="489">
        <v>0</v>
      </c>
      <c r="D247" s="467">
        <v>0</v>
      </c>
      <c r="E247" s="467">
        <v>0</v>
      </c>
      <c r="F247" s="467">
        <v>0</v>
      </c>
      <c r="G247" s="467">
        <v>0</v>
      </c>
      <c r="H247" s="467">
        <v>0</v>
      </c>
      <c r="I247" s="468"/>
      <c r="J247" s="467">
        <v>0</v>
      </c>
      <c r="K247" s="467">
        <v>0</v>
      </c>
    </row>
    <row r="248" spans="1:11" ht="12.75" customHeight="1" x14ac:dyDescent="0.2">
      <c r="A248" s="493" t="s">
        <v>771</v>
      </c>
      <c r="B248" s="491">
        <v>4877</v>
      </c>
      <c r="C248" s="489">
        <v>0</v>
      </c>
      <c r="D248" s="467">
        <v>0</v>
      </c>
      <c r="E248" s="467">
        <v>0</v>
      </c>
      <c r="F248" s="467">
        <v>0</v>
      </c>
      <c r="G248" s="467">
        <v>0</v>
      </c>
      <c r="H248" s="467">
        <v>0</v>
      </c>
      <c r="I248" s="468"/>
      <c r="J248" s="467">
        <v>0</v>
      </c>
      <c r="K248" s="467">
        <v>0</v>
      </c>
    </row>
    <row r="249" spans="1:11" ht="12.75" customHeight="1" x14ac:dyDescent="0.2">
      <c r="A249" s="493" t="s">
        <v>772</v>
      </c>
      <c r="B249" s="491">
        <v>4878</v>
      </c>
      <c r="C249" s="489">
        <v>0</v>
      </c>
      <c r="D249" s="467">
        <v>0</v>
      </c>
      <c r="E249" s="467">
        <v>0</v>
      </c>
      <c r="F249" s="467">
        <v>0</v>
      </c>
      <c r="G249" s="467">
        <v>0</v>
      </c>
      <c r="H249" s="467">
        <v>0</v>
      </c>
      <c r="I249" s="468"/>
      <c r="J249" s="467">
        <v>0</v>
      </c>
      <c r="K249" s="467">
        <v>0</v>
      </c>
    </row>
    <row r="250" spans="1:11" ht="12.75" customHeight="1" x14ac:dyDescent="0.2">
      <c r="A250" s="493" t="s">
        <v>773</v>
      </c>
      <c r="B250" s="491">
        <v>4879</v>
      </c>
      <c r="C250" s="489">
        <v>0</v>
      </c>
      <c r="D250" s="467">
        <v>0</v>
      </c>
      <c r="E250" s="467">
        <v>0</v>
      </c>
      <c r="F250" s="467">
        <v>0</v>
      </c>
      <c r="G250" s="467">
        <v>0</v>
      </c>
      <c r="H250" s="467">
        <v>0</v>
      </c>
      <c r="I250" s="468"/>
      <c r="J250" s="467">
        <v>0</v>
      </c>
      <c r="K250" s="467">
        <v>0</v>
      </c>
    </row>
    <row r="251" spans="1:11" ht="12.75" customHeight="1" x14ac:dyDescent="0.2">
      <c r="A251" s="225" t="s">
        <v>1455</v>
      </c>
      <c r="B251" s="586">
        <v>4880</v>
      </c>
      <c r="C251" s="489">
        <v>0</v>
      </c>
      <c r="D251" s="467">
        <v>0</v>
      </c>
      <c r="E251" s="467">
        <v>0</v>
      </c>
      <c r="F251" s="467">
        <v>0</v>
      </c>
      <c r="G251" s="467">
        <v>0</v>
      </c>
      <c r="H251" s="467">
        <v>0</v>
      </c>
      <c r="I251" s="468"/>
      <c r="J251" s="467">
        <v>0</v>
      </c>
      <c r="K251" s="467">
        <v>0</v>
      </c>
    </row>
    <row r="252" spans="1:11" ht="12.75" customHeight="1" thickBot="1" x14ac:dyDescent="0.25">
      <c r="A252" s="1719" t="s">
        <v>774</v>
      </c>
      <c r="B252" s="1720"/>
      <c r="C252" s="1712">
        <f t="shared" ref="C252:H252" si="9">SUM(C223:C251)</f>
        <v>0</v>
      </c>
      <c r="D252" s="1701">
        <f t="shared" si="9"/>
        <v>0</v>
      </c>
      <c r="E252" s="1701">
        <f t="shared" si="9"/>
        <v>0</v>
      </c>
      <c r="F252" s="1701">
        <f t="shared" si="9"/>
        <v>0</v>
      </c>
      <c r="G252" s="1701">
        <f t="shared" si="9"/>
        <v>0</v>
      </c>
      <c r="H252" s="1701">
        <f t="shared" si="9"/>
        <v>0</v>
      </c>
      <c r="I252" s="553"/>
      <c r="J252" s="1701">
        <f>SUM(J223:J251)</f>
        <v>0</v>
      </c>
      <c r="K252" s="1682">
        <f>SUM(K223:K251)</f>
        <v>0</v>
      </c>
    </row>
    <row r="253" spans="1:11" ht="12.75" customHeight="1" thickTop="1" thickBot="1" x14ac:dyDescent="0.25">
      <c r="A253" s="1500" t="s">
        <v>1421</v>
      </c>
      <c r="B253" s="587">
        <v>4901</v>
      </c>
      <c r="C253" s="588" t="s">
        <v>1169</v>
      </c>
      <c r="D253" s="469"/>
      <c r="E253" s="468"/>
      <c r="F253" s="468"/>
      <c r="G253" s="468"/>
      <c r="H253" s="468"/>
      <c r="I253" s="468"/>
      <c r="J253" s="468"/>
      <c r="K253" s="468"/>
    </row>
    <row r="254" spans="1:11" ht="12.75" customHeight="1" thickTop="1" thickBot="1" x14ac:dyDescent="0.25">
      <c r="A254" s="1501" t="s">
        <v>1463</v>
      </c>
      <c r="B254" s="589">
        <v>4902</v>
      </c>
      <c r="C254" s="590" t="s">
        <v>1169</v>
      </c>
      <c r="D254" s="591" t="s">
        <v>1169</v>
      </c>
      <c r="E254" s="469"/>
      <c r="F254" s="591" t="s">
        <v>1169</v>
      </c>
      <c r="G254" s="591" t="s">
        <v>1169</v>
      </c>
      <c r="H254" s="469"/>
      <c r="I254" s="468"/>
      <c r="J254" s="469"/>
      <c r="K254" s="469"/>
    </row>
    <row r="255" spans="1:11" ht="12.75" customHeight="1" thickTop="1" thickBot="1" x14ac:dyDescent="0.25">
      <c r="A255" s="463" t="s">
        <v>1456</v>
      </c>
      <c r="B255" s="470">
        <v>4905</v>
      </c>
      <c r="C255" s="572">
        <v>0</v>
      </c>
      <c r="D255" s="468"/>
      <c r="E255" s="468"/>
      <c r="F255" s="577">
        <v>0</v>
      </c>
      <c r="G255" s="572">
        <v>0</v>
      </c>
      <c r="H255" s="468"/>
      <c r="I255" s="468"/>
      <c r="J255" s="468"/>
      <c r="K255" s="468"/>
    </row>
    <row r="256" spans="1:11" ht="12.75" customHeight="1" thickTop="1" thickBot="1" x14ac:dyDescent="0.25">
      <c r="A256" s="463" t="s">
        <v>1457</v>
      </c>
      <c r="B256" s="470">
        <v>4909</v>
      </c>
      <c r="C256" s="575">
        <v>0</v>
      </c>
      <c r="D256" s="468"/>
      <c r="E256" s="468"/>
      <c r="F256" s="575">
        <v>0</v>
      </c>
      <c r="G256" s="575">
        <v>0</v>
      </c>
      <c r="H256" s="468"/>
      <c r="I256" s="468"/>
      <c r="J256" s="468"/>
      <c r="K256" s="468"/>
    </row>
    <row r="257" spans="1:11" ht="12.75" customHeight="1" thickTop="1" thickBot="1" x14ac:dyDescent="0.25">
      <c r="A257" s="463" t="s">
        <v>193</v>
      </c>
      <c r="B257" s="470">
        <v>4920</v>
      </c>
      <c r="C257" s="575">
        <v>0</v>
      </c>
      <c r="D257" s="577">
        <v>0</v>
      </c>
      <c r="E257" s="468"/>
      <c r="F257" s="572">
        <v>0</v>
      </c>
      <c r="G257" s="572">
        <v>0</v>
      </c>
      <c r="H257" s="468"/>
      <c r="I257" s="468"/>
      <c r="J257" s="468"/>
      <c r="K257" s="468"/>
    </row>
    <row r="258" spans="1:11" ht="12.75" customHeight="1" thickTop="1" thickBot="1" x14ac:dyDescent="0.25">
      <c r="A258" s="463" t="s">
        <v>421</v>
      </c>
      <c r="B258" s="470">
        <v>4930</v>
      </c>
      <c r="C258" s="575">
        <v>0</v>
      </c>
      <c r="D258" s="575">
        <v>0</v>
      </c>
      <c r="E258" s="468"/>
      <c r="F258" s="575">
        <v>0</v>
      </c>
      <c r="G258" s="575">
        <v>0</v>
      </c>
      <c r="H258" s="468"/>
      <c r="I258" s="468"/>
      <c r="J258" s="468"/>
      <c r="K258" s="468"/>
    </row>
    <row r="259" spans="1:11" ht="12.75" customHeight="1" thickTop="1" thickBot="1" x14ac:dyDescent="0.25">
      <c r="A259" s="463" t="s">
        <v>758</v>
      </c>
      <c r="B259" s="470">
        <v>4932</v>
      </c>
      <c r="C259" s="575">
        <v>0</v>
      </c>
      <c r="D259" s="575">
        <v>0</v>
      </c>
      <c r="E259" s="468"/>
      <c r="F259" s="575">
        <v>0</v>
      </c>
      <c r="G259" s="575">
        <v>0</v>
      </c>
      <c r="H259" s="468"/>
      <c r="I259" s="468"/>
      <c r="J259" s="468"/>
      <c r="K259" s="468"/>
    </row>
    <row r="260" spans="1:11" ht="12.75" customHeight="1" thickTop="1" thickBot="1" x14ac:dyDescent="0.25">
      <c r="A260" s="463" t="s">
        <v>890</v>
      </c>
      <c r="B260" s="470">
        <v>4960</v>
      </c>
      <c r="C260" s="574">
        <v>0</v>
      </c>
      <c r="D260" s="575">
        <v>0</v>
      </c>
      <c r="E260" s="468"/>
      <c r="F260" s="575">
        <v>0</v>
      </c>
      <c r="G260" s="575">
        <v>0</v>
      </c>
      <c r="H260" s="468"/>
      <c r="I260" s="468"/>
      <c r="J260" s="468"/>
      <c r="K260" s="468"/>
    </row>
    <row r="261" spans="1:11" ht="12.75" customHeight="1" thickTop="1" thickBot="1" x14ac:dyDescent="0.25">
      <c r="A261" s="1923" t="s">
        <v>1935</v>
      </c>
      <c r="B261" s="470">
        <v>4981</v>
      </c>
      <c r="C261" s="574">
        <v>0</v>
      </c>
      <c r="D261" s="575" t="s">
        <v>1169</v>
      </c>
      <c r="E261" s="468"/>
      <c r="F261" s="575" t="s">
        <v>1169</v>
      </c>
      <c r="G261" s="575" t="s">
        <v>1169</v>
      </c>
      <c r="H261" s="468"/>
      <c r="I261" s="468"/>
      <c r="J261" s="468"/>
      <c r="K261" s="468"/>
    </row>
    <row r="262" spans="1:11" ht="12.75" customHeight="1" thickTop="1" thickBot="1" x14ac:dyDescent="0.25">
      <c r="A262" s="1924" t="s">
        <v>1936</v>
      </c>
      <c r="B262" s="470">
        <v>4982</v>
      </c>
      <c r="C262" s="574">
        <v>0</v>
      </c>
      <c r="D262" s="575" t="s">
        <v>1169</v>
      </c>
      <c r="E262" s="468"/>
      <c r="F262" s="575" t="s">
        <v>1169</v>
      </c>
      <c r="G262" s="575" t="s">
        <v>1169</v>
      </c>
      <c r="H262" s="468"/>
      <c r="I262" s="468"/>
      <c r="J262" s="468"/>
      <c r="K262" s="468"/>
    </row>
    <row r="263" spans="1:11" ht="12.75" customHeight="1" thickTop="1" thickBot="1" x14ac:dyDescent="0.25">
      <c r="A263" s="463" t="s">
        <v>568</v>
      </c>
      <c r="B263" s="470">
        <v>4991</v>
      </c>
      <c r="C263" s="574">
        <v>0</v>
      </c>
      <c r="D263" s="575">
        <v>0</v>
      </c>
      <c r="E263" s="468"/>
      <c r="F263" s="575">
        <v>0</v>
      </c>
      <c r="G263" s="575">
        <v>0</v>
      </c>
      <c r="H263" s="468"/>
      <c r="I263" s="468"/>
      <c r="J263" s="468"/>
      <c r="K263" s="468"/>
    </row>
    <row r="264" spans="1:11" ht="12.75" customHeight="1" thickTop="1" thickBot="1" x14ac:dyDescent="0.25">
      <c r="A264" s="463" t="s">
        <v>377</v>
      </c>
      <c r="B264" s="470">
        <v>4992</v>
      </c>
      <c r="C264" s="574">
        <v>0</v>
      </c>
      <c r="D264" s="575">
        <v>0</v>
      </c>
      <c r="E264" s="468"/>
      <c r="F264" s="575">
        <v>0</v>
      </c>
      <c r="G264" s="575">
        <v>0</v>
      </c>
      <c r="H264" s="468"/>
      <c r="I264" s="468"/>
      <c r="J264" s="468"/>
      <c r="K264" s="468"/>
    </row>
    <row r="265" spans="1:11" s="592" customFormat="1" ht="12.75" customHeight="1" thickTop="1" thickBot="1" x14ac:dyDescent="0.25">
      <c r="A265" s="562" t="s">
        <v>75</v>
      </c>
      <c r="B265" s="557">
        <v>4999</v>
      </c>
      <c r="C265" s="574">
        <v>0</v>
      </c>
      <c r="D265" s="575">
        <v>0</v>
      </c>
      <c r="E265" s="468"/>
      <c r="F265" s="575">
        <v>0</v>
      </c>
      <c r="G265" s="575">
        <v>0</v>
      </c>
      <c r="H265" s="530">
        <v>0</v>
      </c>
      <c r="I265" s="468"/>
      <c r="J265" s="468"/>
      <c r="K265" s="530">
        <v>0</v>
      </c>
    </row>
    <row r="266" spans="1:11" ht="14.25" thickTop="1" thickBot="1" x14ac:dyDescent="0.25">
      <c r="A266" s="1702" t="s">
        <v>1666</v>
      </c>
      <c r="B266" s="1721"/>
      <c r="C266" s="1709">
        <f t="shared" ref="C266:H266" si="10">SUM(C188,C198,C204,C209,C217,C221,C222,C252:C265)</f>
        <v>0</v>
      </c>
      <c r="D266" s="1709">
        <f t="shared" si="10"/>
        <v>0</v>
      </c>
      <c r="E266" s="1709">
        <f t="shared" si="10"/>
        <v>0</v>
      </c>
      <c r="F266" s="1709">
        <f t="shared" si="10"/>
        <v>0</v>
      </c>
      <c r="G266" s="1709">
        <f t="shared" si="10"/>
        <v>0</v>
      </c>
      <c r="H266" s="1709">
        <f t="shared" si="10"/>
        <v>0</v>
      </c>
      <c r="I266" s="468"/>
      <c r="J266" s="1709">
        <f>SUM(J188,J198,J204,J209,J217,J221,J222,J252:J265)</f>
        <v>0</v>
      </c>
      <c r="K266" s="1696">
        <f>SUM(K188,K198,K204,K209,K217,K221,K222,K252:K265)</f>
        <v>0</v>
      </c>
    </row>
    <row r="267" spans="1:11" ht="14.25" thickTop="1" thickBot="1" x14ac:dyDescent="0.25">
      <c r="A267" s="1722" t="s">
        <v>1086</v>
      </c>
      <c r="B267" s="1723" t="s">
        <v>860</v>
      </c>
      <c r="C267" s="1709">
        <f>SUM(C175,C181,C266)</f>
        <v>0</v>
      </c>
      <c r="D267" s="1709">
        <f>SUM(D175,D181,D266)</f>
        <v>0</v>
      </c>
      <c r="E267" s="1709">
        <f>SUM(E175,E266)</f>
        <v>0</v>
      </c>
      <c r="F267" s="1709">
        <f t="shared" ref="F267:K267" si="11">SUM(F175,F181,F266)</f>
        <v>0</v>
      </c>
      <c r="G267" s="1709">
        <f t="shared" si="11"/>
        <v>0</v>
      </c>
      <c r="H267" s="1709">
        <f t="shared" si="11"/>
        <v>0</v>
      </c>
      <c r="I267" s="1709">
        <f t="shared" si="11"/>
        <v>0</v>
      </c>
      <c r="J267" s="1709">
        <f t="shared" si="11"/>
        <v>0</v>
      </c>
      <c r="K267" s="1696">
        <f t="shared" si="11"/>
        <v>0</v>
      </c>
    </row>
    <row r="268" spans="1:11" ht="14.25" thickTop="1" thickBot="1" x14ac:dyDescent="0.25">
      <c r="A268" s="1724" t="s">
        <v>251</v>
      </c>
      <c r="B268" s="1725"/>
      <c r="C268" s="1709">
        <f t="shared" ref="C268:K268" si="12">SUM(C109,C114,C170,C267)</f>
        <v>1281667</v>
      </c>
      <c r="D268" s="1709">
        <f t="shared" si="12"/>
        <v>0</v>
      </c>
      <c r="E268" s="1709">
        <f t="shared" si="12"/>
        <v>0</v>
      </c>
      <c r="F268" s="1709">
        <f t="shared" si="12"/>
        <v>0</v>
      </c>
      <c r="G268" s="1709">
        <f t="shared" si="12"/>
        <v>0</v>
      </c>
      <c r="H268" s="1709">
        <f t="shared" si="12"/>
        <v>0</v>
      </c>
      <c r="I268" s="1709">
        <f t="shared" si="12"/>
        <v>0</v>
      </c>
      <c r="J268" s="1709">
        <f t="shared" si="12"/>
        <v>0</v>
      </c>
      <c r="K268" s="1696">
        <f t="shared" si="12"/>
        <v>0</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9" customFormat="1" x14ac:dyDescent="0.2">
      <c r="A275" s="593"/>
      <c r="B275" s="594"/>
      <c r="C275" s="595"/>
      <c r="D275" s="595"/>
      <c r="E275" s="595"/>
      <c r="F275" s="595"/>
      <c r="G275" s="595"/>
      <c r="H275" s="595"/>
      <c r="I275" s="595"/>
      <c r="J275" s="595"/>
      <c r="K275" s="595"/>
    </row>
    <row r="276" spans="1:11" s="329" customFormat="1" x14ac:dyDescent="0.2">
      <c r="A276" s="593"/>
    </row>
    <row r="277" spans="1:11" s="329" customFormat="1" x14ac:dyDescent="0.2">
      <c r="A277" s="596"/>
    </row>
    <row r="278" spans="1:11" s="329" customFormat="1" x14ac:dyDescent="0.2">
      <c r="A278" s="596"/>
    </row>
    <row r="279" spans="1:11" s="329"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111" activePane="bottomLeft" state="frozen"/>
      <selection pane="bottomLeft" activeCell="H81" sqref="H81"/>
    </sheetView>
  </sheetViews>
  <sheetFormatPr defaultColWidth="9.140625" defaultRowHeight="12.75" x14ac:dyDescent="0.2"/>
  <cols>
    <col min="1" max="1" width="48.5703125" style="707" customWidth="1"/>
    <col min="2" max="2" width="5" style="708" customWidth="1"/>
    <col min="3" max="8" width="13.28515625" style="608" customWidth="1"/>
    <col min="9" max="10" width="13.28515625" style="343" customWidth="1"/>
    <col min="11" max="11" width="13.28515625" style="709" customWidth="1"/>
    <col min="12" max="12" width="11.85546875" style="343" customWidth="1"/>
    <col min="13" max="13" width="1.5703125" style="210" customWidth="1"/>
    <col min="14" max="14" width="9.140625" style="210"/>
    <col min="15" max="16384" width="9.140625" style="329"/>
  </cols>
  <sheetData>
    <row r="1" spans="1:14" x14ac:dyDescent="0.2">
      <c r="A1" s="2130" t="s">
        <v>1802</v>
      </c>
      <c r="B1" s="601"/>
      <c r="C1" s="602" t="s">
        <v>775</v>
      </c>
      <c r="D1" s="602" t="s">
        <v>1078</v>
      </c>
      <c r="E1" s="602" t="s">
        <v>1079</v>
      </c>
      <c r="F1" s="602" t="s">
        <v>1080</v>
      </c>
      <c r="G1" s="602" t="s">
        <v>1081</v>
      </c>
      <c r="H1" s="602" t="s">
        <v>1082</v>
      </c>
      <c r="I1" s="602" t="s">
        <v>1083</v>
      </c>
      <c r="J1" s="602" t="s">
        <v>1084</v>
      </c>
      <c r="K1" s="602" t="s">
        <v>252</v>
      </c>
      <c r="L1" s="603"/>
    </row>
    <row r="2" spans="1:14" s="607" customFormat="1" ht="28.5" customHeight="1" x14ac:dyDescent="0.2">
      <c r="A2" s="2164"/>
      <c r="B2" s="604" t="s">
        <v>45</v>
      </c>
      <c r="C2" s="605" t="s">
        <v>194</v>
      </c>
      <c r="D2" s="606" t="s">
        <v>49</v>
      </c>
      <c r="E2" s="606" t="s">
        <v>1100</v>
      </c>
      <c r="F2" s="606" t="s">
        <v>1094</v>
      </c>
      <c r="G2" s="605" t="s">
        <v>1095</v>
      </c>
      <c r="H2" s="605" t="s">
        <v>1096</v>
      </c>
      <c r="I2" s="606" t="s">
        <v>291</v>
      </c>
      <c r="J2" s="606" t="s">
        <v>292</v>
      </c>
      <c r="K2" s="605" t="s">
        <v>156</v>
      </c>
      <c r="L2" s="605" t="s">
        <v>30</v>
      </c>
      <c r="M2" s="257"/>
      <c r="N2" s="257"/>
    </row>
    <row r="3" spans="1:14" s="343" customFormat="1" ht="16.7" customHeight="1" x14ac:dyDescent="0.2">
      <c r="A3" s="2170" t="s">
        <v>297</v>
      </c>
      <c r="B3" s="2171"/>
      <c r="C3" s="1546"/>
      <c r="D3" s="1546"/>
      <c r="E3" s="1546"/>
      <c r="F3" s="1546"/>
      <c r="G3" s="1546"/>
      <c r="H3" s="1546"/>
      <c r="I3" s="1546"/>
      <c r="J3" s="1546"/>
      <c r="K3" s="1547"/>
      <c r="L3" s="1548"/>
      <c r="M3" s="608"/>
      <c r="N3" s="608"/>
    </row>
    <row r="4" spans="1:14" s="259" customFormat="1" ht="15.75" customHeight="1" x14ac:dyDescent="0.2">
      <c r="A4" s="1604" t="s">
        <v>44</v>
      </c>
      <c r="B4" s="1605" t="s">
        <v>570</v>
      </c>
      <c r="C4" s="609"/>
      <c r="D4" s="609"/>
      <c r="E4" s="609"/>
      <c r="F4" s="609"/>
      <c r="G4" s="609"/>
      <c r="H4" s="609"/>
      <c r="I4" s="610"/>
      <c r="J4" s="609"/>
      <c r="K4" s="611"/>
      <c r="L4" s="609"/>
      <c r="M4" s="612"/>
      <c r="N4" s="612"/>
    </row>
    <row r="5" spans="1:14" x14ac:dyDescent="0.2">
      <c r="A5" s="1502" t="s">
        <v>961</v>
      </c>
      <c r="B5" s="613">
        <v>1100</v>
      </c>
      <c r="C5" s="466">
        <v>0</v>
      </c>
      <c r="D5" s="466">
        <v>0</v>
      </c>
      <c r="E5" s="466">
        <v>0</v>
      </c>
      <c r="F5" s="466">
        <v>0</v>
      </c>
      <c r="G5" s="466">
        <v>0</v>
      </c>
      <c r="H5" s="466">
        <v>0</v>
      </c>
      <c r="I5" s="466">
        <v>0</v>
      </c>
      <c r="J5" s="466">
        <v>0</v>
      </c>
      <c r="K5" s="1665">
        <f>SUM(C5:J5)</f>
        <v>0</v>
      </c>
      <c r="L5" s="466">
        <v>0</v>
      </c>
    </row>
    <row r="6" spans="1:14" x14ac:dyDescent="0.2">
      <c r="A6" s="1502" t="s">
        <v>1433</v>
      </c>
      <c r="B6" s="613" t="s">
        <v>1431</v>
      </c>
      <c r="C6" s="477"/>
      <c r="D6" s="477"/>
      <c r="E6" s="466" t="s">
        <v>1169</v>
      </c>
      <c r="F6" s="477"/>
      <c r="G6" s="477"/>
      <c r="H6" s="477"/>
      <c r="I6" s="477"/>
      <c r="J6" s="477"/>
      <c r="K6" s="1665">
        <f>SUM(C6,E6)</f>
        <v>0</v>
      </c>
      <c r="L6" s="466">
        <v>0</v>
      </c>
    </row>
    <row r="7" spans="1:14" x14ac:dyDescent="0.2">
      <c r="A7" s="1502" t="s">
        <v>163</v>
      </c>
      <c r="B7" s="613" t="s">
        <v>967</v>
      </c>
      <c r="C7" s="466">
        <v>0</v>
      </c>
      <c r="D7" s="466">
        <v>0</v>
      </c>
      <c r="E7" s="466">
        <v>0</v>
      </c>
      <c r="F7" s="466">
        <v>0</v>
      </c>
      <c r="G7" s="466">
        <v>0</v>
      </c>
      <c r="H7" s="466">
        <v>0</v>
      </c>
      <c r="I7" s="466">
        <v>0</v>
      </c>
      <c r="J7" s="466">
        <v>0</v>
      </c>
      <c r="K7" s="1665">
        <f t="shared" ref="K7:K32" si="0">SUM(C7:J7)</f>
        <v>0</v>
      </c>
      <c r="L7" s="466">
        <v>0</v>
      </c>
    </row>
    <row r="8" spans="1:14" x14ac:dyDescent="0.2">
      <c r="A8" s="1502" t="s">
        <v>164</v>
      </c>
      <c r="B8" s="613">
        <v>1200</v>
      </c>
      <c r="C8" s="466">
        <v>0</v>
      </c>
      <c r="D8" s="466">
        <v>0</v>
      </c>
      <c r="E8" s="466">
        <v>0</v>
      </c>
      <c r="F8" s="466">
        <v>0</v>
      </c>
      <c r="G8" s="466">
        <v>0</v>
      </c>
      <c r="H8" s="466">
        <v>0</v>
      </c>
      <c r="I8" s="466">
        <v>0</v>
      </c>
      <c r="J8" s="466">
        <v>0</v>
      </c>
      <c r="K8" s="1665">
        <f t="shared" si="0"/>
        <v>0</v>
      </c>
      <c r="L8" s="466">
        <v>0</v>
      </c>
    </row>
    <row r="9" spans="1:14" x14ac:dyDescent="0.2">
      <c r="A9" s="1502" t="s">
        <v>721</v>
      </c>
      <c r="B9" s="613" t="s">
        <v>968</v>
      </c>
      <c r="C9" s="466">
        <v>0</v>
      </c>
      <c r="D9" s="466">
        <v>0</v>
      </c>
      <c r="E9" s="466">
        <v>0</v>
      </c>
      <c r="F9" s="466">
        <v>0</v>
      </c>
      <c r="G9" s="466">
        <v>0</v>
      </c>
      <c r="H9" s="466">
        <v>0</v>
      </c>
      <c r="I9" s="466">
        <v>0</v>
      </c>
      <c r="J9" s="466">
        <v>0</v>
      </c>
      <c r="K9" s="1665">
        <f t="shared" si="0"/>
        <v>0</v>
      </c>
      <c r="L9" s="466">
        <v>0</v>
      </c>
    </row>
    <row r="10" spans="1:14" x14ac:dyDescent="0.2">
      <c r="A10" s="1502" t="s">
        <v>722</v>
      </c>
      <c r="B10" s="613">
        <v>1250</v>
      </c>
      <c r="C10" s="466">
        <v>0</v>
      </c>
      <c r="D10" s="466">
        <v>0</v>
      </c>
      <c r="E10" s="466">
        <v>0</v>
      </c>
      <c r="F10" s="466">
        <v>0</v>
      </c>
      <c r="G10" s="466">
        <v>0</v>
      </c>
      <c r="H10" s="466">
        <v>0</v>
      </c>
      <c r="I10" s="466">
        <v>0</v>
      </c>
      <c r="J10" s="466">
        <v>0</v>
      </c>
      <c r="K10" s="1665">
        <f t="shared" si="0"/>
        <v>0</v>
      </c>
      <c r="L10" s="466">
        <v>0</v>
      </c>
    </row>
    <row r="11" spans="1:14" x14ac:dyDescent="0.2">
      <c r="A11" s="1502" t="s">
        <v>1130</v>
      </c>
      <c r="B11" s="613" t="s">
        <v>161</v>
      </c>
      <c r="C11" s="466">
        <v>0</v>
      </c>
      <c r="D11" s="466">
        <v>0</v>
      </c>
      <c r="E11" s="466">
        <v>0</v>
      </c>
      <c r="F11" s="466">
        <v>0</v>
      </c>
      <c r="G11" s="466">
        <v>0</v>
      </c>
      <c r="H11" s="466">
        <v>0</v>
      </c>
      <c r="I11" s="466">
        <v>0</v>
      </c>
      <c r="J11" s="466">
        <v>0</v>
      </c>
      <c r="K11" s="1665">
        <f t="shared" si="0"/>
        <v>0</v>
      </c>
      <c r="L11" s="466">
        <v>0</v>
      </c>
    </row>
    <row r="12" spans="1:14" x14ac:dyDescent="0.2">
      <c r="A12" s="1502" t="s">
        <v>962</v>
      </c>
      <c r="B12" s="613">
        <v>1300</v>
      </c>
      <c r="C12" s="466">
        <v>0</v>
      </c>
      <c r="D12" s="466">
        <v>0</v>
      </c>
      <c r="E12" s="466">
        <v>0</v>
      </c>
      <c r="F12" s="466">
        <v>0</v>
      </c>
      <c r="G12" s="466">
        <v>0</v>
      </c>
      <c r="H12" s="466">
        <v>0</v>
      </c>
      <c r="I12" s="466">
        <v>0</v>
      </c>
      <c r="J12" s="466">
        <v>0</v>
      </c>
      <c r="K12" s="1665">
        <f t="shared" si="0"/>
        <v>0</v>
      </c>
      <c r="L12" s="466">
        <v>0</v>
      </c>
    </row>
    <row r="13" spans="1:14" x14ac:dyDescent="0.2">
      <c r="A13" s="1502" t="s">
        <v>723</v>
      </c>
      <c r="B13" s="613">
        <v>1400</v>
      </c>
      <c r="C13" s="466">
        <v>0</v>
      </c>
      <c r="D13" s="466">
        <v>0</v>
      </c>
      <c r="E13" s="466">
        <v>136219</v>
      </c>
      <c r="F13" s="466">
        <v>247976</v>
      </c>
      <c r="G13" s="466">
        <v>0</v>
      </c>
      <c r="H13" s="466">
        <v>50</v>
      </c>
      <c r="I13" s="466">
        <v>0</v>
      </c>
      <c r="J13" s="466">
        <v>0</v>
      </c>
      <c r="K13" s="1665">
        <f t="shared" si="0"/>
        <v>384245</v>
      </c>
      <c r="L13" s="466">
        <v>356750</v>
      </c>
    </row>
    <row r="14" spans="1:14" x14ac:dyDescent="0.2">
      <c r="A14" s="1502" t="s">
        <v>963</v>
      </c>
      <c r="B14" s="613">
        <v>1500</v>
      </c>
      <c r="C14" s="466">
        <v>0</v>
      </c>
      <c r="D14" s="466">
        <v>0</v>
      </c>
      <c r="E14" s="466">
        <v>0</v>
      </c>
      <c r="F14" s="466">
        <v>0</v>
      </c>
      <c r="G14" s="466">
        <v>0</v>
      </c>
      <c r="H14" s="466">
        <v>0</v>
      </c>
      <c r="I14" s="466">
        <v>0</v>
      </c>
      <c r="J14" s="466">
        <v>0</v>
      </c>
      <c r="K14" s="1665">
        <f t="shared" si="0"/>
        <v>0</v>
      </c>
      <c r="L14" s="466">
        <v>0</v>
      </c>
    </row>
    <row r="15" spans="1:14" x14ac:dyDescent="0.2">
      <c r="A15" s="1502" t="s">
        <v>964</v>
      </c>
      <c r="B15" s="613">
        <v>1600</v>
      </c>
      <c r="C15" s="466">
        <v>0</v>
      </c>
      <c r="D15" s="466">
        <v>0</v>
      </c>
      <c r="E15" s="466">
        <v>0</v>
      </c>
      <c r="F15" s="466">
        <v>0</v>
      </c>
      <c r="G15" s="466">
        <v>0</v>
      </c>
      <c r="H15" s="466">
        <v>0</v>
      </c>
      <c r="I15" s="466">
        <v>0</v>
      </c>
      <c r="J15" s="466">
        <v>0</v>
      </c>
      <c r="K15" s="1665">
        <f t="shared" si="0"/>
        <v>0</v>
      </c>
      <c r="L15" s="466">
        <v>0</v>
      </c>
    </row>
    <row r="16" spans="1:14" x14ac:dyDescent="0.2">
      <c r="A16" s="1502" t="s">
        <v>987</v>
      </c>
      <c r="B16" s="613" t="s">
        <v>424</v>
      </c>
      <c r="C16" s="466">
        <v>0</v>
      </c>
      <c r="D16" s="466">
        <v>0</v>
      </c>
      <c r="E16" s="466">
        <v>0</v>
      </c>
      <c r="F16" s="466">
        <v>0</v>
      </c>
      <c r="G16" s="466">
        <v>0</v>
      </c>
      <c r="H16" s="466">
        <v>0</v>
      </c>
      <c r="I16" s="466">
        <v>0</v>
      </c>
      <c r="J16" s="466">
        <v>0</v>
      </c>
      <c r="K16" s="1665">
        <f t="shared" si="0"/>
        <v>0</v>
      </c>
      <c r="L16" s="466">
        <v>0</v>
      </c>
    </row>
    <row r="17" spans="1:12" x14ac:dyDescent="0.2">
      <c r="A17" s="1502" t="s">
        <v>724</v>
      </c>
      <c r="B17" s="613" t="s">
        <v>162</v>
      </c>
      <c r="C17" s="466">
        <v>0</v>
      </c>
      <c r="D17" s="466">
        <v>0</v>
      </c>
      <c r="E17" s="466">
        <v>0</v>
      </c>
      <c r="F17" s="466">
        <v>0</v>
      </c>
      <c r="G17" s="466">
        <v>0</v>
      </c>
      <c r="H17" s="466">
        <v>0</v>
      </c>
      <c r="I17" s="466">
        <v>0</v>
      </c>
      <c r="J17" s="466">
        <v>0</v>
      </c>
      <c r="K17" s="1665">
        <f t="shared" si="0"/>
        <v>0</v>
      </c>
      <c r="L17" s="466">
        <v>0</v>
      </c>
    </row>
    <row r="18" spans="1:12" x14ac:dyDescent="0.2">
      <c r="A18" s="1502" t="s">
        <v>1087</v>
      </c>
      <c r="B18" s="613">
        <v>1800</v>
      </c>
      <c r="C18" s="466">
        <v>0</v>
      </c>
      <c r="D18" s="466">
        <v>0</v>
      </c>
      <c r="E18" s="466">
        <v>0</v>
      </c>
      <c r="F18" s="466">
        <v>0</v>
      </c>
      <c r="G18" s="466">
        <v>0</v>
      </c>
      <c r="H18" s="466">
        <v>0</v>
      </c>
      <c r="I18" s="466">
        <v>0</v>
      </c>
      <c r="J18" s="466">
        <v>0</v>
      </c>
      <c r="K18" s="1665">
        <f t="shared" si="0"/>
        <v>0</v>
      </c>
      <c r="L18" s="466">
        <v>0</v>
      </c>
    </row>
    <row r="19" spans="1:12" x14ac:dyDescent="0.2">
      <c r="A19" s="1502" t="s">
        <v>134</v>
      </c>
      <c r="B19" s="613">
        <v>1900</v>
      </c>
      <c r="C19" s="466">
        <v>0</v>
      </c>
      <c r="D19" s="466">
        <v>0</v>
      </c>
      <c r="E19" s="466">
        <v>0</v>
      </c>
      <c r="F19" s="466">
        <v>0</v>
      </c>
      <c r="G19" s="466">
        <v>0</v>
      </c>
      <c r="H19" s="466">
        <v>0</v>
      </c>
      <c r="I19" s="466">
        <v>0</v>
      </c>
      <c r="J19" s="466">
        <v>0</v>
      </c>
      <c r="K19" s="1665">
        <f t="shared" si="0"/>
        <v>0</v>
      </c>
      <c r="L19" s="466">
        <v>0</v>
      </c>
    </row>
    <row r="20" spans="1:12" x14ac:dyDescent="0.2">
      <c r="A20" s="1503" t="s">
        <v>738</v>
      </c>
      <c r="B20" s="601" t="s">
        <v>725</v>
      </c>
      <c r="C20" s="477"/>
      <c r="D20" s="477"/>
      <c r="E20" s="477"/>
      <c r="F20" s="477"/>
      <c r="G20" s="477"/>
      <c r="H20" s="466">
        <v>0</v>
      </c>
      <c r="I20" s="615"/>
      <c r="J20" s="475"/>
      <c r="K20" s="1665">
        <f t="shared" si="0"/>
        <v>0</v>
      </c>
      <c r="L20" s="471">
        <v>0</v>
      </c>
    </row>
    <row r="21" spans="1:12" x14ac:dyDescent="0.2">
      <c r="A21" s="1503" t="s">
        <v>739</v>
      </c>
      <c r="B21" s="601" t="s">
        <v>726</v>
      </c>
      <c r="C21" s="477"/>
      <c r="D21" s="477"/>
      <c r="E21" s="477"/>
      <c r="F21" s="477"/>
      <c r="G21" s="477"/>
      <c r="H21" s="466">
        <v>0</v>
      </c>
      <c r="I21" s="615"/>
      <c r="J21" s="477"/>
      <c r="K21" s="1665">
        <f t="shared" si="0"/>
        <v>0</v>
      </c>
      <c r="L21" s="471">
        <v>0</v>
      </c>
    </row>
    <row r="22" spans="1:12" x14ac:dyDescent="0.2">
      <c r="A22" s="1503" t="s">
        <v>740</v>
      </c>
      <c r="B22" s="601" t="s">
        <v>727</v>
      </c>
      <c r="C22" s="477"/>
      <c r="D22" s="477"/>
      <c r="E22" s="477"/>
      <c r="F22" s="477"/>
      <c r="G22" s="477"/>
      <c r="H22" s="466">
        <v>0</v>
      </c>
      <c r="I22" s="615"/>
      <c r="J22" s="477"/>
      <c r="K22" s="1665">
        <f t="shared" si="0"/>
        <v>0</v>
      </c>
      <c r="L22" s="471">
        <v>0</v>
      </c>
    </row>
    <row r="23" spans="1:12" x14ac:dyDescent="0.2">
      <c r="A23" s="1503" t="s">
        <v>741</v>
      </c>
      <c r="B23" s="601" t="s">
        <v>728</v>
      </c>
      <c r="C23" s="477"/>
      <c r="D23" s="477"/>
      <c r="E23" s="477"/>
      <c r="F23" s="477"/>
      <c r="G23" s="477"/>
      <c r="H23" s="466">
        <v>0</v>
      </c>
      <c r="I23" s="615"/>
      <c r="J23" s="477"/>
      <c r="K23" s="1665">
        <f t="shared" si="0"/>
        <v>0</v>
      </c>
      <c r="L23" s="471">
        <v>0</v>
      </c>
    </row>
    <row r="24" spans="1:12" ht="12.75" customHeight="1" x14ac:dyDescent="0.2">
      <c r="A24" s="1503" t="s">
        <v>742</v>
      </c>
      <c r="B24" s="601" t="s">
        <v>729</v>
      </c>
      <c r="C24" s="477"/>
      <c r="D24" s="477"/>
      <c r="E24" s="477"/>
      <c r="F24" s="477"/>
      <c r="G24" s="477"/>
      <c r="H24" s="466">
        <v>0</v>
      </c>
      <c r="I24" s="615"/>
      <c r="J24" s="477"/>
      <c r="K24" s="1665">
        <f t="shared" si="0"/>
        <v>0</v>
      </c>
      <c r="L24" s="471">
        <v>0</v>
      </c>
    </row>
    <row r="25" spans="1:12" ht="12.75" customHeight="1" x14ac:dyDescent="0.2">
      <c r="A25" s="1503" t="s">
        <v>802</v>
      </c>
      <c r="B25" s="601" t="s">
        <v>730</v>
      </c>
      <c r="C25" s="477"/>
      <c r="D25" s="477"/>
      <c r="E25" s="477"/>
      <c r="F25" s="477"/>
      <c r="G25" s="477"/>
      <c r="H25" s="466">
        <v>0</v>
      </c>
      <c r="I25" s="615"/>
      <c r="J25" s="477"/>
      <c r="K25" s="1665">
        <f t="shared" si="0"/>
        <v>0</v>
      </c>
      <c r="L25" s="471">
        <v>0</v>
      </c>
    </row>
    <row r="26" spans="1:12" x14ac:dyDescent="0.2">
      <c r="A26" s="1503" t="s">
        <v>622</v>
      </c>
      <c r="B26" s="601" t="s">
        <v>731</v>
      </c>
      <c r="C26" s="477"/>
      <c r="D26" s="477"/>
      <c r="E26" s="477"/>
      <c r="F26" s="477"/>
      <c r="G26" s="477"/>
      <c r="H26" s="466">
        <v>0</v>
      </c>
      <c r="I26" s="615"/>
      <c r="J26" s="477"/>
      <c r="K26" s="1665">
        <f t="shared" si="0"/>
        <v>0</v>
      </c>
      <c r="L26" s="471">
        <v>0</v>
      </c>
    </row>
    <row r="27" spans="1:12" x14ac:dyDescent="0.2">
      <c r="A27" s="1503" t="s">
        <v>623</v>
      </c>
      <c r="B27" s="601" t="s">
        <v>732</v>
      </c>
      <c r="C27" s="477"/>
      <c r="D27" s="477"/>
      <c r="E27" s="477"/>
      <c r="F27" s="477"/>
      <c r="G27" s="477"/>
      <c r="H27" s="466">
        <v>0</v>
      </c>
      <c r="I27" s="615"/>
      <c r="J27" s="477"/>
      <c r="K27" s="1665">
        <f t="shared" si="0"/>
        <v>0</v>
      </c>
      <c r="L27" s="471">
        <v>0</v>
      </c>
    </row>
    <row r="28" spans="1:12" x14ac:dyDescent="0.2">
      <c r="A28" s="1503" t="s">
        <v>150</v>
      </c>
      <c r="B28" s="601" t="s">
        <v>733</v>
      </c>
      <c r="C28" s="477"/>
      <c r="D28" s="477"/>
      <c r="E28" s="477"/>
      <c r="F28" s="477"/>
      <c r="G28" s="477"/>
      <c r="H28" s="466">
        <v>0</v>
      </c>
      <c r="I28" s="615"/>
      <c r="J28" s="477"/>
      <c r="K28" s="1665">
        <f t="shared" si="0"/>
        <v>0</v>
      </c>
      <c r="L28" s="471">
        <v>0</v>
      </c>
    </row>
    <row r="29" spans="1:12" x14ac:dyDescent="0.2">
      <c r="A29" s="1503" t="s">
        <v>151</v>
      </c>
      <c r="B29" s="601" t="s">
        <v>734</v>
      </c>
      <c r="C29" s="477"/>
      <c r="D29" s="477"/>
      <c r="E29" s="477"/>
      <c r="F29" s="477"/>
      <c r="G29" s="477"/>
      <c r="H29" s="466" t="s">
        <v>1169</v>
      </c>
      <c r="I29" s="615"/>
      <c r="J29" s="477"/>
      <c r="K29" s="1665">
        <f t="shared" si="0"/>
        <v>0</v>
      </c>
      <c r="L29" s="471">
        <v>0</v>
      </c>
    </row>
    <row r="30" spans="1:12" x14ac:dyDescent="0.2">
      <c r="A30" s="1503" t="s">
        <v>152</v>
      </c>
      <c r="B30" s="601" t="s">
        <v>735</v>
      </c>
      <c r="C30" s="477"/>
      <c r="D30" s="477"/>
      <c r="E30" s="477"/>
      <c r="F30" s="477"/>
      <c r="G30" s="477"/>
      <c r="H30" s="466">
        <v>0</v>
      </c>
      <c r="I30" s="615"/>
      <c r="J30" s="477"/>
      <c r="K30" s="1665">
        <f t="shared" si="0"/>
        <v>0</v>
      </c>
      <c r="L30" s="471">
        <v>0</v>
      </c>
    </row>
    <row r="31" spans="1:12" x14ac:dyDescent="0.2">
      <c r="A31" s="1503" t="s">
        <v>153</v>
      </c>
      <c r="B31" s="601" t="s">
        <v>736</v>
      </c>
      <c r="C31" s="477"/>
      <c r="D31" s="477"/>
      <c r="E31" s="477"/>
      <c r="F31" s="477"/>
      <c r="G31" s="477"/>
      <c r="H31" s="466">
        <v>0</v>
      </c>
      <c r="I31" s="615"/>
      <c r="J31" s="477"/>
      <c r="K31" s="1665">
        <f t="shared" si="0"/>
        <v>0</v>
      </c>
      <c r="L31" s="471">
        <v>0</v>
      </c>
    </row>
    <row r="32" spans="1:12" x14ac:dyDescent="0.2">
      <c r="A32" s="1504" t="s">
        <v>1129</v>
      </c>
      <c r="B32" s="613" t="s">
        <v>737</v>
      </c>
      <c r="C32" s="477"/>
      <c r="D32" s="477"/>
      <c r="E32" s="477"/>
      <c r="F32" s="477"/>
      <c r="G32" s="477"/>
      <c r="H32" s="466">
        <v>0</v>
      </c>
      <c r="I32" s="615"/>
      <c r="J32" s="480"/>
      <c r="K32" s="1665">
        <f t="shared" si="0"/>
        <v>0</v>
      </c>
      <c r="L32" s="471">
        <v>0</v>
      </c>
    </row>
    <row r="33" spans="1:14" ht="12.75" customHeight="1" thickBot="1" x14ac:dyDescent="0.25">
      <c r="A33" s="1662" t="s">
        <v>1668</v>
      </c>
      <c r="B33" s="1663" t="s">
        <v>570</v>
      </c>
      <c r="C33" s="1664">
        <f>SUM(C5:C32)</f>
        <v>0</v>
      </c>
      <c r="D33" s="1664">
        <f t="shared" ref="D33:L33" si="1">SUM(D5:D32)</f>
        <v>0</v>
      </c>
      <c r="E33" s="1664">
        <f t="shared" si="1"/>
        <v>136219</v>
      </c>
      <c r="F33" s="1664">
        <f t="shared" si="1"/>
        <v>247976</v>
      </c>
      <c r="G33" s="1664">
        <f t="shared" si="1"/>
        <v>0</v>
      </c>
      <c r="H33" s="1664">
        <f t="shared" si="1"/>
        <v>50</v>
      </c>
      <c r="I33" s="1664">
        <f t="shared" si="1"/>
        <v>0</v>
      </c>
      <c r="J33" s="1664">
        <f t="shared" si="1"/>
        <v>0</v>
      </c>
      <c r="K33" s="1664">
        <f t="shared" si="1"/>
        <v>384245</v>
      </c>
      <c r="L33" s="1664">
        <f t="shared" si="1"/>
        <v>356750</v>
      </c>
    </row>
    <row r="34" spans="1:14" s="619" customFormat="1" ht="15.75" customHeight="1" thickTop="1" x14ac:dyDescent="0.2">
      <c r="A34" s="1606" t="s">
        <v>46</v>
      </c>
      <c r="B34" s="1607" t="s">
        <v>569</v>
      </c>
      <c r="C34" s="617"/>
      <c r="D34" s="617"/>
      <c r="E34" s="617"/>
      <c r="F34" s="617"/>
      <c r="G34" s="617"/>
      <c r="H34" s="617"/>
      <c r="I34" s="615"/>
      <c r="J34" s="615"/>
      <c r="K34" s="615"/>
      <c r="L34" s="615"/>
      <c r="M34" s="618"/>
      <c r="N34" s="618"/>
    </row>
    <row r="35" spans="1:14" s="619" customFormat="1" ht="15.75" customHeight="1" x14ac:dyDescent="0.2">
      <c r="A35" s="620" t="s">
        <v>591</v>
      </c>
      <c r="B35" s="621"/>
      <c r="C35" s="622"/>
      <c r="D35" s="622"/>
      <c r="E35" s="622"/>
      <c r="F35" s="622"/>
      <c r="G35" s="622"/>
      <c r="H35" s="622"/>
      <c r="I35" s="615"/>
      <c r="J35" s="615"/>
      <c r="K35" s="615"/>
      <c r="L35" s="615"/>
      <c r="M35" s="618"/>
      <c r="N35" s="618"/>
    </row>
    <row r="36" spans="1:14" x14ac:dyDescent="0.2">
      <c r="A36" s="1502" t="s">
        <v>1089</v>
      </c>
      <c r="B36" s="613">
        <v>2110</v>
      </c>
      <c r="C36" s="466">
        <v>0</v>
      </c>
      <c r="D36" s="466">
        <v>0</v>
      </c>
      <c r="E36" s="466">
        <v>0</v>
      </c>
      <c r="F36" s="466">
        <v>0</v>
      </c>
      <c r="G36" s="466">
        <v>0</v>
      </c>
      <c r="H36" s="466">
        <v>0</v>
      </c>
      <c r="I36" s="466">
        <v>0</v>
      </c>
      <c r="J36" s="466">
        <v>0</v>
      </c>
      <c r="K36" s="1665">
        <f t="shared" ref="K36:K41" si="2">SUM(C36:J36)</f>
        <v>0</v>
      </c>
      <c r="L36" s="466">
        <v>0</v>
      </c>
    </row>
    <row r="37" spans="1:14" x14ac:dyDescent="0.2">
      <c r="A37" s="1502" t="s">
        <v>1090</v>
      </c>
      <c r="B37" s="613">
        <v>2120</v>
      </c>
      <c r="C37" s="466">
        <v>0</v>
      </c>
      <c r="D37" s="466">
        <v>0</v>
      </c>
      <c r="E37" s="466">
        <v>0</v>
      </c>
      <c r="F37" s="466">
        <v>0</v>
      </c>
      <c r="G37" s="466">
        <v>0</v>
      </c>
      <c r="H37" s="466">
        <v>0</v>
      </c>
      <c r="I37" s="466">
        <v>0</v>
      </c>
      <c r="J37" s="466">
        <v>0</v>
      </c>
      <c r="K37" s="1665">
        <f t="shared" si="2"/>
        <v>0</v>
      </c>
      <c r="L37" s="466">
        <v>0</v>
      </c>
    </row>
    <row r="38" spans="1:14" x14ac:dyDescent="0.2">
      <c r="A38" s="1502" t="s">
        <v>198</v>
      </c>
      <c r="B38" s="613">
        <v>2130</v>
      </c>
      <c r="C38" s="466">
        <v>0</v>
      </c>
      <c r="D38" s="466">
        <v>0</v>
      </c>
      <c r="E38" s="466">
        <v>0</v>
      </c>
      <c r="F38" s="466">
        <v>0</v>
      </c>
      <c r="G38" s="466">
        <v>0</v>
      </c>
      <c r="H38" s="466">
        <v>0</v>
      </c>
      <c r="I38" s="466">
        <v>0</v>
      </c>
      <c r="J38" s="466">
        <v>0</v>
      </c>
      <c r="K38" s="1665">
        <f t="shared" si="2"/>
        <v>0</v>
      </c>
      <c r="L38" s="466">
        <v>0</v>
      </c>
    </row>
    <row r="39" spans="1:14" x14ac:dyDescent="0.2">
      <c r="A39" s="1502" t="s">
        <v>199</v>
      </c>
      <c r="B39" s="613">
        <v>2140</v>
      </c>
      <c r="C39" s="466">
        <v>0</v>
      </c>
      <c r="D39" s="466">
        <v>0</v>
      </c>
      <c r="E39" s="466">
        <v>0</v>
      </c>
      <c r="F39" s="466">
        <v>0</v>
      </c>
      <c r="G39" s="466">
        <v>0</v>
      </c>
      <c r="H39" s="466">
        <v>0</v>
      </c>
      <c r="I39" s="466">
        <v>0</v>
      </c>
      <c r="J39" s="466">
        <v>0</v>
      </c>
      <c r="K39" s="1665">
        <f t="shared" si="2"/>
        <v>0</v>
      </c>
      <c r="L39" s="466">
        <v>0</v>
      </c>
    </row>
    <row r="40" spans="1:14" x14ac:dyDescent="0.2">
      <c r="A40" s="1502" t="s">
        <v>200</v>
      </c>
      <c r="B40" s="613">
        <v>2150</v>
      </c>
      <c r="C40" s="466">
        <v>0</v>
      </c>
      <c r="D40" s="466">
        <v>0</v>
      </c>
      <c r="E40" s="466">
        <v>0</v>
      </c>
      <c r="F40" s="466">
        <v>0</v>
      </c>
      <c r="G40" s="466">
        <v>0</v>
      </c>
      <c r="H40" s="466">
        <v>0</v>
      </c>
      <c r="I40" s="466">
        <v>0</v>
      </c>
      <c r="J40" s="466">
        <v>0</v>
      </c>
      <c r="K40" s="1665">
        <f t="shared" si="2"/>
        <v>0</v>
      </c>
      <c r="L40" s="466">
        <v>0</v>
      </c>
    </row>
    <row r="41" spans="1:14" x14ac:dyDescent="0.2">
      <c r="A41" s="1502" t="s">
        <v>1669</v>
      </c>
      <c r="B41" s="613">
        <v>2190</v>
      </c>
      <c r="C41" s="466">
        <v>0</v>
      </c>
      <c r="D41" s="466">
        <v>0</v>
      </c>
      <c r="E41" s="466">
        <v>0</v>
      </c>
      <c r="F41" s="466">
        <v>0</v>
      </c>
      <c r="G41" s="466">
        <v>0</v>
      </c>
      <c r="H41" s="466">
        <v>0</v>
      </c>
      <c r="I41" s="466">
        <v>0</v>
      </c>
      <c r="J41" s="466">
        <v>0</v>
      </c>
      <c r="K41" s="1665">
        <f t="shared" si="2"/>
        <v>0</v>
      </c>
      <c r="L41" s="466">
        <v>0</v>
      </c>
    </row>
    <row r="42" spans="1:14" ht="12.75" customHeight="1" thickBot="1" x14ac:dyDescent="0.25">
      <c r="A42" s="1662" t="s">
        <v>560</v>
      </c>
      <c r="B42" s="1663" t="s">
        <v>716</v>
      </c>
      <c r="C42" s="1664">
        <f>SUM(C36:C41)</f>
        <v>0</v>
      </c>
      <c r="D42" s="1664">
        <f t="shared" ref="D42:L42" si="3">SUM(D36:D41)</f>
        <v>0</v>
      </c>
      <c r="E42" s="1664">
        <f t="shared" si="3"/>
        <v>0</v>
      </c>
      <c r="F42" s="1664">
        <f t="shared" si="3"/>
        <v>0</v>
      </c>
      <c r="G42" s="1664">
        <f t="shared" si="3"/>
        <v>0</v>
      </c>
      <c r="H42" s="1664">
        <f t="shared" si="3"/>
        <v>0</v>
      </c>
      <c r="I42" s="1664">
        <f t="shared" si="3"/>
        <v>0</v>
      </c>
      <c r="J42" s="1664">
        <f t="shared" si="3"/>
        <v>0</v>
      </c>
      <c r="K42" s="1664">
        <f t="shared" si="3"/>
        <v>0</v>
      </c>
      <c r="L42" s="1664">
        <f t="shared" si="3"/>
        <v>0</v>
      </c>
    </row>
    <row r="43" spans="1:14" ht="15.75" customHeight="1" thickTop="1" x14ac:dyDescent="0.2">
      <c r="A43" s="623" t="s">
        <v>592</v>
      </c>
      <c r="B43" s="624"/>
      <c r="C43" s="625"/>
      <c r="D43" s="625"/>
      <c r="E43" s="625"/>
      <c r="F43" s="625"/>
      <c r="G43" s="625"/>
      <c r="H43" s="625"/>
      <c r="I43" s="615"/>
      <c r="J43" s="615"/>
      <c r="K43" s="625"/>
      <c r="L43" s="625"/>
    </row>
    <row r="44" spans="1:14" x14ac:dyDescent="0.2">
      <c r="A44" s="1502" t="s">
        <v>814</v>
      </c>
      <c r="B44" s="613">
        <v>2210</v>
      </c>
      <c r="C44" s="466">
        <v>0</v>
      </c>
      <c r="D44" s="466">
        <v>0</v>
      </c>
      <c r="E44" s="466">
        <v>0</v>
      </c>
      <c r="F44" s="466">
        <v>0</v>
      </c>
      <c r="G44" s="466">
        <v>0</v>
      </c>
      <c r="H44" s="466">
        <v>0</v>
      </c>
      <c r="I44" s="466">
        <v>0</v>
      </c>
      <c r="J44" s="466">
        <v>0</v>
      </c>
      <c r="K44" s="1666">
        <f>SUM(C44:J44)</f>
        <v>0</v>
      </c>
      <c r="L44" s="568">
        <v>0</v>
      </c>
    </row>
    <row r="45" spans="1:14" x14ac:dyDescent="0.2">
      <c r="A45" s="1502" t="s">
        <v>815</v>
      </c>
      <c r="B45" s="613">
        <v>2220</v>
      </c>
      <c r="C45" s="466">
        <v>0</v>
      </c>
      <c r="D45" s="466">
        <v>0</v>
      </c>
      <c r="E45" s="466">
        <v>585</v>
      </c>
      <c r="F45" s="466">
        <v>0</v>
      </c>
      <c r="G45" s="466">
        <v>0</v>
      </c>
      <c r="H45" s="466">
        <v>0</v>
      </c>
      <c r="I45" s="466">
        <v>0</v>
      </c>
      <c r="J45" s="466">
        <v>0</v>
      </c>
      <c r="K45" s="1666">
        <f>SUM(C45:J45)</f>
        <v>585</v>
      </c>
      <c r="L45" s="466">
        <v>0</v>
      </c>
    </row>
    <row r="46" spans="1:14" x14ac:dyDescent="0.2">
      <c r="A46" s="1502" t="s">
        <v>816</v>
      </c>
      <c r="B46" s="613">
        <v>2230</v>
      </c>
      <c r="C46" s="466">
        <v>0</v>
      </c>
      <c r="D46" s="466">
        <v>0</v>
      </c>
      <c r="E46" s="466">
        <v>0</v>
      </c>
      <c r="F46" s="466">
        <v>0</v>
      </c>
      <c r="G46" s="466">
        <v>0</v>
      </c>
      <c r="H46" s="466">
        <v>0</v>
      </c>
      <c r="I46" s="466">
        <v>0</v>
      </c>
      <c r="J46" s="466">
        <v>0</v>
      </c>
      <c r="K46" s="1666">
        <f>SUM(C46:J46)</f>
        <v>0</v>
      </c>
      <c r="L46" s="466">
        <v>0</v>
      </c>
    </row>
    <row r="47" spans="1:14" ht="12.75" customHeight="1" thickBot="1" x14ac:dyDescent="0.25">
      <c r="A47" s="1662" t="s">
        <v>561</v>
      </c>
      <c r="B47" s="1663" t="s">
        <v>32</v>
      </c>
      <c r="C47" s="1664">
        <f>SUM(C44:C46)</f>
        <v>0</v>
      </c>
      <c r="D47" s="1664">
        <f t="shared" ref="D47:K47" si="4">SUM(D44:D46)</f>
        <v>0</v>
      </c>
      <c r="E47" s="1664">
        <f t="shared" si="4"/>
        <v>585</v>
      </c>
      <c r="F47" s="1664">
        <f t="shared" si="4"/>
        <v>0</v>
      </c>
      <c r="G47" s="1664">
        <f t="shared" si="4"/>
        <v>0</v>
      </c>
      <c r="H47" s="1664">
        <f t="shared" si="4"/>
        <v>0</v>
      </c>
      <c r="I47" s="1664">
        <f t="shared" si="4"/>
        <v>0</v>
      </c>
      <c r="J47" s="1664">
        <f t="shared" si="4"/>
        <v>0</v>
      </c>
      <c r="K47" s="1664">
        <f t="shared" si="4"/>
        <v>585</v>
      </c>
      <c r="L47" s="1664">
        <f>SUM(L44:L46)</f>
        <v>0</v>
      </c>
    </row>
    <row r="48" spans="1:14" ht="15.75" customHeight="1" thickTop="1" x14ac:dyDescent="0.2">
      <c r="A48" s="623" t="s">
        <v>610</v>
      </c>
      <c r="B48" s="624"/>
      <c r="C48" s="625"/>
      <c r="D48" s="625"/>
      <c r="E48" s="625"/>
      <c r="F48" s="625"/>
      <c r="G48" s="625"/>
      <c r="H48" s="625"/>
      <c r="I48" s="615"/>
      <c r="J48" s="615"/>
      <c r="K48" s="625"/>
      <c r="L48" s="625"/>
    </row>
    <row r="49" spans="1:14" x14ac:dyDescent="0.2">
      <c r="A49" s="1502" t="s">
        <v>817</v>
      </c>
      <c r="B49" s="613">
        <v>2310</v>
      </c>
      <c r="C49" s="466">
        <v>0</v>
      </c>
      <c r="D49" s="466">
        <v>0</v>
      </c>
      <c r="E49" s="466">
        <v>0</v>
      </c>
      <c r="F49" s="466">
        <v>0</v>
      </c>
      <c r="G49" s="466">
        <v>0</v>
      </c>
      <c r="H49" s="466">
        <v>0</v>
      </c>
      <c r="I49" s="466">
        <v>0</v>
      </c>
      <c r="J49" s="466">
        <v>0</v>
      </c>
      <c r="K49" s="1666">
        <f>SUM(C49:J49)</f>
        <v>0</v>
      </c>
      <c r="L49" s="568">
        <v>0</v>
      </c>
    </row>
    <row r="50" spans="1:14" x14ac:dyDescent="0.2">
      <c r="A50" s="1502" t="s">
        <v>818</v>
      </c>
      <c r="B50" s="613">
        <v>2320</v>
      </c>
      <c r="C50" s="466">
        <v>0</v>
      </c>
      <c r="D50" s="466">
        <v>0</v>
      </c>
      <c r="E50" s="466">
        <v>0</v>
      </c>
      <c r="F50" s="466">
        <v>0</v>
      </c>
      <c r="G50" s="466">
        <v>0</v>
      </c>
      <c r="H50" s="466">
        <v>0</v>
      </c>
      <c r="I50" s="466">
        <v>0</v>
      </c>
      <c r="J50" s="466">
        <v>0</v>
      </c>
      <c r="K50" s="1666">
        <f>SUM(C50:J50)</f>
        <v>0</v>
      </c>
      <c r="L50" s="466">
        <v>0</v>
      </c>
    </row>
    <row r="51" spans="1:14" x14ac:dyDescent="0.2">
      <c r="A51" s="1502" t="s">
        <v>42</v>
      </c>
      <c r="B51" s="613">
        <v>2330</v>
      </c>
      <c r="C51" s="466">
        <v>0</v>
      </c>
      <c r="D51" s="466">
        <v>0</v>
      </c>
      <c r="E51" s="466">
        <v>0</v>
      </c>
      <c r="F51" s="466">
        <v>0</v>
      </c>
      <c r="G51" s="466">
        <v>0</v>
      </c>
      <c r="H51" s="466">
        <v>0</v>
      </c>
      <c r="I51" s="466" t="s">
        <v>1169</v>
      </c>
      <c r="J51" s="466">
        <v>0</v>
      </c>
      <c r="K51" s="1666">
        <f>SUM(C51:J51)</f>
        <v>0</v>
      </c>
      <c r="L51" s="466">
        <v>0</v>
      </c>
    </row>
    <row r="52" spans="1:14" ht="22.5" x14ac:dyDescent="0.2">
      <c r="A52" s="1503" t="s">
        <v>298</v>
      </c>
      <c r="B52" s="626" t="s">
        <v>366</v>
      </c>
      <c r="C52" s="466">
        <v>0</v>
      </c>
      <c r="D52" s="466">
        <v>0</v>
      </c>
      <c r="E52" s="466">
        <v>0</v>
      </c>
      <c r="F52" s="466">
        <v>0</v>
      </c>
      <c r="G52" s="466">
        <v>0</v>
      </c>
      <c r="H52" s="466">
        <v>0</v>
      </c>
      <c r="I52" s="466">
        <v>0</v>
      </c>
      <c r="J52" s="466">
        <v>0</v>
      </c>
      <c r="K52" s="1666">
        <f>SUM(C52:J52)</f>
        <v>0</v>
      </c>
      <c r="L52" s="474">
        <v>0</v>
      </c>
    </row>
    <row r="53" spans="1:14" ht="12.75" customHeight="1" thickBot="1" x14ac:dyDescent="0.25">
      <c r="A53" s="1662" t="s">
        <v>717</v>
      </c>
      <c r="B53" s="1663" t="s">
        <v>33</v>
      </c>
      <c r="C53" s="1664">
        <f>SUM(C49:C52)</f>
        <v>0</v>
      </c>
      <c r="D53" s="1664">
        <f t="shared" ref="D53:L53" si="5">SUM(D49:D52)</f>
        <v>0</v>
      </c>
      <c r="E53" s="1664">
        <f t="shared" si="5"/>
        <v>0</v>
      </c>
      <c r="F53" s="1664">
        <f t="shared" si="5"/>
        <v>0</v>
      </c>
      <c r="G53" s="1664">
        <f t="shared" si="5"/>
        <v>0</v>
      </c>
      <c r="H53" s="1664">
        <f t="shared" si="5"/>
        <v>0</v>
      </c>
      <c r="I53" s="1664">
        <f t="shared" si="5"/>
        <v>0</v>
      </c>
      <c r="J53" s="1664">
        <f t="shared" si="5"/>
        <v>0</v>
      </c>
      <c r="K53" s="1664">
        <f t="shared" si="5"/>
        <v>0</v>
      </c>
      <c r="L53" s="1664">
        <f t="shared" si="5"/>
        <v>0</v>
      </c>
    </row>
    <row r="54" spans="1:14" ht="15.75" customHeight="1" thickTop="1" x14ac:dyDescent="0.2">
      <c r="A54" s="623" t="s">
        <v>611</v>
      </c>
      <c r="B54" s="624"/>
      <c r="C54" s="625"/>
      <c r="D54" s="625"/>
      <c r="E54" s="625"/>
      <c r="F54" s="625"/>
      <c r="G54" s="625"/>
      <c r="H54" s="625"/>
      <c r="I54" s="615"/>
      <c r="J54" s="615"/>
      <c r="K54" s="625"/>
      <c r="L54" s="625"/>
    </row>
    <row r="55" spans="1:14" x14ac:dyDescent="0.2">
      <c r="A55" s="1502" t="s">
        <v>1067</v>
      </c>
      <c r="B55" s="613">
        <v>2410</v>
      </c>
      <c r="C55" s="466">
        <v>0</v>
      </c>
      <c r="D55" s="466">
        <v>0</v>
      </c>
      <c r="E55" s="466">
        <v>9861</v>
      </c>
      <c r="F55" s="466">
        <v>10243</v>
      </c>
      <c r="G55" s="466">
        <v>0</v>
      </c>
      <c r="H55" s="466">
        <v>352</v>
      </c>
      <c r="I55" s="466">
        <v>0</v>
      </c>
      <c r="J55" s="466">
        <v>0</v>
      </c>
      <c r="K55" s="1666">
        <f>SUM(C55:J55)</f>
        <v>20456</v>
      </c>
      <c r="L55" s="568">
        <v>13600</v>
      </c>
    </row>
    <row r="56" spans="1:14" ht="12.75" customHeight="1" x14ac:dyDescent="0.2">
      <c r="A56" s="1506" t="s">
        <v>376</v>
      </c>
      <c r="B56" s="627">
        <v>2490</v>
      </c>
      <c r="C56" s="466">
        <v>0</v>
      </c>
      <c r="D56" s="466">
        <v>0</v>
      </c>
      <c r="E56" s="466">
        <v>0</v>
      </c>
      <c r="F56" s="466">
        <v>0</v>
      </c>
      <c r="G56" s="466">
        <v>0</v>
      </c>
      <c r="H56" s="466">
        <v>0</v>
      </c>
      <c r="I56" s="466">
        <v>0</v>
      </c>
      <c r="J56" s="466">
        <v>0</v>
      </c>
      <c r="K56" s="1666">
        <f>SUM(C56:J56)</f>
        <v>0</v>
      </c>
      <c r="L56" s="466">
        <v>0</v>
      </c>
    </row>
    <row r="57" spans="1:14" s="343" customFormat="1" ht="12.75" customHeight="1" thickBot="1" x14ac:dyDescent="0.25">
      <c r="A57" s="1662" t="s">
        <v>263</v>
      </c>
      <c r="B57" s="1667" t="s">
        <v>34</v>
      </c>
      <c r="C57" s="1668">
        <f>SUM(C55:C56)</f>
        <v>0</v>
      </c>
      <c r="D57" s="1668">
        <f t="shared" ref="D57:K57" si="6">SUM(D55:D56)</f>
        <v>0</v>
      </c>
      <c r="E57" s="1668">
        <f t="shared" si="6"/>
        <v>9861</v>
      </c>
      <c r="F57" s="1668">
        <f t="shared" si="6"/>
        <v>10243</v>
      </c>
      <c r="G57" s="1668">
        <f t="shared" si="6"/>
        <v>0</v>
      </c>
      <c r="H57" s="1668">
        <f t="shared" si="6"/>
        <v>352</v>
      </c>
      <c r="I57" s="1668">
        <f t="shared" si="6"/>
        <v>0</v>
      </c>
      <c r="J57" s="1668">
        <f t="shared" si="6"/>
        <v>0</v>
      </c>
      <c r="K57" s="1668">
        <f t="shared" si="6"/>
        <v>20456</v>
      </c>
      <c r="L57" s="1664">
        <f>SUM(L55:L56)</f>
        <v>13600</v>
      </c>
      <c r="M57" s="608"/>
      <c r="N57" s="608"/>
    </row>
    <row r="58" spans="1:14" s="343" customFormat="1" ht="15.75" customHeight="1" thickTop="1" x14ac:dyDescent="0.2">
      <c r="A58" s="623" t="s">
        <v>612</v>
      </c>
      <c r="B58" s="624"/>
      <c r="C58" s="628"/>
      <c r="D58" s="625"/>
      <c r="E58" s="625"/>
      <c r="F58" s="625"/>
      <c r="G58" s="625"/>
      <c r="H58" s="625"/>
      <c r="I58" s="615"/>
      <c r="J58" s="615"/>
      <c r="K58" s="625"/>
      <c r="L58" s="625"/>
      <c r="M58" s="608"/>
      <c r="N58" s="608"/>
    </row>
    <row r="59" spans="1:14" s="343" customFormat="1" x14ac:dyDescent="0.2">
      <c r="A59" s="1502" t="s">
        <v>1068</v>
      </c>
      <c r="B59" s="613">
        <v>2510</v>
      </c>
      <c r="C59" s="466">
        <v>0</v>
      </c>
      <c r="D59" s="466">
        <v>0</v>
      </c>
      <c r="E59" s="466">
        <v>0</v>
      </c>
      <c r="F59" s="466">
        <v>0</v>
      </c>
      <c r="G59" s="466">
        <v>0</v>
      </c>
      <c r="H59" s="466">
        <v>0</v>
      </c>
      <c r="I59" s="466">
        <v>0</v>
      </c>
      <c r="J59" s="466">
        <v>0</v>
      </c>
      <c r="K59" s="1666">
        <f t="shared" ref="K59:K64" si="7">SUM(C59:J59)</f>
        <v>0</v>
      </c>
      <c r="L59" s="568">
        <v>0</v>
      </c>
      <c r="M59" s="608"/>
      <c r="N59" s="608"/>
    </row>
    <row r="60" spans="1:14" s="343" customFormat="1" x14ac:dyDescent="0.2">
      <c r="A60" s="1502" t="s">
        <v>463</v>
      </c>
      <c r="B60" s="613">
        <v>2520</v>
      </c>
      <c r="C60" s="466">
        <v>0</v>
      </c>
      <c r="D60" s="466">
        <v>0</v>
      </c>
      <c r="E60" s="466">
        <v>0</v>
      </c>
      <c r="F60" s="466">
        <v>0</v>
      </c>
      <c r="G60" s="466">
        <v>0</v>
      </c>
      <c r="H60" s="466">
        <v>0</v>
      </c>
      <c r="I60" s="466">
        <v>0</v>
      </c>
      <c r="J60" s="466">
        <v>0</v>
      </c>
      <c r="K60" s="1666">
        <f t="shared" si="7"/>
        <v>0</v>
      </c>
      <c r="L60" s="466">
        <v>0</v>
      </c>
      <c r="M60" s="608"/>
      <c r="N60" s="608"/>
    </row>
    <row r="61" spans="1:14" s="343" customFormat="1" x14ac:dyDescent="0.2">
      <c r="A61" s="1502" t="s">
        <v>197</v>
      </c>
      <c r="B61" s="613">
        <v>2540</v>
      </c>
      <c r="C61" s="466">
        <v>0</v>
      </c>
      <c r="D61" s="466">
        <v>0</v>
      </c>
      <c r="E61" s="466">
        <v>0</v>
      </c>
      <c r="F61" s="466">
        <v>0</v>
      </c>
      <c r="G61" s="466">
        <v>0</v>
      </c>
      <c r="H61" s="466">
        <v>0</v>
      </c>
      <c r="I61" s="466">
        <v>0</v>
      </c>
      <c r="J61" s="466">
        <v>0</v>
      </c>
      <c r="K61" s="1666">
        <f t="shared" si="7"/>
        <v>0</v>
      </c>
      <c r="L61" s="466">
        <v>0</v>
      </c>
      <c r="M61" s="608"/>
      <c r="N61" s="608"/>
    </row>
    <row r="62" spans="1:14" s="343" customFormat="1" x14ac:dyDescent="0.2">
      <c r="A62" s="1502" t="s">
        <v>953</v>
      </c>
      <c r="B62" s="613">
        <v>2550</v>
      </c>
      <c r="C62" s="466">
        <v>0</v>
      </c>
      <c r="D62" s="466">
        <v>0</v>
      </c>
      <c r="E62" s="466">
        <v>0</v>
      </c>
      <c r="F62" s="466">
        <v>0</v>
      </c>
      <c r="G62" s="466">
        <v>0</v>
      </c>
      <c r="H62" s="466">
        <v>0</v>
      </c>
      <c r="I62" s="466">
        <v>0</v>
      </c>
      <c r="J62" s="466">
        <v>0</v>
      </c>
      <c r="K62" s="1666">
        <f t="shared" si="7"/>
        <v>0</v>
      </c>
      <c r="L62" s="466">
        <v>0</v>
      </c>
      <c r="M62" s="608"/>
      <c r="N62" s="608"/>
    </row>
    <row r="63" spans="1:14" s="608" customFormat="1" x14ac:dyDescent="0.2">
      <c r="A63" s="1502" t="s">
        <v>100</v>
      </c>
      <c r="B63" s="613">
        <v>2560</v>
      </c>
      <c r="C63" s="466">
        <v>0</v>
      </c>
      <c r="D63" s="466">
        <v>0</v>
      </c>
      <c r="E63" s="466">
        <v>0</v>
      </c>
      <c r="F63" s="466">
        <v>0</v>
      </c>
      <c r="G63" s="466">
        <v>0</v>
      </c>
      <c r="H63" s="466">
        <v>0</v>
      </c>
      <c r="I63" s="466">
        <v>0</v>
      </c>
      <c r="J63" s="466">
        <v>0</v>
      </c>
      <c r="K63" s="1666">
        <f t="shared" si="7"/>
        <v>0</v>
      </c>
      <c r="L63" s="466">
        <v>0</v>
      </c>
    </row>
    <row r="64" spans="1:14" s="608" customFormat="1" x14ac:dyDescent="0.2">
      <c r="A64" s="1507" t="s">
        <v>101</v>
      </c>
      <c r="B64" s="629">
        <v>2570</v>
      </c>
      <c r="C64" s="466">
        <v>0</v>
      </c>
      <c r="D64" s="466">
        <v>0</v>
      </c>
      <c r="E64" s="466">
        <v>0</v>
      </c>
      <c r="F64" s="466">
        <v>0</v>
      </c>
      <c r="G64" s="466">
        <v>0</v>
      </c>
      <c r="H64" s="466">
        <v>0</v>
      </c>
      <c r="I64" s="466">
        <v>0</v>
      </c>
      <c r="J64" s="466">
        <v>0</v>
      </c>
      <c r="K64" s="1666">
        <f t="shared" si="7"/>
        <v>0</v>
      </c>
      <c r="L64" s="568">
        <v>0</v>
      </c>
    </row>
    <row r="65" spans="1:14" s="343" customFormat="1" ht="12.75" customHeight="1" thickBot="1" x14ac:dyDescent="0.25">
      <c r="A65" s="1662" t="s">
        <v>719</v>
      </c>
      <c r="B65" s="1663" t="s">
        <v>35</v>
      </c>
      <c r="C65" s="1664">
        <f>SUM(C59:C64)</f>
        <v>0</v>
      </c>
      <c r="D65" s="1664">
        <f t="shared" ref="D65:L65" si="8">SUM(D59:D64)</f>
        <v>0</v>
      </c>
      <c r="E65" s="1664">
        <f t="shared" si="8"/>
        <v>0</v>
      </c>
      <c r="F65" s="1664">
        <f t="shared" si="8"/>
        <v>0</v>
      </c>
      <c r="G65" s="1664">
        <f t="shared" si="8"/>
        <v>0</v>
      </c>
      <c r="H65" s="1664">
        <f t="shared" si="8"/>
        <v>0</v>
      </c>
      <c r="I65" s="1664">
        <f t="shared" si="8"/>
        <v>0</v>
      </c>
      <c r="J65" s="1664">
        <f t="shared" si="8"/>
        <v>0</v>
      </c>
      <c r="K65" s="1664">
        <f t="shared" si="8"/>
        <v>0</v>
      </c>
      <c r="L65" s="1664">
        <f t="shared" si="8"/>
        <v>0</v>
      </c>
      <c r="M65" s="608"/>
      <c r="N65" s="608"/>
    </row>
    <row r="66" spans="1:14" s="343" customFormat="1" ht="15.75" customHeight="1" thickTop="1" x14ac:dyDescent="0.2">
      <c r="A66" s="623" t="s">
        <v>613</v>
      </c>
      <c r="B66" s="630"/>
      <c r="C66" s="615"/>
      <c r="D66" s="615"/>
      <c r="E66" s="615"/>
      <c r="F66" s="615"/>
      <c r="G66" s="615"/>
      <c r="H66" s="615"/>
      <c r="I66" s="615"/>
      <c r="J66" s="615"/>
      <c r="K66" s="625"/>
      <c r="L66" s="625"/>
      <c r="M66" s="608"/>
      <c r="N66" s="608"/>
    </row>
    <row r="67" spans="1:14" s="343" customFormat="1" x14ac:dyDescent="0.2">
      <c r="A67" s="1502" t="s">
        <v>1060</v>
      </c>
      <c r="B67" s="613">
        <v>2610</v>
      </c>
      <c r="C67" s="466">
        <v>0</v>
      </c>
      <c r="D67" s="466">
        <v>0</v>
      </c>
      <c r="E67" s="466">
        <v>0</v>
      </c>
      <c r="F67" s="466">
        <v>0</v>
      </c>
      <c r="G67" s="466">
        <v>0</v>
      </c>
      <c r="H67" s="466">
        <v>0</v>
      </c>
      <c r="I67" s="466">
        <v>0</v>
      </c>
      <c r="J67" s="466">
        <v>0</v>
      </c>
      <c r="K67" s="1666">
        <f>SUM(C67:J67)</f>
        <v>0</v>
      </c>
      <c r="L67" s="568">
        <v>0</v>
      </c>
      <c r="M67" s="608"/>
      <c r="N67" s="608"/>
    </row>
    <row r="68" spans="1:14" s="343" customFormat="1" x14ac:dyDescent="0.2">
      <c r="A68" s="1502" t="s">
        <v>607</v>
      </c>
      <c r="B68" s="613">
        <v>2620</v>
      </c>
      <c r="C68" s="466">
        <v>0</v>
      </c>
      <c r="D68" s="466">
        <v>0</v>
      </c>
      <c r="E68" s="466">
        <v>0</v>
      </c>
      <c r="F68" s="466">
        <v>0</v>
      </c>
      <c r="G68" s="466">
        <v>0</v>
      </c>
      <c r="H68" s="466">
        <v>0</v>
      </c>
      <c r="I68" s="466">
        <v>0</v>
      </c>
      <c r="J68" s="466">
        <v>0</v>
      </c>
      <c r="K68" s="1666">
        <f>SUM(C68:J68)</f>
        <v>0</v>
      </c>
      <c r="L68" s="466">
        <v>100</v>
      </c>
      <c r="M68" s="608"/>
      <c r="N68" s="608"/>
    </row>
    <row r="69" spans="1:14" s="343" customFormat="1" x14ac:dyDescent="0.2">
      <c r="A69" s="1502" t="s">
        <v>1061</v>
      </c>
      <c r="B69" s="613">
        <v>2630</v>
      </c>
      <c r="C69" s="466">
        <v>0</v>
      </c>
      <c r="D69" s="466">
        <v>0</v>
      </c>
      <c r="E69" s="466">
        <v>0</v>
      </c>
      <c r="F69" s="466">
        <v>0</v>
      </c>
      <c r="G69" s="466">
        <v>0</v>
      </c>
      <c r="H69" s="466">
        <v>0</v>
      </c>
      <c r="I69" s="466">
        <v>0</v>
      </c>
      <c r="J69" s="466" t="s">
        <v>1169</v>
      </c>
      <c r="K69" s="1666">
        <f>SUM(C69:J69)</f>
        <v>0</v>
      </c>
      <c r="L69" s="466">
        <v>0</v>
      </c>
      <c r="M69" s="608"/>
      <c r="N69" s="608"/>
    </row>
    <row r="70" spans="1:14" s="343" customFormat="1" x14ac:dyDescent="0.2">
      <c r="A70" s="1502" t="s">
        <v>403</v>
      </c>
      <c r="B70" s="613">
        <v>2640</v>
      </c>
      <c r="C70" s="466">
        <v>0</v>
      </c>
      <c r="D70" s="466">
        <v>0</v>
      </c>
      <c r="E70" s="466">
        <v>0</v>
      </c>
      <c r="F70" s="466">
        <v>0</v>
      </c>
      <c r="G70" s="466">
        <v>0</v>
      </c>
      <c r="H70" s="466">
        <v>0</v>
      </c>
      <c r="I70" s="466">
        <v>0</v>
      </c>
      <c r="J70" s="466">
        <v>0</v>
      </c>
      <c r="K70" s="1666">
        <f>SUM(C70:J70)</f>
        <v>0</v>
      </c>
      <c r="L70" s="466">
        <v>0</v>
      </c>
      <c r="M70" s="608"/>
      <c r="N70" s="608"/>
    </row>
    <row r="71" spans="1:14" s="343" customFormat="1" x14ac:dyDescent="0.2">
      <c r="A71" s="1502" t="s">
        <v>404</v>
      </c>
      <c r="B71" s="613">
        <v>2660</v>
      </c>
      <c r="C71" s="466">
        <v>0</v>
      </c>
      <c r="D71" s="466">
        <v>0</v>
      </c>
      <c r="E71" s="466">
        <v>0</v>
      </c>
      <c r="F71" s="466">
        <v>0</v>
      </c>
      <c r="G71" s="466">
        <v>0</v>
      </c>
      <c r="H71" s="466">
        <v>0</v>
      </c>
      <c r="I71" s="466">
        <v>0</v>
      </c>
      <c r="J71" s="466">
        <v>0</v>
      </c>
      <c r="K71" s="1666">
        <f>SUM(C71:J71)</f>
        <v>0</v>
      </c>
      <c r="L71" s="466">
        <v>0</v>
      </c>
      <c r="M71" s="608"/>
      <c r="N71" s="608"/>
    </row>
    <row r="72" spans="1:14" s="343" customFormat="1" ht="12.75" customHeight="1" thickBot="1" x14ac:dyDescent="0.25">
      <c r="A72" s="1662" t="s">
        <v>37</v>
      </c>
      <c r="B72" s="1669" t="s">
        <v>36</v>
      </c>
      <c r="C72" s="1664">
        <f>SUM(C67:C71)</f>
        <v>0</v>
      </c>
      <c r="D72" s="1664">
        <f t="shared" ref="D72:K72" si="9">SUM(D67:D71)</f>
        <v>0</v>
      </c>
      <c r="E72" s="1664">
        <f t="shared" si="9"/>
        <v>0</v>
      </c>
      <c r="F72" s="1664">
        <f t="shared" si="9"/>
        <v>0</v>
      </c>
      <c r="G72" s="1664">
        <f t="shared" si="9"/>
        <v>0</v>
      </c>
      <c r="H72" s="1664">
        <f t="shared" si="9"/>
        <v>0</v>
      </c>
      <c r="I72" s="1664">
        <f t="shared" si="9"/>
        <v>0</v>
      </c>
      <c r="J72" s="1664">
        <f t="shared" si="9"/>
        <v>0</v>
      </c>
      <c r="K72" s="1664">
        <f t="shared" si="9"/>
        <v>0</v>
      </c>
      <c r="L72" s="1664">
        <f>SUM(L67:L71)</f>
        <v>100</v>
      </c>
      <c r="M72" s="608"/>
      <c r="N72" s="608"/>
    </row>
    <row r="73" spans="1:14" s="343" customFormat="1" ht="14.25" thickTop="1" thickBot="1" x14ac:dyDescent="0.25">
      <c r="A73" s="1508" t="s">
        <v>980</v>
      </c>
      <c r="B73" s="631" t="s">
        <v>574</v>
      </c>
      <c r="C73" s="466">
        <v>0</v>
      </c>
      <c r="D73" s="466">
        <v>0</v>
      </c>
      <c r="E73" s="466">
        <v>0</v>
      </c>
      <c r="F73" s="466">
        <v>0</v>
      </c>
      <c r="G73" s="466">
        <v>0</v>
      </c>
      <c r="H73" s="466">
        <v>0</v>
      </c>
      <c r="I73" s="466">
        <v>0</v>
      </c>
      <c r="J73" s="466">
        <v>0</v>
      </c>
      <c r="K73" s="1664">
        <f>SUM(C73:J73)</f>
        <v>0</v>
      </c>
      <c r="L73" s="575">
        <v>0</v>
      </c>
      <c r="M73" s="608"/>
      <c r="N73" s="608"/>
    </row>
    <row r="74" spans="1:14" ht="12.75" customHeight="1" thickTop="1" thickBot="1" x14ac:dyDescent="0.25">
      <c r="A74" s="1662" t="s">
        <v>811</v>
      </c>
      <c r="B74" s="1670">
        <v>2000</v>
      </c>
      <c r="C74" s="1671">
        <f>SUM(C42,C47,C53,C57,C65,C72,C73)</f>
        <v>0</v>
      </c>
      <c r="D74" s="1671">
        <f t="shared" ref="D74:K74" si="10">SUM(D42,D47,D53,D57,D65,D72,D73)</f>
        <v>0</v>
      </c>
      <c r="E74" s="1671">
        <f t="shared" si="10"/>
        <v>10446</v>
      </c>
      <c r="F74" s="1671">
        <f t="shared" si="10"/>
        <v>10243</v>
      </c>
      <c r="G74" s="1671">
        <f t="shared" si="10"/>
        <v>0</v>
      </c>
      <c r="H74" s="1671">
        <f t="shared" si="10"/>
        <v>352</v>
      </c>
      <c r="I74" s="1671">
        <f t="shared" si="10"/>
        <v>0</v>
      </c>
      <c r="J74" s="1671">
        <f t="shared" si="10"/>
        <v>0</v>
      </c>
      <c r="K74" s="1671">
        <f t="shared" si="10"/>
        <v>21041</v>
      </c>
      <c r="L74" s="1671">
        <f>SUM(L42,L47,L53,L57,L65,L72,L73)</f>
        <v>13700</v>
      </c>
    </row>
    <row r="75" spans="1:14" s="259" customFormat="1" ht="15.75" customHeight="1" thickTop="1" thickBot="1" x14ac:dyDescent="0.25">
      <c r="A75" s="1608" t="s">
        <v>47</v>
      </c>
      <c r="B75" s="1609" t="s">
        <v>575</v>
      </c>
      <c r="C75" s="466">
        <v>0</v>
      </c>
      <c r="D75" s="466">
        <v>0</v>
      </c>
      <c r="E75" s="466">
        <v>0</v>
      </c>
      <c r="F75" s="466">
        <v>0</v>
      </c>
      <c r="G75" s="466">
        <v>0</v>
      </c>
      <c r="H75" s="466">
        <v>0</v>
      </c>
      <c r="I75" s="466">
        <v>0</v>
      </c>
      <c r="J75" s="466">
        <v>0</v>
      </c>
      <c r="K75" s="1664">
        <f>SUM(C75:J75)</f>
        <v>0</v>
      </c>
      <c r="L75" s="575">
        <v>0</v>
      </c>
      <c r="M75" s="612"/>
      <c r="N75" s="612"/>
    </row>
    <row r="76" spans="1:14" s="632" customFormat="1" ht="15.75" customHeight="1" thickTop="1" x14ac:dyDescent="0.2">
      <c r="A76" s="1610" t="s">
        <v>365</v>
      </c>
      <c r="B76" s="1607" t="s">
        <v>860</v>
      </c>
      <c r="C76" s="617"/>
      <c r="D76" s="617"/>
      <c r="E76" s="615"/>
      <c r="F76" s="617"/>
      <c r="G76" s="617"/>
      <c r="H76" s="615"/>
      <c r="I76" s="615"/>
      <c r="J76" s="615"/>
      <c r="K76" s="615"/>
      <c r="L76" s="615"/>
      <c r="M76" s="184"/>
      <c r="N76" s="184"/>
    </row>
    <row r="77" spans="1:14" s="259" customFormat="1" ht="15.75" customHeight="1" x14ac:dyDescent="0.2">
      <c r="A77" s="620" t="s">
        <v>614</v>
      </c>
      <c r="B77" s="621"/>
      <c r="C77" s="615"/>
      <c r="D77" s="615"/>
      <c r="E77" s="622"/>
      <c r="F77" s="615"/>
      <c r="G77" s="615"/>
      <c r="H77" s="622"/>
      <c r="I77" s="615"/>
      <c r="J77" s="615"/>
      <c r="K77" s="622"/>
      <c r="L77" s="622"/>
      <c r="M77" s="612"/>
      <c r="N77" s="612"/>
    </row>
    <row r="78" spans="1:14" x14ac:dyDescent="0.2">
      <c r="A78" s="1502" t="s">
        <v>496</v>
      </c>
      <c r="B78" s="613">
        <v>4110</v>
      </c>
      <c r="C78" s="615"/>
      <c r="D78" s="615"/>
      <c r="E78" s="466">
        <v>0</v>
      </c>
      <c r="F78" s="615"/>
      <c r="G78" s="615"/>
      <c r="H78" s="466">
        <v>0</v>
      </c>
      <c r="I78" s="477"/>
      <c r="J78" s="477"/>
      <c r="K78" s="1665">
        <f t="shared" ref="K78:K83" si="11">SUM(C78:J78)</f>
        <v>0</v>
      </c>
      <c r="L78" s="568">
        <v>0</v>
      </c>
    </row>
    <row r="79" spans="1:14" x14ac:dyDescent="0.2">
      <c r="A79" s="1502" t="s">
        <v>304</v>
      </c>
      <c r="B79" s="613">
        <v>4120</v>
      </c>
      <c r="C79" s="615"/>
      <c r="D79" s="615"/>
      <c r="E79" s="466">
        <v>0</v>
      </c>
      <c r="F79" s="615"/>
      <c r="G79" s="615"/>
      <c r="H79" s="466">
        <v>0</v>
      </c>
      <c r="I79" s="477"/>
      <c r="J79" s="477"/>
      <c r="K79" s="1665">
        <f t="shared" si="11"/>
        <v>0</v>
      </c>
      <c r="L79" s="466">
        <v>0</v>
      </c>
    </row>
    <row r="80" spans="1:14" x14ac:dyDescent="0.2">
      <c r="A80" s="1502" t="s">
        <v>305</v>
      </c>
      <c r="B80" s="613">
        <v>4130</v>
      </c>
      <c r="C80" s="615"/>
      <c r="D80" s="615"/>
      <c r="E80" s="466">
        <v>0</v>
      </c>
      <c r="F80" s="615"/>
      <c r="G80" s="615"/>
      <c r="H80" s="466">
        <v>0</v>
      </c>
      <c r="I80" s="477"/>
      <c r="J80" s="477"/>
      <c r="K80" s="1665">
        <f t="shared" si="11"/>
        <v>0</v>
      </c>
      <c r="L80" s="466">
        <v>0</v>
      </c>
    </row>
    <row r="81" spans="1:12" x14ac:dyDescent="0.2">
      <c r="A81" s="1502" t="s">
        <v>697</v>
      </c>
      <c r="B81" s="613">
        <v>4140</v>
      </c>
      <c r="C81" s="615"/>
      <c r="D81" s="615"/>
      <c r="E81" s="466">
        <v>0</v>
      </c>
      <c r="F81" s="615"/>
      <c r="G81" s="615"/>
      <c r="H81" s="466">
        <v>810212</v>
      </c>
      <c r="I81" s="477"/>
      <c r="J81" s="477"/>
      <c r="K81" s="1665">
        <f t="shared" si="11"/>
        <v>810212</v>
      </c>
      <c r="L81" s="466">
        <v>0</v>
      </c>
    </row>
    <row r="82" spans="1:12" x14ac:dyDescent="0.2">
      <c r="A82" s="1502" t="s">
        <v>86</v>
      </c>
      <c r="B82" s="613">
        <v>4170</v>
      </c>
      <c r="C82" s="615"/>
      <c r="D82" s="615"/>
      <c r="E82" s="466">
        <v>0</v>
      </c>
      <c r="F82" s="615"/>
      <c r="G82" s="615"/>
      <c r="H82" s="466">
        <v>0</v>
      </c>
      <c r="I82" s="477"/>
      <c r="J82" s="477"/>
      <c r="K82" s="1665">
        <f t="shared" si="11"/>
        <v>0</v>
      </c>
      <c r="L82" s="466">
        <v>0</v>
      </c>
    </row>
    <row r="83" spans="1:12" x14ac:dyDescent="0.2">
      <c r="A83" s="1506" t="s">
        <v>698</v>
      </c>
      <c r="B83" s="627">
        <v>4190</v>
      </c>
      <c r="C83" s="615"/>
      <c r="D83" s="615"/>
      <c r="E83" s="466">
        <v>0</v>
      </c>
      <c r="F83" s="615"/>
      <c r="G83" s="615"/>
      <c r="H83" s="466">
        <v>0</v>
      </c>
      <c r="I83" s="477"/>
      <c r="J83" s="477"/>
      <c r="K83" s="1665">
        <f t="shared" si="11"/>
        <v>0</v>
      </c>
      <c r="L83" s="466">
        <v>0</v>
      </c>
    </row>
    <row r="84" spans="1:12" ht="13.5" thickBot="1" x14ac:dyDescent="0.25">
      <c r="A84" s="1662" t="s">
        <v>1485</v>
      </c>
      <c r="B84" s="1672">
        <v>4100</v>
      </c>
      <c r="C84" s="615"/>
      <c r="D84" s="615"/>
      <c r="E84" s="1664">
        <f>SUM(E78:E83)</f>
        <v>0</v>
      </c>
      <c r="F84" s="615"/>
      <c r="G84" s="615"/>
      <c r="H84" s="1664">
        <f>SUM(H78:H83)</f>
        <v>810212</v>
      </c>
      <c r="I84" s="477"/>
      <c r="J84" s="477"/>
      <c r="K84" s="1664">
        <f>SUM(K78:K83)</f>
        <v>810212</v>
      </c>
      <c r="L84" s="1664">
        <f>SUM(L78:L83)</f>
        <v>0</v>
      </c>
    </row>
    <row r="85" spans="1:12" ht="12.75" customHeight="1" thickTop="1" thickBot="1" x14ac:dyDescent="0.25">
      <c r="A85" s="1509" t="s">
        <v>255</v>
      </c>
      <c r="B85" s="633">
        <v>4210</v>
      </c>
      <c r="C85" s="615"/>
      <c r="D85" s="615"/>
      <c r="E85" s="634"/>
      <c r="F85" s="615"/>
      <c r="G85" s="615"/>
      <c r="H85" s="466">
        <v>0</v>
      </c>
      <c r="I85" s="477"/>
      <c r="J85" s="477"/>
      <c r="K85" s="1671">
        <f>H85</f>
        <v>0</v>
      </c>
      <c r="L85" s="530">
        <v>0</v>
      </c>
    </row>
    <row r="86" spans="1:12" ht="12.75" customHeight="1" thickTop="1" thickBot="1" x14ac:dyDescent="0.25">
      <c r="A86" s="1510" t="s">
        <v>699</v>
      </c>
      <c r="B86" s="635">
        <v>4220</v>
      </c>
      <c r="C86" s="615"/>
      <c r="D86" s="615"/>
      <c r="E86" s="636"/>
      <c r="F86" s="615"/>
      <c r="G86" s="615"/>
      <c r="H86" s="466">
        <v>0</v>
      </c>
      <c r="I86" s="477"/>
      <c r="J86" s="477"/>
      <c r="K86" s="1671">
        <f t="shared" ref="K86:K98" si="12">H86</f>
        <v>0</v>
      </c>
      <c r="L86" s="530">
        <v>0</v>
      </c>
    </row>
    <row r="87" spans="1:12" ht="14.25" thickTop="1" thickBot="1" x14ac:dyDescent="0.25">
      <c r="A87" s="1511" t="s">
        <v>700</v>
      </c>
      <c r="B87" s="637">
        <v>4230</v>
      </c>
      <c r="C87" s="615"/>
      <c r="D87" s="615"/>
      <c r="E87" s="636"/>
      <c r="F87" s="615"/>
      <c r="G87" s="615"/>
      <c r="H87" s="466">
        <v>0</v>
      </c>
      <c r="I87" s="477"/>
      <c r="J87" s="477"/>
      <c r="K87" s="1671">
        <f t="shared" si="12"/>
        <v>0</v>
      </c>
      <c r="L87" s="530">
        <v>0</v>
      </c>
    </row>
    <row r="88" spans="1:12" ht="12.75" customHeight="1" thickTop="1" thickBot="1" x14ac:dyDescent="0.25">
      <c r="A88" s="1511" t="s">
        <v>765</v>
      </c>
      <c r="B88" s="637">
        <v>4240</v>
      </c>
      <c r="C88" s="615"/>
      <c r="D88" s="615"/>
      <c r="E88" s="636"/>
      <c r="F88" s="615"/>
      <c r="G88" s="615"/>
      <c r="H88" s="466">
        <v>0</v>
      </c>
      <c r="I88" s="477"/>
      <c r="J88" s="477"/>
      <c r="K88" s="1671">
        <f t="shared" si="12"/>
        <v>0</v>
      </c>
      <c r="L88" s="530">
        <v>0</v>
      </c>
    </row>
    <row r="89" spans="1:12" ht="12.75" customHeight="1" thickTop="1" thickBot="1" x14ac:dyDescent="0.25">
      <c r="A89" s="1511" t="s">
        <v>701</v>
      </c>
      <c r="B89" s="637">
        <v>4270</v>
      </c>
      <c r="C89" s="615"/>
      <c r="D89" s="615"/>
      <c r="E89" s="636"/>
      <c r="F89" s="615"/>
      <c r="G89" s="615"/>
      <c r="H89" s="466">
        <v>0</v>
      </c>
      <c r="I89" s="477"/>
      <c r="J89" s="477"/>
      <c r="K89" s="1671">
        <f t="shared" si="12"/>
        <v>0</v>
      </c>
      <c r="L89" s="530">
        <v>0</v>
      </c>
    </row>
    <row r="90" spans="1:12" ht="12.75" customHeight="1" thickTop="1" thickBot="1" x14ac:dyDescent="0.25">
      <c r="A90" s="1511" t="s">
        <v>686</v>
      </c>
      <c r="B90" s="637">
        <v>4280</v>
      </c>
      <c r="C90" s="615"/>
      <c r="D90" s="615"/>
      <c r="E90" s="636"/>
      <c r="F90" s="615"/>
      <c r="G90" s="615"/>
      <c r="H90" s="466">
        <v>0</v>
      </c>
      <c r="I90" s="477"/>
      <c r="J90" s="477"/>
      <c r="K90" s="1671">
        <f t="shared" si="12"/>
        <v>0</v>
      </c>
      <c r="L90" s="530">
        <v>0</v>
      </c>
    </row>
    <row r="91" spans="1:12" ht="12.75" customHeight="1" thickTop="1" thickBot="1" x14ac:dyDescent="0.25">
      <c r="A91" s="1511" t="s">
        <v>687</v>
      </c>
      <c r="B91" s="637">
        <v>4290</v>
      </c>
      <c r="C91" s="615"/>
      <c r="D91" s="615"/>
      <c r="E91" s="636"/>
      <c r="F91" s="615"/>
      <c r="G91" s="615"/>
      <c r="H91" s="466">
        <v>0</v>
      </c>
      <c r="I91" s="477"/>
      <c r="J91" s="477"/>
      <c r="K91" s="1671">
        <f t="shared" si="12"/>
        <v>0</v>
      </c>
      <c r="L91" s="530">
        <v>0</v>
      </c>
    </row>
    <row r="92" spans="1:12" ht="14.25" thickTop="1" thickBot="1" x14ac:dyDescent="0.25">
      <c r="A92" s="1674" t="s">
        <v>1560</v>
      </c>
      <c r="B92" s="1672">
        <v>4200</v>
      </c>
      <c r="C92" s="615"/>
      <c r="D92" s="615"/>
      <c r="E92" s="636"/>
      <c r="F92" s="615"/>
      <c r="G92" s="615"/>
      <c r="H92" s="1664">
        <f>SUM(H85:H91)</f>
        <v>0</v>
      </c>
      <c r="I92" s="477"/>
      <c r="J92" s="477"/>
      <c r="K92" s="1671">
        <f t="shared" si="12"/>
        <v>0</v>
      </c>
      <c r="L92" s="1664">
        <f>SUM(L85:L91)</f>
        <v>0</v>
      </c>
    </row>
    <row r="93" spans="1:12" ht="14.25" thickTop="1" thickBot="1" x14ac:dyDescent="0.25">
      <c r="A93" s="1510" t="s">
        <v>688</v>
      </c>
      <c r="B93" s="638">
        <v>4310</v>
      </c>
      <c r="C93" s="615"/>
      <c r="D93" s="615"/>
      <c r="E93" s="636"/>
      <c r="F93" s="615"/>
      <c r="G93" s="615"/>
      <c r="H93" s="466">
        <v>0</v>
      </c>
      <c r="I93" s="477"/>
      <c r="J93" s="477"/>
      <c r="K93" s="1671">
        <f t="shared" si="12"/>
        <v>0</v>
      </c>
      <c r="L93" s="532">
        <v>0</v>
      </c>
    </row>
    <row r="94" spans="1:12" ht="12.75" customHeight="1" thickTop="1" thickBot="1" x14ac:dyDescent="0.25">
      <c r="A94" s="1511" t="s">
        <v>689</v>
      </c>
      <c r="B94" s="637">
        <v>4320</v>
      </c>
      <c r="C94" s="615"/>
      <c r="D94" s="615"/>
      <c r="E94" s="636"/>
      <c r="F94" s="615"/>
      <c r="G94" s="615"/>
      <c r="H94" s="466">
        <v>0</v>
      </c>
      <c r="I94" s="477"/>
      <c r="J94" s="477"/>
      <c r="K94" s="1671">
        <f t="shared" si="12"/>
        <v>0</v>
      </c>
      <c r="L94" s="530">
        <v>0</v>
      </c>
    </row>
    <row r="95" spans="1:12" ht="15" customHeight="1" thickTop="1" thickBot="1" x14ac:dyDescent="0.25">
      <c r="A95" s="1511" t="s">
        <v>1488</v>
      </c>
      <c r="B95" s="637">
        <v>4330</v>
      </c>
      <c r="C95" s="615"/>
      <c r="D95" s="615"/>
      <c r="E95" s="636"/>
      <c r="F95" s="615"/>
      <c r="G95" s="615"/>
      <c r="H95" s="466">
        <v>0</v>
      </c>
      <c r="I95" s="477"/>
      <c r="J95" s="477"/>
      <c r="K95" s="1671">
        <f t="shared" si="12"/>
        <v>0</v>
      </c>
      <c r="L95" s="530">
        <v>0</v>
      </c>
    </row>
    <row r="96" spans="1:12" ht="14.25" thickTop="1" thickBot="1" x14ac:dyDescent="0.25">
      <c r="A96" s="1511" t="s">
        <v>690</v>
      </c>
      <c r="B96" s="637">
        <v>4340</v>
      </c>
      <c r="C96" s="615"/>
      <c r="D96" s="615"/>
      <c r="E96" s="636"/>
      <c r="F96" s="615"/>
      <c r="G96" s="615"/>
      <c r="H96" s="466">
        <v>0</v>
      </c>
      <c r="I96" s="477"/>
      <c r="J96" s="477"/>
      <c r="K96" s="1671">
        <f t="shared" si="12"/>
        <v>0</v>
      </c>
      <c r="L96" s="530">
        <v>828863</v>
      </c>
    </row>
    <row r="97" spans="1:14" ht="12.75" customHeight="1" thickTop="1" thickBot="1" x14ac:dyDescent="0.25">
      <c r="A97" s="1511" t="s">
        <v>763</v>
      </c>
      <c r="B97" s="637">
        <v>4370</v>
      </c>
      <c r="C97" s="615"/>
      <c r="D97" s="615"/>
      <c r="E97" s="636"/>
      <c r="F97" s="615"/>
      <c r="G97" s="615"/>
      <c r="H97" s="466">
        <v>0</v>
      </c>
      <c r="I97" s="477"/>
      <c r="J97" s="477"/>
      <c r="K97" s="1671">
        <f t="shared" si="12"/>
        <v>0</v>
      </c>
      <c r="L97" s="530">
        <v>0</v>
      </c>
    </row>
    <row r="98" spans="1:14" ht="14.25" thickTop="1" thickBot="1" x14ac:dyDescent="0.25">
      <c r="A98" s="1511" t="s">
        <v>764</v>
      </c>
      <c r="B98" s="637">
        <v>4380</v>
      </c>
      <c r="C98" s="615"/>
      <c r="D98" s="615"/>
      <c r="E98" s="640"/>
      <c r="F98" s="615"/>
      <c r="G98" s="615"/>
      <c r="H98" s="466">
        <v>0</v>
      </c>
      <c r="I98" s="477"/>
      <c r="J98" s="477"/>
      <c r="K98" s="1671">
        <f t="shared" si="12"/>
        <v>0</v>
      </c>
      <c r="L98" s="530">
        <v>0</v>
      </c>
    </row>
    <row r="99" spans="1:14" ht="14.25" thickTop="1" thickBot="1" x14ac:dyDescent="0.25">
      <c r="A99" s="1511" t="s">
        <v>367</v>
      </c>
      <c r="B99" s="637">
        <v>4390</v>
      </c>
      <c r="C99" s="615"/>
      <c r="D99" s="615"/>
      <c r="E99" s="466">
        <v>0</v>
      </c>
      <c r="F99" s="615"/>
      <c r="G99" s="615"/>
      <c r="H99" s="466">
        <v>0</v>
      </c>
      <c r="I99" s="477"/>
      <c r="J99" s="477"/>
      <c r="K99" s="1671">
        <f>SUM(E99,H99)</f>
        <v>0</v>
      </c>
      <c r="L99" s="530">
        <v>0</v>
      </c>
    </row>
    <row r="100" spans="1:14" ht="14.25" thickTop="1" thickBot="1" x14ac:dyDescent="0.25">
      <c r="A100" s="1674" t="s">
        <v>1486</v>
      </c>
      <c r="B100" s="1675">
        <v>4300</v>
      </c>
      <c r="C100" s="615"/>
      <c r="D100" s="615"/>
      <c r="E100" s="1671">
        <f>SUM(E93:E99)</f>
        <v>0</v>
      </c>
      <c r="F100" s="615"/>
      <c r="G100" s="615"/>
      <c r="H100" s="1671">
        <f>SUM(H93:H99)</f>
        <v>0</v>
      </c>
      <c r="I100" s="477"/>
      <c r="J100" s="477"/>
      <c r="K100" s="1671">
        <f>SUM(K93:K99)</f>
        <v>0</v>
      </c>
      <c r="L100" s="1671">
        <f>SUM(L93:L99)</f>
        <v>828863</v>
      </c>
    </row>
    <row r="101" spans="1:14" ht="12.75" customHeight="1" thickTop="1" thickBot="1" x14ac:dyDescent="0.25">
      <c r="A101" s="1508" t="s">
        <v>1489</v>
      </c>
      <c r="B101" s="641" t="s">
        <v>931</v>
      </c>
      <c r="C101" s="615"/>
      <c r="D101" s="615"/>
      <c r="E101" s="466">
        <v>0</v>
      </c>
      <c r="F101" s="615"/>
      <c r="G101" s="615"/>
      <c r="H101" s="466">
        <v>0</v>
      </c>
      <c r="I101" s="477"/>
      <c r="J101" s="477"/>
      <c r="K101" s="1673">
        <f>SUM(C101:J101)</f>
        <v>0</v>
      </c>
      <c r="L101" s="530">
        <v>0</v>
      </c>
    </row>
    <row r="102" spans="1:14" ht="12.75" customHeight="1" thickTop="1" thickBot="1" x14ac:dyDescent="0.25">
      <c r="A102" s="1662" t="s">
        <v>1487</v>
      </c>
      <c r="B102" s="1672">
        <v>4000</v>
      </c>
      <c r="C102" s="615"/>
      <c r="D102" s="615"/>
      <c r="E102" s="1671">
        <f>SUM(E84,E92,E100,E101)</f>
        <v>0</v>
      </c>
      <c r="F102" s="615"/>
      <c r="G102" s="615"/>
      <c r="H102" s="1671">
        <f>SUM(H84,H92,H100,H101)</f>
        <v>810212</v>
      </c>
      <c r="I102" s="477"/>
      <c r="J102" s="477"/>
      <c r="K102" s="1671">
        <f>SUM(K84,K92,K100,K101)</f>
        <v>810212</v>
      </c>
      <c r="L102" s="1671">
        <f>SUM(L84,L92,L100,L101)</f>
        <v>828863</v>
      </c>
    </row>
    <row r="103" spans="1:14" s="632" customFormat="1" ht="15.75" customHeight="1" thickTop="1" x14ac:dyDescent="0.2">
      <c r="A103" s="1610" t="s">
        <v>513</v>
      </c>
      <c r="B103" s="1607" t="s">
        <v>492</v>
      </c>
      <c r="C103" s="615"/>
      <c r="D103" s="615"/>
      <c r="E103" s="615"/>
      <c r="F103" s="615"/>
      <c r="G103" s="615"/>
      <c r="H103" s="617"/>
      <c r="I103" s="468"/>
      <c r="J103" s="468"/>
      <c r="K103" s="617"/>
      <c r="L103" s="617"/>
      <c r="M103" s="184"/>
      <c r="N103" s="184"/>
    </row>
    <row r="104" spans="1:14" s="644" customFormat="1" ht="15.75" customHeight="1" x14ac:dyDescent="0.2">
      <c r="A104" s="642" t="s">
        <v>615</v>
      </c>
      <c r="B104" s="643"/>
      <c r="C104" s="615"/>
      <c r="D104" s="615"/>
      <c r="E104" s="615"/>
      <c r="F104" s="615"/>
      <c r="G104" s="615"/>
      <c r="H104" s="622"/>
      <c r="I104" s="468"/>
      <c r="J104" s="468"/>
      <c r="K104" s="622"/>
      <c r="L104" s="622"/>
      <c r="M104" s="612"/>
      <c r="N104" s="612"/>
    </row>
    <row r="105" spans="1:14" s="596" customFormat="1" x14ac:dyDescent="0.2">
      <c r="A105" s="1502" t="s">
        <v>87</v>
      </c>
      <c r="B105" s="613">
        <v>5110</v>
      </c>
      <c r="C105" s="615"/>
      <c r="D105" s="615"/>
      <c r="E105" s="615"/>
      <c r="F105" s="615"/>
      <c r="G105" s="615"/>
      <c r="H105" s="466">
        <v>0</v>
      </c>
      <c r="I105" s="468"/>
      <c r="J105" s="468"/>
      <c r="K105" s="1665">
        <f>H105</f>
        <v>0</v>
      </c>
      <c r="L105" s="568">
        <v>0</v>
      </c>
      <c r="M105" s="210"/>
      <c r="N105" s="210"/>
    </row>
    <row r="106" spans="1:14" s="596" customFormat="1" x14ac:dyDescent="0.2">
      <c r="A106" s="1502" t="s">
        <v>88</v>
      </c>
      <c r="B106" s="613">
        <v>5120</v>
      </c>
      <c r="C106" s="615"/>
      <c r="D106" s="615"/>
      <c r="E106" s="615"/>
      <c r="F106" s="615"/>
      <c r="G106" s="615"/>
      <c r="H106" s="466">
        <v>0</v>
      </c>
      <c r="I106" s="468"/>
      <c r="J106" s="468"/>
      <c r="K106" s="1665">
        <f>H106</f>
        <v>0</v>
      </c>
      <c r="L106" s="466">
        <v>0</v>
      </c>
      <c r="M106" s="210"/>
      <c r="N106" s="210"/>
    </row>
    <row r="107" spans="1:14" s="596" customFormat="1" ht="12.75" customHeight="1" x14ac:dyDescent="0.2">
      <c r="A107" s="1502" t="s">
        <v>1170</v>
      </c>
      <c r="B107" s="613">
        <v>5130</v>
      </c>
      <c r="C107" s="615"/>
      <c r="D107" s="615"/>
      <c r="E107" s="615"/>
      <c r="F107" s="615"/>
      <c r="G107" s="615"/>
      <c r="H107" s="466">
        <v>0</v>
      </c>
      <c r="I107" s="468"/>
      <c r="J107" s="468"/>
      <c r="K107" s="1665">
        <f>H107</f>
        <v>0</v>
      </c>
      <c r="L107" s="466">
        <v>0</v>
      </c>
      <c r="M107" s="210"/>
      <c r="N107" s="210"/>
    </row>
    <row r="108" spans="1:14" s="596" customFormat="1" x14ac:dyDescent="0.2">
      <c r="A108" s="1502" t="s">
        <v>89</v>
      </c>
      <c r="B108" s="613" t="s">
        <v>589</v>
      </c>
      <c r="C108" s="615"/>
      <c r="D108" s="615"/>
      <c r="E108" s="615"/>
      <c r="F108" s="615"/>
      <c r="G108" s="615"/>
      <c r="H108" s="466">
        <v>0</v>
      </c>
      <c r="I108" s="468"/>
      <c r="J108" s="468"/>
      <c r="K108" s="1665">
        <f>H108</f>
        <v>0</v>
      </c>
      <c r="L108" s="466">
        <v>0</v>
      </c>
      <c r="M108" s="210"/>
      <c r="N108" s="210"/>
    </row>
    <row r="109" spans="1:14" s="596" customFormat="1" x14ac:dyDescent="0.2">
      <c r="A109" s="1502" t="s">
        <v>254</v>
      </c>
      <c r="B109" s="627">
        <v>5150</v>
      </c>
      <c r="C109" s="615"/>
      <c r="D109" s="615"/>
      <c r="E109" s="615"/>
      <c r="F109" s="615"/>
      <c r="G109" s="615"/>
      <c r="H109" s="466">
        <v>0</v>
      </c>
      <c r="I109" s="468"/>
      <c r="J109" s="468"/>
      <c r="K109" s="1665">
        <f>H109</f>
        <v>0</v>
      </c>
      <c r="L109" s="466">
        <v>0</v>
      </c>
      <c r="M109" s="210"/>
      <c r="N109" s="210"/>
    </row>
    <row r="110" spans="1:14" s="596" customFormat="1" ht="12.75" customHeight="1" thickBot="1" x14ac:dyDescent="0.25">
      <c r="A110" s="1662" t="s">
        <v>1102</v>
      </c>
      <c r="B110" s="1669" t="s">
        <v>718</v>
      </c>
      <c r="C110" s="615"/>
      <c r="D110" s="615"/>
      <c r="E110" s="615"/>
      <c r="F110" s="615"/>
      <c r="G110" s="615"/>
      <c r="H110" s="1664">
        <f>SUM(H105:H109)</f>
        <v>0</v>
      </c>
      <c r="I110" s="468"/>
      <c r="J110" s="468"/>
      <c r="K110" s="1664">
        <f>SUM(K105:K109)</f>
        <v>0</v>
      </c>
      <c r="L110" s="1664">
        <f>SUM(L105:L109)</f>
        <v>0</v>
      </c>
      <c r="M110" s="210"/>
      <c r="N110" s="210"/>
    </row>
    <row r="111" spans="1:14" s="596" customFormat="1" ht="12.75" customHeight="1" thickTop="1" thickBot="1" x14ac:dyDescent="0.25">
      <c r="A111" s="1512" t="s">
        <v>368</v>
      </c>
      <c r="B111" s="645" t="s">
        <v>38</v>
      </c>
      <c r="C111" s="615"/>
      <c r="D111" s="615"/>
      <c r="E111" s="615"/>
      <c r="F111" s="615"/>
      <c r="G111" s="615"/>
      <c r="H111" s="466">
        <v>0</v>
      </c>
      <c r="I111" s="468"/>
      <c r="J111" s="468"/>
      <c r="K111" s="1677">
        <f>H111</f>
        <v>0</v>
      </c>
      <c r="L111" s="532">
        <v>0</v>
      </c>
      <c r="M111" s="210"/>
      <c r="N111" s="210"/>
    </row>
    <row r="112" spans="1:14" s="596" customFormat="1" ht="12.75" customHeight="1" thickTop="1" thickBot="1" x14ac:dyDescent="0.25">
      <c r="A112" s="1662" t="s">
        <v>638</v>
      </c>
      <c r="B112" s="1663" t="s">
        <v>492</v>
      </c>
      <c r="C112" s="615"/>
      <c r="D112" s="615"/>
      <c r="E112" s="615"/>
      <c r="F112" s="615"/>
      <c r="G112" s="615"/>
      <c r="H112" s="1664">
        <f>SUM(H110:H111)</f>
        <v>0</v>
      </c>
      <c r="I112" s="468"/>
      <c r="J112" s="468"/>
      <c r="K112" s="1664">
        <f>SUM(K110:K111)</f>
        <v>0</v>
      </c>
      <c r="L112" s="1671">
        <f>SUM(L110,L111)</f>
        <v>0</v>
      </c>
      <c r="M112" s="210"/>
      <c r="N112" s="210"/>
    </row>
    <row r="113" spans="1:14" s="259" customFormat="1" ht="15.75" customHeight="1" thickTop="1" thickBot="1" x14ac:dyDescent="0.25">
      <c r="A113" s="1604" t="s">
        <v>514</v>
      </c>
      <c r="B113" s="1611" t="s">
        <v>861</v>
      </c>
      <c r="C113" s="622"/>
      <c r="D113" s="622"/>
      <c r="E113" s="615"/>
      <c r="F113" s="615"/>
      <c r="G113" s="615"/>
      <c r="H113" s="622"/>
      <c r="I113" s="468"/>
      <c r="J113" s="468"/>
      <c r="K113" s="622"/>
      <c r="L113" s="531">
        <v>0</v>
      </c>
      <c r="M113" s="612"/>
      <c r="N113" s="612"/>
    </row>
    <row r="114" spans="1:14" ht="12.75" customHeight="1" thickTop="1" thickBot="1" x14ac:dyDescent="0.25">
      <c r="A114" s="1662" t="s">
        <v>48</v>
      </c>
      <c r="B114" s="1676"/>
      <c r="C114" s="1664">
        <f>SUM(C33,C74,C75,C102,C112,C113)</f>
        <v>0</v>
      </c>
      <c r="D114" s="1664">
        <f t="shared" ref="D114:K114" si="13">SUM(D33,D74,D75,D102,D112,D113)</f>
        <v>0</v>
      </c>
      <c r="E114" s="1664">
        <f t="shared" si="13"/>
        <v>146665</v>
      </c>
      <c r="F114" s="1664">
        <f t="shared" si="13"/>
        <v>258219</v>
      </c>
      <c r="G114" s="1664">
        <f t="shared" si="13"/>
        <v>0</v>
      </c>
      <c r="H114" s="1664">
        <f>SUM(H33,H74,H75,H102,H112,H113)</f>
        <v>810614</v>
      </c>
      <c r="I114" s="1664">
        <f t="shared" si="13"/>
        <v>0</v>
      </c>
      <c r="J114" s="1664">
        <f t="shared" si="13"/>
        <v>0</v>
      </c>
      <c r="K114" s="1664">
        <f t="shared" si="13"/>
        <v>1215498</v>
      </c>
      <c r="L114" s="1664">
        <f>SUM(L33,L74,L75,L102,L112,L113)</f>
        <v>1199313</v>
      </c>
    </row>
    <row r="115" spans="1:14" ht="13.5" thickTop="1" x14ac:dyDescent="0.2">
      <c r="A115" s="2162" t="s">
        <v>996</v>
      </c>
      <c r="B115" s="2163"/>
      <c r="C115" s="617"/>
      <c r="D115" s="617"/>
      <c r="E115" s="617"/>
      <c r="F115" s="617"/>
      <c r="G115" s="617"/>
      <c r="H115" s="617"/>
      <c r="I115" s="617"/>
      <c r="J115" s="617"/>
      <c r="K115" s="1678">
        <f>'Revenues 9-14'!C268-'Expenditures 15-22'!K114</f>
        <v>66169</v>
      </c>
      <c r="L115" s="617"/>
    </row>
    <row r="116" spans="1:14" s="180" customFormat="1" ht="9" customHeight="1" x14ac:dyDescent="0.2">
      <c r="A116" s="646"/>
      <c r="B116" s="647"/>
      <c r="C116" s="648"/>
      <c r="D116" s="648"/>
      <c r="E116" s="648"/>
      <c r="F116" s="648"/>
      <c r="G116" s="648"/>
      <c r="H116" s="648"/>
      <c r="I116" s="648"/>
      <c r="J116" s="648"/>
      <c r="K116" s="648"/>
      <c r="L116" s="648"/>
      <c r="M116" s="210"/>
      <c r="N116" s="210"/>
    </row>
    <row r="117" spans="1:14" s="649" customFormat="1" ht="16.7" customHeight="1" x14ac:dyDescent="0.2">
      <c r="A117" s="2167" t="s">
        <v>296</v>
      </c>
      <c r="B117" s="2168"/>
      <c r="C117" s="1624"/>
      <c r="D117" s="1625"/>
      <c r="E117" s="1625"/>
      <c r="F117" s="1625"/>
      <c r="G117" s="1625"/>
      <c r="H117" s="1625"/>
      <c r="I117" s="1625"/>
      <c r="J117" s="1625"/>
      <c r="K117" s="1625"/>
      <c r="L117" s="1626"/>
      <c r="M117" s="175"/>
      <c r="N117" s="175"/>
    </row>
    <row r="118" spans="1:14" ht="15.75" customHeight="1" x14ac:dyDescent="0.2">
      <c r="A118" s="1612" t="s">
        <v>1035</v>
      </c>
      <c r="B118" s="1613" t="s">
        <v>569</v>
      </c>
      <c r="C118" s="615"/>
      <c r="D118" s="615"/>
      <c r="E118" s="615"/>
      <c r="F118" s="615"/>
      <c r="G118" s="615"/>
      <c r="H118" s="615"/>
      <c r="I118" s="615"/>
      <c r="J118" s="615"/>
      <c r="K118" s="615"/>
      <c r="L118" s="615"/>
    </row>
    <row r="119" spans="1:14" ht="15.75" customHeight="1" x14ac:dyDescent="0.2">
      <c r="A119" s="650" t="s">
        <v>591</v>
      </c>
      <c r="B119" s="621"/>
      <c r="C119" s="622"/>
      <c r="D119" s="622"/>
      <c r="E119" s="622"/>
      <c r="F119" s="615"/>
      <c r="G119" s="615"/>
      <c r="H119" s="622"/>
      <c r="I119" s="615"/>
      <c r="J119" s="615"/>
      <c r="K119" s="622"/>
      <c r="L119" s="622"/>
    </row>
    <row r="120" spans="1:14" ht="12.75" customHeight="1" x14ac:dyDescent="0.2">
      <c r="A120" s="1506" t="s">
        <v>2058</v>
      </c>
      <c r="B120" s="627" t="s">
        <v>716</v>
      </c>
      <c r="C120" s="466">
        <v>0</v>
      </c>
      <c r="D120" s="466">
        <v>0</v>
      </c>
      <c r="E120" s="466">
        <v>0</v>
      </c>
      <c r="F120" s="466">
        <v>0</v>
      </c>
      <c r="G120" s="466">
        <v>0</v>
      </c>
      <c r="H120" s="466">
        <v>0</v>
      </c>
      <c r="I120" s="466">
        <v>0</v>
      </c>
      <c r="J120" s="466">
        <v>0</v>
      </c>
      <c r="K120" s="1665">
        <f>SUM(C120:J120)</f>
        <v>0</v>
      </c>
      <c r="L120" s="466">
        <v>0</v>
      </c>
    </row>
    <row r="121" spans="1:14" ht="15.75" customHeight="1" x14ac:dyDescent="0.2">
      <c r="A121" s="651" t="s">
        <v>612</v>
      </c>
      <c r="B121" s="621"/>
      <c r="C121" s="521"/>
      <c r="D121" s="521"/>
      <c r="E121" s="521"/>
      <c r="F121" s="521"/>
      <c r="G121" s="521"/>
      <c r="H121" s="521"/>
      <c r="I121" s="615"/>
      <c r="J121" s="615"/>
      <c r="K121" s="622"/>
      <c r="L121" s="521"/>
    </row>
    <row r="122" spans="1:14" ht="13.5" thickBot="1" x14ac:dyDescent="0.25">
      <c r="A122" s="1502" t="s">
        <v>1068</v>
      </c>
      <c r="B122" s="613">
        <v>2510</v>
      </c>
      <c r="C122" s="466">
        <v>0</v>
      </c>
      <c r="D122" s="466">
        <v>0</v>
      </c>
      <c r="E122" s="466">
        <v>0</v>
      </c>
      <c r="F122" s="466">
        <v>0</v>
      </c>
      <c r="G122" s="466">
        <v>0</v>
      </c>
      <c r="H122" s="466">
        <v>0</v>
      </c>
      <c r="I122" s="466">
        <v>0</v>
      </c>
      <c r="J122" s="466">
        <v>0</v>
      </c>
      <c r="K122" s="1664">
        <f>SUM(C122:J122)</f>
        <v>0</v>
      </c>
      <c r="L122" s="466">
        <v>0</v>
      </c>
    </row>
    <row r="123" spans="1:14" ht="14.25" thickTop="1" thickBot="1" x14ac:dyDescent="0.25">
      <c r="A123" s="1502" t="s">
        <v>4</v>
      </c>
      <c r="B123" s="613">
        <v>2530</v>
      </c>
      <c r="C123" s="466">
        <v>0</v>
      </c>
      <c r="D123" s="466">
        <v>0</v>
      </c>
      <c r="E123" s="466">
        <v>0</v>
      </c>
      <c r="F123" s="466">
        <v>0</v>
      </c>
      <c r="G123" s="466">
        <v>0</v>
      </c>
      <c r="H123" s="466">
        <v>0</v>
      </c>
      <c r="I123" s="466">
        <v>0</v>
      </c>
      <c r="J123" s="466">
        <v>0</v>
      </c>
      <c r="K123" s="1664">
        <f>SUM(C123:J123)</f>
        <v>0</v>
      </c>
      <c r="L123" s="466">
        <v>0</v>
      </c>
    </row>
    <row r="124" spans="1:14" ht="14.25" thickTop="1" thickBot="1" x14ac:dyDescent="0.25">
      <c r="A124" s="1502" t="s">
        <v>197</v>
      </c>
      <c r="B124" s="613">
        <v>2540</v>
      </c>
      <c r="C124" s="466">
        <v>0</v>
      </c>
      <c r="D124" s="466">
        <v>0</v>
      </c>
      <c r="E124" s="466">
        <v>0</v>
      </c>
      <c r="F124" s="466">
        <v>0</v>
      </c>
      <c r="G124" s="466">
        <v>0</v>
      </c>
      <c r="H124" s="466">
        <v>0</v>
      </c>
      <c r="I124" s="466">
        <v>0</v>
      </c>
      <c r="J124" s="466">
        <v>0</v>
      </c>
      <c r="K124" s="1664">
        <f>SUM(C124:J124)</f>
        <v>0</v>
      </c>
      <c r="L124" s="466">
        <v>0</v>
      </c>
    </row>
    <row r="125" spans="1:14" ht="14.25" thickTop="1" thickBot="1" x14ac:dyDescent="0.25">
      <c r="A125" s="1502" t="s">
        <v>953</v>
      </c>
      <c r="B125" s="613">
        <v>2550</v>
      </c>
      <c r="C125" s="466">
        <v>0</v>
      </c>
      <c r="D125" s="466">
        <v>0</v>
      </c>
      <c r="E125" s="466">
        <v>0</v>
      </c>
      <c r="F125" s="466">
        <v>0</v>
      </c>
      <c r="G125" s="466">
        <v>0</v>
      </c>
      <c r="H125" s="466">
        <v>0</v>
      </c>
      <c r="I125" s="466">
        <v>0</v>
      </c>
      <c r="J125" s="466">
        <v>0</v>
      </c>
      <c r="K125" s="1664">
        <f>SUM(C125:J125)</f>
        <v>0</v>
      </c>
      <c r="L125" s="466">
        <v>0</v>
      </c>
    </row>
    <row r="126" spans="1:14" ht="14.25" thickTop="1" thickBot="1" x14ac:dyDescent="0.25">
      <c r="A126" s="1502" t="s">
        <v>100</v>
      </c>
      <c r="B126" s="613">
        <v>2560</v>
      </c>
      <c r="C126" s="652"/>
      <c r="D126" s="652"/>
      <c r="E126" s="652"/>
      <c r="F126" s="652"/>
      <c r="G126" s="466">
        <v>0</v>
      </c>
      <c r="H126" s="652"/>
      <c r="I126" s="466">
        <v>0</v>
      </c>
      <c r="J126" s="615"/>
      <c r="K126" s="1664">
        <f>SUM(C126:J126)</f>
        <v>0</v>
      </c>
      <c r="L126" s="466">
        <v>0</v>
      </c>
    </row>
    <row r="127" spans="1:14" ht="12.75" customHeight="1" thickTop="1" thickBot="1" x14ac:dyDescent="0.25">
      <c r="A127" s="1662" t="s">
        <v>719</v>
      </c>
      <c r="B127" s="1663" t="s">
        <v>35</v>
      </c>
      <c r="C127" s="1664">
        <f>SUM(C122:C126)</f>
        <v>0</v>
      </c>
      <c r="D127" s="1664">
        <f t="shared" ref="D127:L127" si="14">SUM(D122:D126)</f>
        <v>0</v>
      </c>
      <c r="E127" s="1664">
        <f t="shared" si="14"/>
        <v>0</v>
      </c>
      <c r="F127" s="1664">
        <f t="shared" si="14"/>
        <v>0</v>
      </c>
      <c r="G127" s="1664">
        <f t="shared" si="14"/>
        <v>0</v>
      </c>
      <c r="H127" s="1664">
        <f t="shared" si="14"/>
        <v>0</v>
      </c>
      <c r="I127" s="1664">
        <f t="shared" si="14"/>
        <v>0</v>
      </c>
      <c r="J127" s="1664">
        <f t="shared" si="14"/>
        <v>0</v>
      </c>
      <c r="K127" s="1664">
        <f t="shared" si="14"/>
        <v>0</v>
      </c>
      <c r="L127" s="1664">
        <f t="shared" si="14"/>
        <v>0</v>
      </c>
    </row>
    <row r="128" spans="1:14" ht="12.75" customHeight="1" thickTop="1" x14ac:dyDescent="0.2">
      <c r="A128" s="1509" t="s">
        <v>980</v>
      </c>
      <c r="B128" s="653" t="s">
        <v>574</v>
      </c>
      <c r="C128" s="466">
        <v>0</v>
      </c>
      <c r="D128" s="466">
        <v>0</v>
      </c>
      <c r="E128" s="466">
        <v>0</v>
      </c>
      <c r="F128" s="466">
        <v>0</v>
      </c>
      <c r="G128" s="466">
        <v>0</v>
      </c>
      <c r="H128" s="466">
        <v>0</v>
      </c>
      <c r="I128" s="466">
        <v>0</v>
      </c>
      <c r="J128" s="466">
        <v>0</v>
      </c>
      <c r="K128" s="1679">
        <f>SUM(C128:J128)</f>
        <v>0</v>
      </c>
      <c r="L128" s="654">
        <v>0</v>
      </c>
    </row>
    <row r="129" spans="1:14" ht="12.75" customHeight="1" thickBot="1" x14ac:dyDescent="0.25">
      <c r="A129" s="1680" t="s">
        <v>811</v>
      </c>
      <c r="B129" s="1681" t="s">
        <v>569</v>
      </c>
      <c r="C129" s="1671">
        <f>SUM(C120,C127,C128)</f>
        <v>0</v>
      </c>
      <c r="D129" s="1671">
        <f t="shared" ref="D129:L129" si="15">SUM(D120,D127,D128)</f>
        <v>0</v>
      </c>
      <c r="E129" s="1671">
        <f t="shared" si="15"/>
        <v>0</v>
      </c>
      <c r="F129" s="1671">
        <f t="shared" si="15"/>
        <v>0</v>
      </c>
      <c r="G129" s="1671">
        <f t="shared" si="15"/>
        <v>0</v>
      </c>
      <c r="H129" s="1671">
        <f t="shared" si="15"/>
        <v>0</v>
      </c>
      <c r="I129" s="1671">
        <f t="shared" si="15"/>
        <v>0</v>
      </c>
      <c r="J129" s="1671">
        <f t="shared" si="15"/>
        <v>0</v>
      </c>
      <c r="K129" s="1671">
        <f t="shared" si="15"/>
        <v>0</v>
      </c>
      <c r="L129" s="1671">
        <f t="shared" si="15"/>
        <v>0</v>
      </c>
    </row>
    <row r="130" spans="1:14" ht="15.75" customHeight="1" thickTop="1" thickBot="1" x14ac:dyDescent="0.25">
      <c r="A130" s="1608" t="s">
        <v>1036</v>
      </c>
      <c r="B130" s="1609" t="s">
        <v>575</v>
      </c>
      <c r="C130" s="466">
        <v>0</v>
      </c>
      <c r="D130" s="466">
        <v>0</v>
      </c>
      <c r="E130" s="466">
        <v>0</v>
      </c>
      <c r="F130" s="466">
        <v>0</v>
      </c>
      <c r="G130" s="466">
        <v>0</v>
      </c>
      <c r="H130" s="466">
        <v>0</v>
      </c>
      <c r="I130" s="466">
        <v>0</v>
      </c>
      <c r="J130" s="466">
        <v>0</v>
      </c>
      <c r="K130" s="1664">
        <f>SUM(C130:J130)</f>
        <v>0</v>
      </c>
      <c r="L130" s="575">
        <v>0</v>
      </c>
    </row>
    <row r="131" spans="1:14" ht="15.75" customHeight="1" thickTop="1" x14ac:dyDescent="0.2">
      <c r="A131" s="1614" t="s">
        <v>616</v>
      </c>
      <c r="B131" s="1607" t="s">
        <v>860</v>
      </c>
      <c r="C131" s="468"/>
      <c r="D131" s="468"/>
      <c r="E131" s="565"/>
      <c r="F131" s="468"/>
      <c r="G131" s="468"/>
      <c r="H131" s="565"/>
      <c r="I131" s="468"/>
      <c r="J131" s="468"/>
      <c r="K131" s="565"/>
      <c r="L131" s="565"/>
    </row>
    <row r="132" spans="1:14" s="384" customFormat="1" ht="13.5" customHeight="1" x14ac:dyDescent="0.2">
      <c r="A132" s="655" t="s">
        <v>614</v>
      </c>
      <c r="B132" s="656"/>
      <c r="C132" s="468"/>
      <c r="D132" s="468"/>
      <c r="E132" s="521"/>
      <c r="F132" s="468"/>
      <c r="G132" s="468"/>
      <c r="H132" s="521"/>
      <c r="I132" s="468"/>
      <c r="J132" s="468"/>
      <c r="K132" s="521"/>
      <c r="L132" s="521"/>
      <c r="M132" s="206"/>
      <c r="N132" s="206"/>
    </row>
    <row r="133" spans="1:14" s="384" customFormat="1" ht="13.5" customHeight="1" x14ac:dyDescent="0.2">
      <c r="A133" s="1488" t="s">
        <v>496</v>
      </c>
      <c r="B133" s="1834" t="s">
        <v>1844</v>
      </c>
      <c r="C133" s="468"/>
      <c r="D133" s="468"/>
      <c r="E133" s="466" t="s">
        <v>1169</v>
      </c>
      <c r="F133" s="468"/>
      <c r="G133" s="468"/>
      <c r="H133" s="466" t="s">
        <v>1169</v>
      </c>
      <c r="I133" s="468"/>
      <c r="J133" s="468"/>
      <c r="K133" s="1815">
        <f>SUM(E133,H133)</f>
        <v>0</v>
      </c>
      <c r="L133" s="639">
        <v>0</v>
      </c>
      <c r="M133" s="206"/>
      <c r="N133" s="206"/>
    </row>
    <row r="134" spans="1:14" x14ac:dyDescent="0.2">
      <c r="A134" s="1502" t="s">
        <v>304</v>
      </c>
      <c r="B134" s="613">
        <v>4120</v>
      </c>
      <c r="C134" s="615"/>
      <c r="D134" s="615"/>
      <c r="E134" s="466">
        <v>0</v>
      </c>
      <c r="F134" s="615"/>
      <c r="G134" s="615"/>
      <c r="H134" s="466">
        <v>0</v>
      </c>
      <c r="I134" s="477"/>
      <c r="J134" s="615"/>
      <c r="K134" s="1666">
        <f>SUM(E134,H134)</f>
        <v>0</v>
      </c>
      <c r="L134" s="568">
        <v>0</v>
      </c>
    </row>
    <row r="135" spans="1:14" x14ac:dyDescent="0.2">
      <c r="A135" s="1502" t="s">
        <v>697</v>
      </c>
      <c r="B135" s="613">
        <v>4140</v>
      </c>
      <c r="C135" s="615"/>
      <c r="D135" s="615"/>
      <c r="E135" s="466">
        <v>0</v>
      </c>
      <c r="F135" s="615"/>
      <c r="G135" s="615"/>
      <c r="H135" s="466">
        <v>0</v>
      </c>
      <c r="I135" s="477"/>
      <c r="J135" s="615"/>
      <c r="K135" s="1666">
        <f>SUM(E135,H135)</f>
        <v>0</v>
      </c>
      <c r="L135" s="466">
        <v>0</v>
      </c>
    </row>
    <row r="136" spans="1:14" x14ac:dyDescent="0.2">
      <c r="A136" s="1506" t="s">
        <v>698</v>
      </c>
      <c r="B136" s="627">
        <v>4190</v>
      </c>
      <c r="C136" s="615"/>
      <c r="D136" s="615"/>
      <c r="E136" s="466">
        <v>0</v>
      </c>
      <c r="F136" s="615"/>
      <c r="G136" s="615"/>
      <c r="H136" s="466">
        <v>0</v>
      </c>
      <c r="I136" s="477"/>
      <c r="J136" s="615"/>
      <c r="K136" s="1666">
        <f>SUM(E136,H136)</f>
        <v>0</v>
      </c>
      <c r="L136" s="466">
        <v>0</v>
      </c>
    </row>
    <row r="137" spans="1:14" ht="12.75" customHeight="1" thickBot="1" x14ac:dyDescent="0.25">
      <c r="A137" s="1662" t="s">
        <v>480</v>
      </c>
      <c r="B137" s="1672">
        <v>4100</v>
      </c>
      <c r="C137" s="615"/>
      <c r="D137" s="615"/>
      <c r="E137" s="1664">
        <f>SUM(E133:E136)</f>
        <v>0</v>
      </c>
      <c r="F137" s="615"/>
      <c r="G137" s="615"/>
      <c r="H137" s="1664">
        <f>SUM(H133:H136)</f>
        <v>0</v>
      </c>
      <c r="I137" s="477"/>
      <c r="J137" s="615"/>
      <c r="K137" s="1664">
        <f>SUM(K133:K136)</f>
        <v>0</v>
      </c>
      <c r="L137" s="1664">
        <f>SUM(L133:L136)</f>
        <v>0</v>
      </c>
    </row>
    <row r="138" spans="1:14" ht="12.75" customHeight="1" thickTop="1" thickBot="1" x14ac:dyDescent="0.25">
      <c r="A138" s="1508" t="s">
        <v>96</v>
      </c>
      <c r="B138" s="641" t="s">
        <v>931</v>
      </c>
      <c r="C138" s="615"/>
      <c r="D138" s="615"/>
      <c r="E138" s="466" t="s">
        <v>1169</v>
      </c>
      <c r="F138" s="615"/>
      <c r="G138" s="615"/>
      <c r="H138" s="466">
        <v>0</v>
      </c>
      <c r="I138" s="477"/>
      <c r="J138" s="615"/>
      <c r="K138" s="1666">
        <f>SUM(E138,H138)</f>
        <v>0</v>
      </c>
      <c r="L138" s="575">
        <v>0</v>
      </c>
    </row>
    <row r="139" spans="1:14" ht="12.75" customHeight="1" thickTop="1" thickBot="1" x14ac:dyDescent="0.25">
      <c r="A139" s="1662" t="s">
        <v>1487</v>
      </c>
      <c r="B139" s="1672">
        <v>4000</v>
      </c>
      <c r="C139" s="615"/>
      <c r="D139" s="615"/>
      <c r="E139" s="1664">
        <f>SUM(E137,E138)</f>
        <v>0</v>
      </c>
      <c r="F139" s="615"/>
      <c r="G139" s="615"/>
      <c r="H139" s="1673">
        <f>SUM(H137:H138)</f>
        <v>0</v>
      </c>
      <c r="I139" s="477"/>
      <c r="J139" s="615"/>
      <c r="K139" s="1666">
        <f>SUM(K137,K138)</f>
        <v>0</v>
      </c>
      <c r="L139" s="1673">
        <f>SUM(L137,L138)</f>
        <v>0</v>
      </c>
    </row>
    <row r="140" spans="1:14" ht="15.75" customHeight="1" thickTop="1" x14ac:dyDescent="0.2">
      <c r="A140" s="1610" t="s">
        <v>1037</v>
      </c>
      <c r="B140" s="1611" t="s">
        <v>492</v>
      </c>
      <c r="C140" s="615"/>
      <c r="D140" s="615"/>
      <c r="E140" s="636"/>
      <c r="F140" s="636"/>
      <c r="G140" s="636"/>
      <c r="H140" s="634"/>
      <c r="I140" s="477"/>
      <c r="J140" s="636"/>
      <c r="K140" s="634"/>
      <c r="L140" s="634"/>
    </row>
    <row r="141" spans="1:14" ht="15.75" customHeight="1" x14ac:dyDescent="0.2">
      <c r="A141" s="651" t="s">
        <v>615</v>
      </c>
      <c r="B141" s="621"/>
      <c r="C141" s="615"/>
      <c r="D141" s="615"/>
      <c r="E141" s="615"/>
      <c r="F141" s="615"/>
      <c r="G141" s="615"/>
      <c r="H141" s="622"/>
      <c r="I141" s="468"/>
      <c r="J141" s="615"/>
      <c r="K141" s="622"/>
      <c r="L141" s="622"/>
    </row>
    <row r="142" spans="1:14" x14ac:dyDescent="0.2">
      <c r="A142" s="1502" t="s">
        <v>87</v>
      </c>
      <c r="B142" s="613">
        <v>5110</v>
      </c>
      <c r="C142" s="615"/>
      <c r="D142" s="615"/>
      <c r="E142" s="615"/>
      <c r="F142" s="615"/>
      <c r="G142" s="615"/>
      <c r="H142" s="466">
        <v>0</v>
      </c>
      <c r="I142" s="468"/>
      <c r="J142" s="615"/>
      <c r="K142" s="1666">
        <f>SUM(H142)</f>
        <v>0</v>
      </c>
      <c r="L142" s="568">
        <v>0</v>
      </c>
    </row>
    <row r="143" spans="1:14" x14ac:dyDescent="0.2">
      <c r="A143" s="1502" t="s">
        <v>88</v>
      </c>
      <c r="B143" s="613">
        <v>5120</v>
      </c>
      <c r="C143" s="615"/>
      <c r="D143" s="615"/>
      <c r="E143" s="615"/>
      <c r="F143" s="615"/>
      <c r="G143" s="615"/>
      <c r="H143" s="466">
        <v>0</v>
      </c>
      <c r="I143" s="468"/>
      <c r="J143" s="615"/>
      <c r="K143" s="1666">
        <f>SUM(H143)</f>
        <v>0</v>
      </c>
      <c r="L143" s="466">
        <v>0</v>
      </c>
    </row>
    <row r="144" spans="1:14" ht="12.75" customHeight="1" x14ac:dyDescent="0.2">
      <c r="A144" s="1502" t="s">
        <v>1170</v>
      </c>
      <c r="B144" s="627" t="s">
        <v>617</v>
      </c>
      <c r="C144" s="615"/>
      <c r="D144" s="615"/>
      <c r="E144" s="615"/>
      <c r="F144" s="615"/>
      <c r="G144" s="615"/>
      <c r="H144" s="466">
        <v>0</v>
      </c>
      <c r="I144" s="468"/>
      <c r="J144" s="615"/>
      <c r="K144" s="1666">
        <f>SUM(H144)</f>
        <v>0</v>
      </c>
      <c r="L144" s="466">
        <v>0</v>
      </c>
    </row>
    <row r="145" spans="1:14" x14ac:dyDescent="0.2">
      <c r="A145" s="1502" t="s">
        <v>89</v>
      </c>
      <c r="B145" s="613" t="s">
        <v>589</v>
      </c>
      <c r="C145" s="615"/>
      <c r="D145" s="615"/>
      <c r="E145" s="615"/>
      <c r="F145" s="615"/>
      <c r="G145" s="615"/>
      <c r="H145" s="466">
        <v>0</v>
      </c>
      <c r="I145" s="468"/>
      <c r="J145" s="615"/>
      <c r="K145" s="1666">
        <f>SUM(H145)</f>
        <v>0</v>
      </c>
      <c r="L145" s="466">
        <v>0</v>
      </c>
    </row>
    <row r="146" spans="1:14" ht="12.75" customHeight="1" x14ac:dyDescent="0.2">
      <c r="A146" s="1502" t="s">
        <v>619</v>
      </c>
      <c r="B146" s="613" t="s">
        <v>618</v>
      </c>
      <c r="C146" s="615"/>
      <c r="D146" s="615"/>
      <c r="E146" s="615"/>
      <c r="F146" s="615"/>
      <c r="G146" s="615"/>
      <c r="H146" s="466">
        <v>0</v>
      </c>
      <c r="I146" s="468"/>
      <c r="J146" s="615"/>
      <c r="K146" s="1666">
        <f>SUM(H146)</f>
        <v>0</v>
      </c>
      <c r="L146" s="466">
        <v>0</v>
      </c>
    </row>
    <row r="147" spans="1:14" ht="12.75" customHeight="1" thickBot="1" x14ac:dyDescent="0.25">
      <c r="A147" s="1513" t="s">
        <v>626</v>
      </c>
      <c r="B147" s="657" t="s">
        <v>718</v>
      </c>
      <c r="C147" s="615"/>
      <c r="D147" s="615"/>
      <c r="E147" s="615"/>
      <c r="F147" s="615"/>
      <c r="G147" s="615"/>
      <c r="H147" s="1682">
        <f>SUM(H142:H146)</f>
        <v>0</v>
      </c>
      <c r="I147" s="468"/>
      <c r="J147" s="615"/>
      <c r="K147" s="1664">
        <f>SUM(K142:K146)</f>
        <v>0</v>
      </c>
      <c r="L147" s="1682">
        <f>SUM(L142:L146)</f>
        <v>0</v>
      </c>
    </row>
    <row r="148" spans="1:14" ht="15.75" customHeight="1" thickTop="1" x14ac:dyDescent="0.2">
      <c r="A148" s="658" t="s">
        <v>1103</v>
      </c>
      <c r="B148" s="659" t="s">
        <v>38</v>
      </c>
      <c r="C148" s="615"/>
      <c r="D148" s="615"/>
      <c r="E148" s="615"/>
      <c r="F148" s="615"/>
      <c r="G148" s="615"/>
      <c r="H148" s="466">
        <v>0</v>
      </c>
      <c r="I148" s="468"/>
      <c r="J148" s="615"/>
      <c r="K148" s="1666">
        <f>SUM(H148)</f>
        <v>0</v>
      </c>
      <c r="L148" s="492">
        <v>0</v>
      </c>
    </row>
    <row r="149" spans="1:14" ht="12.75" customHeight="1" thickBot="1" x14ac:dyDescent="0.25">
      <c r="A149" s="1505" t="s">
        <v>638</v>
      </c>
      <c r="B149" s="616" t="s">
        <v>492</v>
      </c>
      <c r="C149" s="615"/>
      <c r="D149" s="615"/>
      <c r="E149" s="615"/>
      <c r="F149" s="615"/>
      <c r="G149" s="615"/>
      <c r="H149" s="1664">
        <f>SUM(H147,H148)</f>
        <v>0</v>
      </c>
      <c r="I149" s="468"/>
      <c r="J149" s="615"/>
      <c r="K149" s="1664">
        <f>SUM(K147:K148)</f>
        <v>0</v>
      </c>
      <c r="L149" s="1664">
        <f>SUM(L142:L146,L148)</f>
        <v>0</v>
      </c>
    </row>
    <row r="150" spans="1:14" ht="15.75" customHeight="1" thickTop="1" thickBot="1" x14ac:dyDescent="0.25">
      <c r="A150" s="1604" t="s">
        <v>1038</v>
      </c>
      <c r="B150" s="1611" t="s">
        <v>861</v>
      </c>
      <c r="C150" s="615"/>
      <c r="D150" s="615"/>
      <c r="E150" s="615"/>
      <c r="F150" s="615"/>
      <c r="G150" s="615"/>
      <c r="H150" s="660"/>
      <c r="I150" s="521"/>
      <c r="J150" s="615"/>
      <c r="K150" s="622"/>
      <c r="L150" s="572">
        <v>0</v>
      </c>
    </row>
    <row r="151" spans="1:14" ht="12.75" customHeight="1" thickTop="1" thickBot="1" x14ac:dyDescent="0.25">
      <c r="A151" s="2179" t="s">
        <v>620</v>
      </c>
      <c r="B151" s="2159"/>
      <c r="C151" s="1664">
        <f>SUM(C129,C130,C139,C149,C150)</f>
        <v>0</v>
      </c>
      <c r="D151" s="1664">
        <f t="shared" ref="D151:K151" si="16">SUM(D129,D130,D139,D149,D150)</f>
        <v>0</v>
      </c>
      <c r="E151" s="1664">
        <f t="shared" si="16"/>
        <v>0</v>
      </c>
      <c r="F151" s="1664">
        <f t="shared" si="16"/>
        <v>0</v>
      </c>
      <c r="G151" s="1664">
        <f t="shared" si="16"/>
        <v>0</v>
      </c>
      <c r="H151" s="1664">
        <f t="shared" si="16"/>
        <v>0</v>
      </c>
      <c r="I151" s="1664">
        <f t="shared" si="16"/>
        <v>0</v>
      </c>
      <c r="J151" s="1664">
        <f t="shared" si="16"/>
        <v>0</v>
      </c>
      <c r="K151" s="1664">
        <f t="shared" si="16"/>
        <v>0</v>
      </c>
      <c r="L151" s="1664">
        <f>SUM(L129,L130,L139,L149,L150)</f>
        <v>0</v>
      </c>
    </row>
    <row r="152" spans="1:14" ht="12.75" customHeight="1" thickTop="1" x14ac:dyDescent="0.2">
      <c r="A152" s="2182" t="s">
        <v>1178</v>
      </c>
      <c r="B152" s="2183"/>
      <c r="C152" s="617"/>
      <c r="D152" s="617"/>
      <c r="E152" s="617"/>
      <c r="F152" s="617"/>
      <c r="G152" s="617"/>
      <c r="H152" s="617"/>
      <c r="I152" s="617"/>
      <c r="J152" s="615"/>
      <c r="K152" s="1678">
        <f>'Revenues 9-14'!D268-'Expenditures 15-22'!K151</f>
        <v>0</v>
      </c>
      <c r="L152" s="617"/>
    </row>
    <row r="153" spans="1:14" s="664" customFormat="1" ht="9" customHeight="1" x14ac:dyDescent="0.2">
      <c r="A153" s="661"/>
      <c r="B153" s="662"/>
      <c r="C153" s="648"/>
      <c r="D153" s="648"/>
      <c r="E153" s="648"/>
      <c r="F153" s="648"/>
      <c r="G153" s="648"/>
      <c r="H153" s="648"/>
      <c r="I153" s="648"/>
      <c r="J153" s="648"/>
      <c r="K153" s="648"/>
      <c r="L153" s="648"/>
      <c r="M153" s="663"/>
      <c r="N153" s="663"/>
    </row>
    <row r="154" spans="1:14" s="666" customFormat="1" ht="16.7" customHeight="1" x14ac:dyDescent="0.2">
      <c r="A154" s="2167" t="s">
        <v>621</v>
      </c>
      <c r="B154" s="2169"/>
      <c r="C154" s="1624"/>
      <c r="D154" s="1625"/>
      <c r="E154" s="1625"/>
      <c r="F154" s="1625"/>
      <c r="G154" s="1625"/>
      <c r="H154" s="1625"/>
      <c r="I154" s="1625"/>
      <c r="J154" s="1625"/>
      <c r="K154" s="1625"/>
      <c r="L154" s="1626"/>
      <c r="M154" s="665"/>
      <c r="N154" s="665"/>
    </row>
    <row r="155" spans="1:14" s="619" customFormat="1" ht="15.75" customHeight="1" thickBot="1" x14ac:dyDescent="0.25">
      <c r="A155" s="1615" t="s">
        <v>81</v>
      </c>
      <c r="B155" s="1616" t="s">
        <v>860</v>
      </c>
      <c r="C155" s="615"/>
      <c r="D155" s="615"/>
      <c r="E155" s="615"/>
      <c r="F155" s="615"/>
      <c r="G155" s="615"/>
      <c r="H155" s="1835"/>
      <c r="I155" s="615"/>
      <c r="J155" s="615"/>
      <c r="K155" s="1819"/>
      <c r="L155" s="1835"/>
      <c r="M155" s="618"/>
      <c r="N155" s="618"/>
    </row>
    <row r="156" spans="1:14" s="619" customFormat="1" ht="15.75" customHeight="1" thickTop="1" x14ac:dyDescent="0.2">
      <c r="A156" s="1816" t="s">
        <v>1845</v>
      </c>
      <c r="B156" s="1817"/>
      <c r="C156" s="615"/>
      <c r="D156" s="615"/>
      <c r="E156" s="615"/>
      <c r="F156" s="615"/>
      <c r="G156" s="615"/>
      <c r="H156" s="1836"/>
      <c r="I156" s="615"/>
      <c r="J156" s="615"/>
      <c r="K156" s="1818"/>
      <c r="L156" s="1836"/>
      <c r="M156" s="618"/>
      <c r="N156" s="618"/>
    </row>
    <row r="157" spans="1:14" s="619" customFormat="1" ht="12" x14ac:dyDescent="0.2">
      <c r="A157" s="1820" t="s">
        <v>496</v>
      </c>
      <c r="B157" s="1821" t="s">
        <v>1844</v>
      </c>
      <c r="C157" s="615"/>
      <c r="D157" s="615"/>
      <c r="E157" s="615"/>
      <c r="F157" s="615"/>
      <c r="G157" s="615"/>
      <c r="H157" s="639" t="s">
        <v>1169</v>
      </c>
      <c r="I157" s="615"/>
      <c r="J157" s="615"/>
      <c r="K157" s="1665" t="str">
        <f>H157</f>
        <v xml:space="preserve"> </v>
      </c>
      <c r="L157" s="467">
        <v>0</v>
      </c>
      <c r="M157" s="618"/>
      <c r="N157" s="618"/>
    </row>
    <row r="158" spans="1:14" s="619" customFormat="1" ht="12" x14ac:dyDescent="0.2">
      <c r="A158" s="1820" t="s">
        <v>304</v>
      </c>
      <c r="B158" s="1821" t="s">
        <v>1846</v>
      </c>
      <c r="C158" s="615"/>
      <c r="D158" s="615"/>
      <c r="E158" s="615"/>
      <c r="F158" s="615"/>
      <c r="G158" s="615"/>
      <c r="H158" s="467" t="s">
        <v>1169</v>
      </c>
      <c r="I158" s="615"/>
      <c r="J158" s="615"/>
      <c r="K158" s="1665" t="str">
        <f>H158</f>
        <v xml:space="preserve"> </v>
      </c>
      <c r="L158" s="467">
        <v>0</v>
      </c>
      <c r="M158" s="618"/>
      <c r="N158" s="618"/>
    </row>
    <row r="159" spans="1:14" s="619" customFormat="1" ht="12" x14ac:dyDescent="0.2">
      <c r="A159" s="1820" t="s">
        <v>1847</v>
      </c>
      <c r="B159" s="1821" t="s">
        <v>558</v>
      </c>
      <c r="C159" s="615"/>
      <c r="D159" s="615"/>
      <c r="E159" s="615"/>
      <c r="F159" s="615"/>
      <c r="G159" s="615"/>
      <c r="H159" s="467" t="s">
        <v>1169</v>
      </c>
      <c r="I159" s="615"/>
      <c r="J159" s="615"/>
      <c r="K159" s="1665" t="str">
        <f>H159</f>
        <v xml:space="preserve"> </v>
      </c>
      <c r="L159" s="467">
        <v>0</v>
      </c>
      <c r="M159" s="618"/>
      <c r="N159" s="618"/>
    </row>
    <row r="160" spans="1:14" s="619" customFormat="1" ht="15.75" customHeight="1" thickBot="1" x14ac:dyDescent="0.25">
      <c r="A160" s="1822" t="s">
        <v>1848</v>
      </c>
      <c r="B160" s="1823" t="s">
        <v>860</v>
      </c>
      <c r="C160" s="615"/>
      <c r="D160" s="615"/>
      <c r="E160" s="615"/>
      <c r="F160" s="615"/>
      <c r="G160" s="615"/>
      <c r="H160" s="1682">
        <f>SUM(H157:H159)</f>
        <v>0</v>
      </c>
      <c r="I160" s="615"/>
      <c r="J160" s="615"/>
      <c r="K160" s="1664">
        <f>SUM(K157:K159)</f>
        <v>0</v>
      </c>
      <c r="L160" s="1682">
        <f>SUM(L157:L159)</f>
        <v>0</v>
      </c>
      <c r="M160" s="618"/>
      <c r="N160" s="618"/>
    </row>
    <row r="161" spans="1:14" s="259" customFormat="1" ht="15.75" customHeight="1" thickTop="1" x14ac:dyDescent="0.2">
      <c r="A161" s="1610" t="s">
        <v>82</v>
      </c>
      <c r="B161" s="1611" t="s">
        <v>492</v>
      </c>
      <c r="C161" s="615"/>
      <c r="D161" s="615"/>
      <c r="E161" s="615"/>
      <c r="F161" s="615"/>
      <c r="G161" s="615"/>
      <c r="H161" s="615"/>
      <c r="I161" s="615"/>
      <c r="J161" s="615"/>
      <c r="K161" s="615"/>
      <c r="L161" s="615"/>
      <c r="M161" s="612"/>
      <c r="N161" s="612"/>
    </row>
    <row r="162" spans="1:14" s="259" customFormat="1" ht="15.75" customHeight="1" x14ac:dyDescent="0.2">
      <c r="A162" s="651" t="s">
        <v>615</v>
      </c>
      <c r="B162" s="621"/>
      <c r="C162" s="615"/>
      <c r="D162" s="615"/>
      <c r="E162" s="615"/>
      <c r="F162" s="615"/>
      <c r="G162" s="615"/>
      <c r="H162" s="615"/>
      <c r="I162" s="615"/>
      <c r="J162" s="615"/>
      <c r="K162" s="622"/>
      <c r="L162" s="622"/>
      <c r="M162" s="612"/>
      <c r="N162" s="612"/>
    </row>
    <row r="163" spans="1:14" x14ac:dyDescent="0.2">
      <c r="A163" s="1502" t="s">
        <v>87</v>
      </c>
      <c r="B163" s="613">
        <v>5110</v>
      </c>
      <c r="C163" s="615"/>
      <c r="D163" s="615"/>
      <c r="E163" s="615"/>
      <c r="F163" s="615"/>
      <c r="G163" s="615"/>
      <c r="H163" s="466">
        <v>0</v>
      </c>
      <c r="I163" s="615"/>
      <c r="J163" s="615"/>
      <c r="K163" s="1665">
        <f>SUM(C163:J163)</f>
        <v>0</v>
      </c>
      <c r="L163" s="466">
        <v>0</v>
      </c>
    </row>
    <row r="164" spans="1:14" x14ac:dyDescent="0.2">
      <c r="A164" s="1502" t="s">
        <v>88</v>
      </c>
      <c r="B164" s="613">
        <v>5120</v>
      </c>
      <c r="C164" s="615"/>
      <c r="D164" s="615"/>
      <c r="E164" s="615"/>
      <c r="F164" s="615"/>
      <c r="G164" s="615"/>
      <c r="H164" s="466">
        <v>0</v>
      </c>
      <c r="I164" s="615"/>
      <c r="J164" s="615"/>
      <c r="K164" s="1665">
        <f>SUM(C164:J164)</f>
        <v>0</v>
      </c>
      <c r="L164" s="466">
        <v>0</v>
      </c>
    </row>
    <row r="165" spans="1:14" ht="12.75" customHeight="1" x14ac:dyDescent="0.2">
      <c r="A165" s="1502" t="s">
        <v>1170</v>
      </c>
      <c r="B165" s="613" t="s">
        <v>617</v>
      </c>
      <c r="C165" s="615"/>
      <c r="D165" s="615"/>
      <c r="E165" s="615"/>
      <c r="F165" s="615"/>
      <c r="G165" s="615"/>
      <c r="H165" s="466">
        <v>0</v>
      </c>
      <c r="I165" s="615"/>
      <c r="J165" s="615"/>
      <c r="K165" s="1665">
        <f>SUM(C165:J165)</f>
        <v>0</v>
      </c>
      <c r="L165" s="466">
        <v>0</v>
      </c>
    </row>
    <row r="166" spans="1:14" x14ac:dyDescent="0.2">
      <c r="A166" s="1502" t="s">
        <v>89</v>
      </c>
      <c r="B166" s="627" t="s">
        <v>589</v>
      </c>
      <c r="C166" s="615"/>
      <c r="D166" s="615"/>
      <c r="E166" s="615"/>
      <c r="F166" s="615"/>
      <c r="G166" s="615"/>
      <c r="H166" s="466">
        <v>0</v>
      </c>
      <c r="I166" s="615"/>
      <c r="J166" s="615"/>
      <c r="K166" s="1665">
        <f>SUM(C166:J166)</f>
        <v>0</v>
      </c>
      <c r="L166" s="466">
        <v>0</v>
      </c>
    </row>
    <row r="167" spans="1:14" ht="12.75" customHeight="1" x14ac:dyDescent="0.2">
      <c r="A167" s="1502" t="s">
        <v>619</v>
      </c>
      <c r="B167" s="613" t="s">
        <v>618</v>
      </c>
      <c r="C167" s="615"/>
      <c r="D167" s="615"/>
      <c r="E167" s="615"/>
      <c r="F167" s="615"/>
      <c r="G167" s="615"/>
      <c r="H167" s="466">
        <v>0</v>
      </c>
      <c r="I167" s="615"/>
      <c r="J167" s="615"/>
      <c r="K167" s="1665">
        <f>SUM(C167:J167)</f>
        <v>0</v>
      </c>
      <c r="L167" s="466">
        <v>0</v>
      </c>
    </row>
    <row r="168" spans="1:14" ht="13.5" thickBot="1" x14ac:dyDescent="0.25">
      <c r="A168" s="1662" t="s">
        <v>276</v>
      </c>
      <c r="B168" s="1669" t="s">
        <v>718</v>
      </c>
      <c r="C168" s="615"/>
      <c r="D168" s="615"/>
      <c r="E168" s="615"/>
      <c r="F168" s="615"/>
      <c r="G168" s="615"/>
      <c r="H168" s="1664">
        <f>SUM(H163:H167)</f>
        <v>0</v>
      </c>
      <c r="I168" s="615"/>
      <c r="J168" s="615"/>
      <c r="K168" s="1664">
        <f>SUM(K163:K167)</f>
        <v>0</v>
      </c>
      <c r="L168" s="1664">
        <f>SUM(L163:L167)</f>
        <v>0</v>
      </c>
    </row>
    <row r="169" spans="1:14" ht="15.75" customHeight="1" thickTop="1" x14ac:dyDescent="0.2">
      <c r="A169" s="667" t="s">
        <v>83</v>
      </c>
      <c r="B169" s="668" t="s">
        <v>38</v>
      </c>
      <c r="C169" s="615"/>
      <c r="D169" s="615"/>
      <c r="E169" s="615"/>
      <c r="F169" s="615"/>
      <c r="G169" s="615"/>
      <c r="H169" s="654">
        <v>0</v>
      </c>
      <c r="I169" s="615"/>
      <c r="J169" s="615"/>
      <c r="K169" s="1665">
        <f>SUM(C169:H169)</f>
        <v>0</v>
      </c>
      <c r="L169" s="654">
        <v>0</v>
      </c>
    </row>
    <row r="170" spans="1:14" ht="33.75" customHeight="1" x14ac:dyDescent="0.2">
      <c r="A170" s="667" t="s">
        <v>1670</v>
      </c>
      <c r="B170" s="669" t="s">
        <v>31</v>
      </c>
      <c r="C170" s="615"/>
      <c r="D170" s="615"/>
      <c r="E170" s="615"/>
      <c r="F170" s="615"/>
      <c r="G170" s="615"/>
      <c r="H170" s="568">
        <v>0</v>
      </c>
      <c r="I170" s="615"/>
      <c r="J170" s="615"/>
      <c r="K170" s="1665">
        <f>SUM(C170:J170)</f>
        <v>0</v>
      </c>
      <c r="L170" s="568">
        <v>0</v>
      </c>
    </row>
    <row r="171" spans="1:14" ht="15.75" customHeight="1" x14ac:dyDescent="0.2">
      <c r="A171" s="620" t="s">
        <v>766</v>
      </c>
      <c r="B171" s="670" t="s">
        <v>84</v>
      </c>
      <c r="C171" s="615"/>
      <c r="D171" s="615"/>
      <c r="E171" s="466">
        <v>0</v>
      </c>
      <c r="F171" s="615"/>
      <c r="G171" s="615"/>
      <c r="H171" s="568">
        <v>0</v>
      </c>
      <c r="I171" s="477"/>
      <c r="J171" s="615"/>
      <c r="K171" s="1665">
        <f>SUM(C171:J171)</f>
        <v>0</v>
      </c>
      <c r="L171" s="568">
        <v>0</v>
      </c>
    </row>
    <row r="172" spans="1:14" ht="12.75" customHeight="1" thickBot="1" x14ac:dyDescent="0.25">
      <c r="A172" s="1662" t="s">
        <v>638</v>
      </c>
      <c r="B172" s="1663" t="s">
        <v>492</v>
      </c>
      <c r="C172" s="615"/>
      <c r="D172" s="615"/>
      <c r="E172" s="1671">
        <f>SUM(E168,E169,E170,E171)</f>
        <v>0</v>
      </c>
      <c r="F172" s="615"/>
      <c r="G172" s="615"/>
      <c r="H172" s="1671">
        <f>SUM(H168,H169,H170,H171)</f>
        <v>0</v>
      </c>
      <c r="I172" s="636"/>
      <c r="J172" s="615"/>
      <c r="K172" s="1671">
        <f>SUM(K168,K169,K170,K171)</f>
        <v>0</v>
      </c>
      <c r="L172" s="1671">
        <f>SUM(L168,L169,L170,L171)</f>
        <v>0</v>
      </c>
    </row>
    <row r="173" spans="1:14" ht="15.75" customHeight="1" thickTop="1" thickBot="1" x14ac:dyDescent="0.25">
      <c r="A173" s="1617" t="s">
        <v>85</v>
      </c>
      <c r="B173" s="1609" t="s">
        <v>861</v>
      </c>
      <c r="C173" s="615"/>
      <c r="D173" s="615"/>
      <c r="E173" s="622"/>
      <c r="F173" s="615"/>
      <c r="G173" s="615"/>
      <c r="H173" s="625"/>
      <c r="I173" s="636"/>
      <c r="J173" s="615"/>
      <c r="K173" s="622"/>
      <c r="L173" s="575">
        <v>0</v>
      </c>
    </row>
    <row r="174" spans="1:14" ht="12.75" customHeight="1" thickTop="1" thickBot="1" x14ac:dyDescent="0.25">
      <c r="A174" s="1683" t="s">
        <v>90</v>
      </c>
      <c r="B174" s="1684"/>
      <c r="C174" s="615"/>
      <c r="D174" s="615"/>
      <c r="E174" s="1671">
        <f>SUM(E172,E173)</f>
        <v>0</v>
      </c>
      <c r="F174" s="615"/>
      <c r="G174" s="615"/>
      <c r="H174" s="1671">
        <f>SUM(H160,H172,H173)</f>
        <v>0</v>
      </c>
      <c r="I174" s="636"/>
      <c r="J174" s="615"/>
      <c r="K174" s="1671">
        <f>SUM(K160,K172,K173)</f>
        <v>0</v>
      </c>
      <c r="L174" s="1671">
        <f>SUM(L160,L172,L173)</f>
        <v>0</v>
      </c>
    </row>
    <row r="175" spans="1:14" ht="13.5" thickTop="1" x14ac:dyDescent="0.2">
      <c r="A175" s="2162" t="s">
        <v>996</v>
      </c>
      <c r="B175" s="2163"/>
      <c r="C175" s="615"/>
      <c r="D175" s="615"/>
      <c r="E175" s="615"/>
      <c r="F175" s="615"/>
      <c r="G175" s="615"/>
      <c r="H175" s="617"/>
      <c r="I175" s="615"/>
      <c r="J175" s="615"/>
      <c r="K175" s="1678">
        <f>'Revenues 9-14'!E268-'Expenditures 15-22'!K174</f>
        <v>0</v>
      </c>
      <c r="L175" s="617"/>
    </row>
    <row r="176" spans="1:14" s="664" customFormat="1" ht="9" customHeight="1" x14ac:dyDescent="0.2">
      <c r="A176" s="661"/>
      <c r="B176" s="671"/>
      <c r="C176" s="648"/>
      <c r="D176" s="648"/>
      <c r="E176" s="648"/>
      <c r="F176" s="648"/>
      <c r="G176" s="648"/>
      <c r="H176" s="648"/>
      <c r="I176" s="648"/>
      <c r="J176" s="648"/>
      <c r="K176" s="648"/>
      <c r="L176" s="648"/>
      <c r="M176" s="663"/>
      <c r="N176" s="663"/>
    </row>
    <row r="177" spans="1:14" s="343" customFormat="1" ht="16.7" customHeight="1" x14ac:dyDescent="0.2">
      <c r="A177" s="1552" t="s">
        <v>937</v>
      </c>
      <c r="B177" s="1553"/>
      <c r="C177" s="1549"/>
      <c r="D177" s="1550"/>
      <c r="E177" s="1550"/>
      <c r="F177" s="1550"/>
      <c r="G177" s="1550"/>
      <c r="H177" s="1550"/>
      <c r="I177" s="1550"/>
      <c r="J177" s="1550"/>
      <c r="K177" s="1550"/>
      <c r="L177" s="1551"/>
      <c r="M177" s="608"/>
      <c r="N177" s="608"/>
    </row>
    <row r="178" spans="1:14" s="672" customFormat="1" ht="15.75" customHeight="1" x14ac:dyDescent="0.2">
      <c r="A178" s="1618" t="s">
        <v>938</v>
      </c>
      <c r="B178" s="1619"/>
      <c r="C178" s="615"/>
      <c r="D178" s="615"/>
      <c r="E178" s="615"/>
      <c r="F178" s="615"/>
      <c r="G178" s="615"/>
      <c r="H178" s="615"/>
      <c r="I178" s="615"/>
      <c r="J178" s="615"/>
      <c r="K178" s="615"/>
      <c r="L178" s="615"/>
      <c r="M178" s="663"/>
      <c r="N178" s="663"/>
    </row>
    <row r="179" spans="1:14" s="672" customFormat="1" ht="15.75" customHeight="1" x14ac:dyDescent="0.2">
      <c r="A179" s="673" t="s">
        <v>591</v>
      </c>
      <c r="B179" s="621"/>
      <c r="C179" s="622"/>
      <c r="D179" s="622"/>
      <c r="E179" s="622"/>
      <c r="F179" s="615"/>
      <c r="G179" s="615"/>
      <c r="H179" s="622"/>
      <c r="I179" s="615"/>
      <c r="J179" s="615"/>
      <c r="K179" s="622"/>
      <c r="L179" s="622"/>
      <c r="M179" s="663"/>
      <c r="N179" s="663"/>
    </row>
    <row r="180" spans="1:14" ht="12.75" customHeight="1" x14ac:dyDescent="0.2">
      <c r="A180" s="1502" t="s">
        <v>2058</v>
      </c>
      <c r="B180" s="613" t="s">
        <v>716</v>
      </c>
      <c r="C180" s="466">
        <v>0</v>
      </c>
      <c r="D180" s="466">
        <v>0</v>
      </c>
      <c r="E180" s="466">
        <v>0</v>
      </c>
      <c r="F180" s="466">
        <v>0</v>
      </c>
      <c r="G180" s="466">
        <v>0</v>
      </c>
      <c r="H180" s="466">
        <v>0</v>
      </c>
      <c r="I180" s="466">
        <v>0</v>
      </c>
      <c r="J180" s="466">
        <v>0</v>
      </c>
      <c r="K180" s="1665">
        <f>SUM(C180:J180)</f>
        <v>0</v>
      </c>
      <c r="L180" s="466">
        <v>0</v>
      </c>
    </row>
    <row r="181" spans="1:14" ht="15.75" customHeight="1" x14ac:dyDescent="0.2">
      <c r="A181" s="623" t="s">
        <v>612</v>
      </c>
      <c r="B181" s="674"/>
      <c r="C181" s="569"/>
      <c r="D181" s="569"/>
      <c r="E181" s="569"/>
      <c r="F181" s="569"/>
      <c r="G181" s="569"/>
      <c r="H181" s="569"/>
      <c r="I181" s="468"/>
      <c r="J181" s="468"/>
      <c r="K181" s="569"/>
      <c r="L181" s="569"/>
    </row>
    <row r="182" spans="1:14" ht="12.75" customHeight="1" x14ac:dyDescent="0.2">
      <c r="A182" s="1502" t="s">
        <v>953</v>
      </c>
      <c r="B182" s="613">
        <v>2550</v>
      </c>
      <c r="C182" s="466">
        <v>0</v>
      </c>
      <c r="D182" s="466">
        <v>0</v>
      </c>
      <c r="E182" s="466">
        <v>0</v>
      </c>
      <c r="F182" s="466">
        <v>0</v>
      </c>
      <c r="G182" s="466">
        <v>0</v>
      </c>
      <c r="H182" s="466">
        <v>0</v>
      </c>
      <c r="I182" s="466">
        <v>0</v>
      </c>
      <c r="J182" s="466">
        <v>0</v>
      </c>
      <c r="K182" s="1665">
        <f>SUM(C182:J182)</f>
        <v>0</v>
      </c>
      <c r="L182" s="466">
        <v>0</v>
      </c>
    </row>
    <row r="183" spans="1:14" ht="12.75" customHeight="1" thickBot="1" x14ac:dyDescent="0.25">
      <c r="A183" s="1507" t="s">
        <v>980</v>
      </c>
      <c r="B183" s="675">
        <v>2900</v>
      </c>
      <c r="C183" s="466">
        <v>0</v>
      </c>
      <c r="D183" s="466">
        <v>0</v>
      </c>
      <c r="E183" s="466">
        <v>0</v>
      </c>
      <c r="F183" s="466">
        <v>0</v>
      </c>
      <c r="G183" s="466">
        <v>0</v>
      </c>
      <c r="H183" s="466">
        <v>0</v>
      </c>
      <c r="I183" s="466">
        <v>0</v>
      </c>
      <c r="J183" s="466">
        <v>0</v>
      </c>
      <c r="K183" s="1671">
        <f>SUM(C183:J183)</f>
        <v>0</v>
      </c>
      <c r="L183" s="572">
        <v>0</v>
      </c>
    </row>
    <row r="184" spans="1:14" ht="12.75" customHeight="1" thickTop="1" thickBot="1" x14ac:dyDescent="0.25">
      <c r="A184" s="1685" t="s">
        <v>811</v>
      </c>
      <c r="B184" s="1663" t="s">
        <v>569</v>
      </c>
      <c r="C184" s="1671">
        <f>SUM(C180,C182,C183)</f>
        <v>0</v>
      </c>
      <c r="D184" s="1671">
        <f t="shared" ref="D184:J184" si="17">SUM(D180,D182,D183)</f>
        <v>0</v>
      </c>
      <c r="E184" s="1671">
        <f t="shared" si="17"/>
        <v>0</v>
      </c>
      <c r="F184" s="1671">
        <f t="shared" si="17"/>
        <v>0</v>
      </c>
      <c r="G184" s="1671">
        <f t="shared" si="17"/>
        <v>0</v>
      </c>
      <c r="H184" s="1671">
        <f t="shared" si="17"/>
        <v>0</v>
      </c>
      <c r="I184" s="1671">
        <f t="shared" si="17"/>
        <v>0</v>
      </c>
      <c r="J184" s="1671">
        <f t="shared" si="17"/>
        <v>0</v>
      </c>
      <c r="K184" s="1671">
        <f>SUM(K180,K182,K183)</f>
        <v>0</v>
      </c>
      <c r="L184" s="1671">
        <f>SUM(L180, L182:L183)</f>
        <v>0</v>
      </c>
    </row>
    <row r="185" spans="1:14" ht="15.75" customHeight="1" thickTop="1" thickBot="1" x14ac:dyDescent="0.25">
      <c r="A185" s="1620" t="s">
        <v>939</v>
      </c>
      <c r="B185" s="1609">
        <v>3000</v>
      </c>
      <c r="C185" s="466">
        <v>0</v>
      </c>
      <c r="D185" s="466">
        <v>0</v>
      </c>
      <c r="E185" s="466">
        <v>0</v>
      </c>
      <c r="F185" s="466">
        <v>0</v>
      </c>
      <c r="G185" s="466">
        <v>0</v>
      </c>
      <c r="H185" s="466">
        <v>0</v>
      </c>
      <c r="I185" s="466">
        <v>0</v>
      </c>
      <c r="J185" s="466">
        <v>0</v>
      </c>
      <c r="K185" s="1664">
        <f>SUM(C185:J185)</f>
        <v>0</v>
      </c>
      <c r="L185" s="575">
        <v>0</v>
      </c>
    </row>
    <row r="186" spans="1:14" s="672" customFormat="1" ht="15.75" customHeight="1" thickTop="1" x14ac:dyDescent="0.2">
      <c r="A186" s="1604" t="s">
        <v>91</v>
      </c>
      <c r="B186" s="1607" t="s">
        <v>860</v>
      </c>
      <c r="C186" s="615"/>
      <c r="D186" s="615"/>
      <c r="E186" s="615"/>
      <c r="F186" s="615"/>
      <c r="G186" s="615"/>
      <c r="H186" s="615"/>
      <c r="I186" s="615"/>
      <c r="J186" s="615"/>
      <c r="K186" s="615"/>
      <c r="L186" s="615"/>
      <c r="M186" s="663"/>
      <c r="N186" s="663"/>
    </row>
    <row r="187" spans="1:14" s="672" customFormat="1" ht="15.75" customHeight="1" x14ac:dyDescent="0.2">
      <c r="A187" s="620" t="s">
        <v>1131</v>
      </c>
      <c r="B187" s="621"/>
      <c r="C187" s="615"/>
      <c r="D187" s="615"/>
      <c r="E187" s="615"/>
      <c r="F187" s="615"/>
      <c r="G187" s="615"/>
      <c r="H187" s="615"/>
      <c r="I187" s="615"/>
      <c r="J187" s="615"/>
      <c r="K187" s="615"/>
      <c r="L187" s="615"/>
      <c r="M187" s="663"/>
      <c r="N187" s="663"/>
    </row>
    <row r="188" spans="1:14" x14ac:dyDescent="0.2">
      <c r="A188" s="1502" t="s">
        <v>496</v>
      </c>
      <c r="B188" s="613">
        <v>4110</v>
      </c>
      <c r="C188" s="615"/>
      <c r="D188" s="615"/>
      <c r="E188" s="466">
        <v>0</v>
      </c>
      <c r="F188" s="615"/>
      <c r="G188" s="615"/>
      <c r="H188" s="466">
        <v>0</v>
      </c>
      <c r="I188" s="477"/>
      <c r="J188" s="615"/>
      <c r="K188" s="1665">
        <f t="shared" ref="K188:K193" si="18">SUM(E188,H188)</f>
        <v>0</v>
      </c>
      <c r="L188" s="466">
        <v>0</v>
      </c>
    </row>
    <row r="189" spans="1:14" x14ac:dyDescent="0.2">
      <c r="A189" s="1502" t="s">
        <v>304</v>
      </c>
      <c r="B189" s="613">
        <v>4120</v>
      </c>
      <c r="C189" s="615"/>
      <c r="D189" s="615"/>
      <c r="E189" s="466">
        <v>0</v>
      </c>
      <c r="F189" s="615"/>
      <c r="G189" s="615"/>
      <c r="H189" s="466">
        <v>0</v>
      </c>
      <c r="I189" s="477"/>
      <c r="J189" s="615"/>
      <c r="K189" s="1665">
        <f t="shared" si="18"/>
        <v>0</v>
      </c>
      <c r="L189" s="466">
        <v>0</v>
      </c>
    </row>
    <row r="190" spans="1:14" x14ac:dyDescent="0.2">
      <c r="A190" s="1502" t="s">
        <v>305</v>
      </c>
      <c r="B190" s="627">
        <v>4130</v>
      </c>
      <c r="C190" s="615"/>
      <c r="D190" s="615"/>
      <c r="E190" s="466">
        <v>0</v>
      </c>
      <c r="F190" s="615"/>
      <c r="G190" s="615"/>
      <c r="H190" s="466">
        <v>0</v>
      </c>
      <c r="I190" s="477"/>
      <c r="J190" s="615"/>
      <c r="K190" s="1665">
        <f t="shared" si="18"/>
        <v>0</v>
      </c>
      <c r="L190" s="466">
        <v>0</v>
      </c>
    </row>
    <row r="191" spans="1:14" x14ac:dyDescent="0.2">
      <c r="A191" s="1502" t="s">
        <v>697</v>
      </c>
      <c r="B191" s="613">
        <v>4140</v>
      </c>
      <c r="C191" s="615"/>
      <c r="D191" s="615"/>
      <c r="E191" s="466">
        <v>0</v>
      </c>
      <c r="F191" s="615"/>
      <c r="G191" s="615"/>
      <c r="H191" s="466">
        <v>0</v>
      </c>
      <c r="I191" s="477"/>
      <c r="J191" s="615"/>
      <c r="K191" s="1665">
        <f t="shared" si="18"/>
        <v>0</v>
      </c>
      <c r="L191" s="466">
        <v>0</v>
      </c>
    </row>
    <row r="192" spans="1:14" x14ac:dyDescent="0.2">
      <c r="A192" s="1502" t="s">
        <v>86</v>
      </c>
      <c r="B192" s="613">
        <v>4170</v>
      </c>
      <c r="C192" s="615"/>
      <c r="D192" s="615"/>
      <c r="E192" s="466">
        <v>0</v>
      </c>
      <c r="F192" s="615"/>
      <c r="G192" s="615"/>
      <c r="H192" s="466">
        <v>0</v>
      </c>
      <c r="I192" s="477"/>
      <c r="J192" s="615"/>
      <c r="K192" s="1665">
        <f t="shared" si="18"/>
        <v>0</v>
      </c>
      <c r="L192" s="466">
        <v>0</v>
      </c>
    </row>
    <row r="193" spans="1:14" x14ac:dyDescent="0.2">
      <c r="A193" s="1506" t="s">
        <v>698</v>
      </c>
      <c r="B193" s="627">
        <v>4190</v>
      </c>
      <c r="C193" s="615"/>
      <c r="D193" s="615"/>
      <c r="E193" s="466">
        <v>0</v>
      </c>
      <c r="F193" s="615"/>
      <c r="G193" s="615"/>
      <c r="H193" s="466">
        <v>0</v>
      </c>
      <c r="I193" s="477"/>
      <c r="J193" s="615"/>
      <c r="K193" s="1665">
        <f t="shared" si="18"/>
        <v>0</v>
      </c>
      <c r="L193" s="466">
        <v>0</v>
      </c>
    </row>
    <row r="194" spans="1:14" ht="12.75" customHeight="1" thickBot="1" x14ac:dyDescent="0.25">
      <c r="A194" s="1662" t="s">
        <v>1140</v>
      </c>
      <c r="B194" s="1663" t="s">
        <v>559</v>
      </c>
      <c r="C194" s="615"/>
      <c r="D194" s="615"/>
      <c r="E194" s="1664">
        <f>SUM(E188:E193)</f>
        <v>0</v>
      </c>
      <c r="F194" s="615"/>
      <c r="G194" s="615"/>
      <c r="H194" s="1664">
        <f>SUM(H188:H193)</f>
        <v>0</v>
      </c>
      <c r="I194" s="477"/>
      <c r="J194" s="615"/>
      <c r="K194" s="1664">
        <f>SUM(K188:K193)</f>
        <v>0</v>
      </c>
      <c r="L194" s="1664">
        <f>SUM(L188:L193)</f>
        <v>0</v>
      </c>
    </row>
    <row r="195" spans="1:14" ht="15.75" customHeight="1" thickTop="1" x14ac:dyDescent="0.2">
      <c r="A195" s="667" t="s">
        <v>92</v>
      </c>
      <c r="B195" s="676" t="s">
        <v>931</v>
      </c>
      <c r="C195" s="615"/>
      <c r="D195" s="615"/>
      <c r="E195" s="466">
        <v>0</v>
      </c>
      <c r="F195" s="615"/>
      <c r="G195" s="615"/>
      <c r="H195" s="466">
        <v>0</v>
      </c>
      <c r="I195" s="477"/>
      <c r="J195" s="615"/>
      <c r="K195" s="1679">
        <f>SUM(E195,H195)</f>
        <v>0</v>
      </c>
      <c r="L195" s="654">
        <v>0</v>
      </c>
    </row>
    <row r="196" spans="1:14" ht="12.75" customHeight="1" thickBot="1" x14ac:dyDescent="0.25">
      <c r="A196" s="1662" t="s">
        <v>1487</v>
      </c>
      <c r="B196" s="1663" t="s">
        <v>860</v>
      </c>
      <c r="C196" s="615"/>
      <c r="D196" s="615"/>
      <c r="E196" s="1671">
        <f>SUM(E194,E195)</f>
        <v>0</v>
      </c>
      <c r="F196" s="615"/>
      <c r="G196" s="615"/>
      <c r="H196" s="1671">
        <f>SUM(H194,H195)</f>
        <v>0</v>
      </c>
      <c r="I196" s="477"/>
      <c r="J196" s="615"/>
      <c r="K196" s="1671">
        <f>SUM(K194,K195)</f>
        <v>0</v>
      </c>
      <c r="L196" s="1671">
        <f>SUM(L194,L195)</f>
        <v>0</v>
      </c>
    </row>
    <row r="197" spans="1:14" s="672" customFormat="1" ht="15.75" customHeight="1" thickTop="1" x14ac:dyDescent="0.2">
      <c r="A197" s="1610" t="s">
        <v>940</v>
      </c>
      <c r="B197" s="1607" t="s">
        <v>492</v>
      </c>
      <c r="C197" s="615"/>
      <c r="D197" s="615"/>
      <c r="E197" s="615"/>
      <c r="F197" s="615"/>
      <c r="G197" s="615"/>
      <c r="H197" s="615"/>
      <c r="I197" s="615"/>
      <c r="J197" s="615"/>
      <c r="K197" s="615"/>
      <c r="L197" s="615"/>
      <c r="M197" s="663"/>
      <c r="N197" s="663"/>
    </row>
    <row r="198" spans="1:14" s="672" customFormat="1" ht="15.75" customHeight="1" x14ac:dyDescent="0.2">
      <c r="A198" s="651" t="s">
        <v>93</v>
      </c>
      <c r="B198" s="621"/>
      <c r="C198" s="615"/>
      <c r="D198" s="615"/>
      <c r="E198" s="615"/>
      <c r="F198" s="615"/>
      <c r="G198" s="615"/>
      <c r="H198" s="615"/>
      <c r="I198" s="615"/>
      <c r="J198" s="615"/>
      <c r="K198" s="615"/>
      <c r="L198" s="615"/>
      <c r="M198" s="663"/>
      <c r="N198" s="663"/>
    </row>
    <row r="199" spans="1:14" x14ac:dyDescent="0.2">
      <c r="A199" s="1502" t="s">
        <v>87</v>
      </c>
      <c r="B199" s="613">
        <v>5110</v>
      </c>
      <c r="C199" s="615"/>
      <c r="D199" s="615"/>
      <c r="E199" s="615"/>
      <c r="F199" s="615"/>
      <c r="G199" s="615"/>
      <c r="H199" s="466">
        <v>0</v>
      </c>
      <c r="I199" s="615"/>
      <c r="J199" s="615"/>
      <c r="K199" s="1665">
        <f>SUM(H199)</f>
        <v>0</v>
      </c>
      <c r="L199" s="466">
        <v>0</v>
      </c>
    </row>
    <row r="200" spans="1:14" x14ac:dyDescent="0.2">
      <c r="A200" s="1502" t="s">
        <v>88</v>
      </c>
      <c r="B200" s="613">
        <v>5120</v>
      </c>
      <c r="C200" s="615"/>
      <c r="D200" s="615"/>
      <c r="E200" s="615"/>
      <c r="F200" s="615"/>
      <c r="G200" s="615"/>
      <c r="H200" s="466">
        <v>0</v>
      </c>
      <c r="I200" s="615"/>
      <c r="J200" s="615"/>
      <c r="K200" s="1665">
        <f>SUM(H200)</f>
        <v>0</v>
      </c>
      <c r="L200" s="466">
        <v>0</v>
      </c>
    </row>
    <row r="201" spans="1:14" ht="12.75" customHeight="1" x14ac:dyDescent="0.2">
      <c r="A201" s="1502" t="s">
        <v>1170</v>
      </c>
      <c r="B201" s="627" t="s">
        <v>617</v>
      </c>
      <c r="C201" s="615"/>
      <c r="D201" s="615"/>
      <c r="E201" s="615"/>
      <c r="F201" s="615"/>
      <c r="G201" s="615"/>
      <c r="H201" s="466">
        <v>0</v>
      </c>
      <c r="I201" s="615"/>
      <c r="J201" s="615"/>
      <c r="K201" s="1665">
        <f>SUM(H201)</f>
        <v>0</v>
      </c>
      <c r="L201" s="466">
        <v>0</v>
      </c>
    </row>
    <row r="202" spans="1:14" x14ac:dyDescent="0.2">
      <c r="A202" s="1502" t="s">
        <v>89</v>
      </c>
      <c r="B202" s="613" t="s">
        <v>589</v>
      </c>
      <c r="C202" s="615"/>
      <c r="D202" s="615"/>
      <c r="E202" s="615"/>
      <c r="F202" s="615"/>
      <c r="G202" s="615"/>
      <c r="H202" s="466">
        <v>0</v>
      </c>
      <c r="I202" s="615"/>
      <c r="J202" s="615"/>
      <c r="K202" s="1665">
        <f>SUM(H202)</f>
        <v>0</v>
      </c>
      <c r="L202" s="466">
        <v>0</v>
      </c>
    </row>
    <row r="203" spans="1:14" x14ac:dyDescent="0.2">
      <c r="A203" s="1514" t="s">
        <v>619</v>
      </c>
      <c r="B203" s="613" t="s">
        <v>618</v>
      </c>
      <c r="C203" s="615"/>
      <c r="D203" s="615"/>
      <c r="E203" s="615"/>
      <c r="F203" s="615"/>
      <c r="G203" s="615"/>
      <c r="H203" s="471">
        <v>0</v>
      </c>
      <c r="I203" s="615"/>
      <c r="J203" s="615"/>
      <c r="K203" s="1665">
        <f>SUM(H203)</f>
        <v>0</v>
      </c>
      <c r="L203" s="471">
        <v>0</v>
      </c>
    </row>
    <row r="204" spans="1:14" ht="13.5" thickBot="1" x14ac:dyDescent="0.25">
      <c r="A204" s="1662" t="s">
        <v>276</v>
      </c>
      <c r="B204" s="1663" t="s">
        <v>718</v>
      </c>
      <c r="C204" s="615"/>
      <c r="D204" s="615"/>
      <c r="E204" s="615"/>
      <c r="F204" s="615"/>
      <c r="G204" s="615"/>
      <c r="H204" s="1664">
        <f>SUM(H199:H203)</f>
        <v>0</v>
      </c>
      <c r="I204" s="615"/>
      <c r="J204" s="615"/>
      <c r="K204" s="1664">
        <f>SUM(K199:K203)</f>
        <v>0</v>
      </c>
      <c r="L204" s="1664">
        <f>SUM(L199:L203)</f>
        <v>0</v>
      </c>
    </row>
    <row r="205" spans="1:14" ht="15.75" customHeight="1" thickTop="1" x14ac:dyDescent="0.2">
      <c r="A205" s="677" t="s">
        <v>83</v>
      </c>
      <c r="B205" s="678" t="s">
        <v>38</v>
      </c>
      <c r="C205" s="615"/>
      <c r="D205" s="615"/>
      <c r="E205" s="615"/>
      <c r="F205" s="615"/>
      <c r="G205" s="615"/>
      <c r="H205" s="471">
        <v>0</v>
      </c>
      <c r="I205" s="615"/>
      <c r="J205" s="615"/>
      <c r="K205" s="1679">
        <f>SUM(H205)</f>
        <v>0</v>
      </c>
      <c r="L205" s="535">
        <v>0</v>
      </c>
    </row>
    <row r="206" spans="1:14" ht="30" customHeight="1" x14ac:dyDescent="0.2">
      <c r="A206" s="679" t="s">
        <v>1671</v>
      </c>
      <c r="B206" s="670" t="s">
        <v>31</v>
      </c>
      <c r="C206" s="615"/>
      <c r="D206" s="615"/>
      <c r="E206" s="615"/>
      <c r="F206" s="615"/>
      <c r="G206" s="615"/>
      <c r="H206" s="471">
        <v>0</v>
      </c>
      <c r="I206" s="615"/>
      <c r="J206" s="615"/>
      <c r="K206" s="1665">
        <f>SUM(H206)</f>
        <v>0</v>
      </c>
      <c r="L206" s="466">
        <v>0</v>
      </c>
    </row>
    <row r="207" spans="1:14" ht="15.75" customHeight="1" x14ac:dyDescent="0.2">
      <c r="A207" s="620" t="s">
        <v>766</v>
      </c>
      <c r="B207" s="670" t="s">
        <v>84</v>
      </c>
      <c r="C207" s="615"/>
      <c r="D207" s="615"/>
      <c r="E207" s="615"/>
      <c r="F207" s="615"/>
      <c r="G207" s="615"/>
      <c r="H207" s="471">
        <v>0</v>
      </c>
      <c r="I207" s="615"/>
      <c r="J207" s="615"/>
      <c r="K207" s="1665">
        <f>H207</f>
        <v>0</v>
      </c>
      <c r="L207" s="466">
        <v>0</v>
      </c>
    </row>
    <row r="208" spans="1:14" ht="12.75" customHeight="1" thickBot="1" x14ac:dyDescent="0.25">
      <c r="A208" s="1680" t="s">
        <v>638</v>
      </c>
      <c r="B208" s="1681" t="s">
        <v>492</v>
      </c>
      <c r="C208" s="615"/>
      <c r="D208" s="615"/>
      <c r="E208" s="615"/>
      <c r="F208" s="615"/>
      <c r="G208" s="615"/>
      <c r="H208" s="1671">
        <f>SUM(H204,H205,H206,H207)</f>
        <v>0</v>
      </c>
      <c r="I208" s="615"/>
      <c r="J208" s="615"/>
      <c r="K208" s="1671">
        <f>SUM(K204,K205,K206,K207)</f>
        <v>0</v>
      </c>
      <c r="L208" s="1671">
        <f>SUM(L204,L205,L206,L207)</f>
        <v>0</v>
      </c>
    </row>
    <row r="209" spans="1:14" ht="15.75" customHeight="1" thickTop="1" thickBot="1" x14ac:dyDescent="0.25">
      <c r="A209" s="1604" t="s">
        <v>872</v>
      </c>
      <c r="B209" s="1611" t="s">
        <v>861</v>
      </c>
      <c r="C209" s="622"/>
      <c r="D209" s="622"/>
      <c r="E209" s="622"/>
      <c r="F209" s="622"/>
      <c r="G209" s="622"/>
      <c r="H209" s="622"/>
      <c r="I209" s="615"/>
      <c r="J209" s="615"/>
      <c r="K209" s="622"/>
      <c r="L209" s="575">
        <v>0</v>
      </c>
    </row>
    <row r="210" spans="1:14" ht="12.75" customHeight="1" thickTop="1" thickBot="1" x14ac:dyDescent="0.25">
      <c r="A210" s="1686" t="s">
        <v>277</v>
      </c>
      <c r="B210" s="1687"/>
      <c r="C210" s="1664">
        <f>SUM(C184,C185)</f>
        <v>0</v>
      </c>
      <c r="D210" s="1664">
        <f>SUM(D184,D185)</f>
        <v>0</v>
      </c>
      <c r="E210" s="1664">
        <f>SUM(E184,E185,E196)</f>
        <v>0</v>
      </c>
      <c r="F210" s="1664">
        <f>SUM(F184,F185)</f>
        <v>0</v>
      </c>
      <c r="G210" s="1664">
        <f>SUM(G184,G185)</f>
        <v>0</v>
      </c>
      <c r="H210" s="1664">
        <f>SUM(H184,H185,H196,H208,H209)</f>
        <v>0</v>
      </c>
      <c r="I210" s="1664">
        <f>SUM(I184,I185)</f>
        <v>0</v>
      </c>
      <c r="J210" s="1664">
        <f>SUM(J184,J185)</f>
        <v>0</v>
      </c>
      <c r="K210" s="1665">
        <f>SUM(K184,K185,K196,K208,K209)</f>
        <v>0</v>
      </c>
      <c r="L210" s="1664">
        <f>SUM(L184,L185,L196,L208,L209)</f>
        <v>0</v>
      </c>
    </row>
    <row r="211" spans="1:14" ht="13.5" thickTop="1" x14ac:dyDescent="0.2">
      <c r="A211" s="2162" t="s">
        <v>996</v>
      </c>
      <c r="B211" s="2163"/>
      <c r="C211" s="617"/>
      <c r="D211" s="617"/>
      <c r="E211" s="617"/>
      <c r="F211" s="617"/>
      <c r="G211" s="617"/>
      <c r="H211" s="617"/>
      <c r="I211" s="615"/>
      <c r="J211" s="615"/>
      <c r="K211" s="1678">
        <f>'Revenues 9-14'!F268-'Expenditures 15-22'!K210</f>
        <v>0</v>
      </c>
      <c r="L211" s="617"/>
    </row>
    <row r="212" spans="1:14" s="664" customFormat="1" ht="9" customHeight="1" x14ac:dyDescent="0.2">
      <c r="A212" s="661"/>
      <c r="B212" s="671"/>
      <c r="C212" s="648"/>
      <c r="D212" s="648"/>
      <c r="E212" s="648"/>
      <c r="F212" s="648"/>
      <c r="G212" s="648"/>
      <c r="H212" s="648"/>
      <c r="I212" s="648"/>
      <c r="J212" s="648"/>
      <c r="K212" s="648"/>
      <c r="L212" s="648"/>
      <c r="M212" s="663"/>
      <c r="N212" s="663"/>
    </row>
    <row r="213" spans="1:14" s="343" customFormat="1" ht="16.7" customHeight="1" x14ac:dyDescent="0.2">
      <c r="A213" s="2184" t="s">
        <v>965</v>
      </c>
      <c r="B213" s="2185"/>
      <c r="C213" s="1549"/>
      <c r="D213" s="1550"/>
      <c r="E213" s="1550"/>
      <c r="F213" s="1550"/>
      <c r="G213" s="1550"/>
      <c r="H213" s="1550"/>
      <c r="I213" s="1550"/>
      <c r="J213" s="1550"/>
      <c r="K213" s="1550"/>
      <c r="L213" s="1551"/>
      <c r="M213" s="608"/>
      <c r="N213" s="608"/>
    </row>
    <row r="214" spans="1:14" s="672" customFormat="1" ht="15.75" customHeight="1" x14ac:dyDescent="0.2">
      <c r="A214" s="1621" t="s">
        <v>873</v>
      </c>
      <c r="B214" s="1613" t="s">
        <v>570</v>
      </c>
      <c r="C214" s="615"/>
      <c r="D214" s="622"/>
      <c r="E214" s="615"/>
      <c r="F214" s="615"/>
      <c r="G214" s="615"/>
      <c r="H214" s="615"/>
      <c r="I214" s="615"/>
      <c r="J214" s="615"/>
      <c r="K214" s="622"/>
      <c r="L214" s="622"/>
      <c r="M214" s="663"/>
      <c r="N214" s="663"/>
    </row>
    <row r="215" spans="1:14" x14ac:dyDescent="0.2">
      <c r="A215" s="1502" t="s">
        <v>961</v>
      </c>
      <c r="B215" s="613">
        <v>1100</v>
      </c>
      <c r="C215" s="615"/>
      <c r="D215" s="466">
        <v>0</v>
      </c>
      <c r="E215" s="615"/>
      <c r="F215" s="615"/>
      <c r="G215" s="615"/>
      <c r="H215" s="615"/>
      <c r="I215" s="615"/>
      <c r="J215" s="615"/>
      <c r="K215" s="1665">
        <f>D215</f>
        <v>0</v>
      </c>
      <c r="L215" s="466">
        <v>0</v>
      </c>
    </row>
    <row r="216" spans="1:14" x14ac:dyDescent="0.2">
      <c r="A216" s="1502" t="s">
        <v>163</v>
      </c>
      <c r="B216" s="613" t="s">
        <v>967</v>
      </c>
      <c r="C216" s="615"/>
      <c r="D216" s="467">
        <v>0</v>
      </c>
      <c r="E216" s="615"/>
      <c r="F216" s="615"/>
      <c r="G216" s="615"/>
      <c r="H216" s="615"/>
      <c r="I216" s="615"/>
      <c r="J216" s="615"/>
      <c r="K216" s="1665">
        <f t="shared" ref="K216:K228" si="19">D216</f>
        <v>0</v>
      </c>
      <c r="L216" s="466">
        <v>0</v>
      </c>
    </row>
    <row r="217" spans="1:14" x14ac:dyDescent="0.2">
      <c r="A217" s="1502" t="s">
        <v>164</v>
      </c>
      <c r="B217" s="613">
        <v>1200</v>
      </c>
      <c r="C217" s="615"/>
      <c r="D217" s="466">
        <v>0</v>
      </c>
      <c r="E217" s="615"/>
      <c r="F217" s="615"/>
      <c r="G217" s="615"/>
      <c r="H217" s="615"/>
      <c r="I217" s="615"/>
      <c r="J217" s="615"/>
      <c r="K217" s="1665">
        <f t="shared" si="19"/>
        <v>0</v>
      </c>
      <c r="L217" s="466">
        <v>0</v>
      </c>
    </row>
    <row r="218" spans="1:14" x14ac:dyDescent="0.2">
      <c r="A218" s="1502" t="s">
        <v>278</v>
      </c>
      <c r="B218" s="613" t="s">
        <v>968</v>
      </c>
      <c r="C218" s="615"/>
      <c r="D218" s="467">
        <v>0</v>
      </c>
      <c r="E218" s="615"/>
      <c r="F218" s="615"/>
      <c r="G218" s="615"/>
      <c r="H218" s="615"/>
      <c r="I218" s="615"/>
      <c r="J218" s="615"/>
      <c r="K218" s="1665">
        <f t="shared" si="19"/>
        <v>0</v>
      </c>
      <c r="L218" s="466">
        <v>0</v>
      </c>
    </row>
    <row r="219" spans="1:14" x14ac:dyDescent="0.2">
      <c r="A219" s="1502" t="s">
        <v>279</v>
      </c>
      <c r="B219" s="613">
        <v>1250</v>
      </c>
      <c r="C219" s="615"/>
      <c r="D219" s="466">
        <v>0</v>
      </c>
      <c r="E219" s="615"/>
      <c r="F219" s="615"/>
      <c r="G219" s="615"/>
      <c r="H219" s="615"/>
      <c r="I219" s="615"/>
      <c r="J219" s="615"/>
      <c r="K219" s="1665">
        <f t="shared" si="19"/>
        <v>0</v>
      </c>
      <c r="L219" s="466">
        <v>0</v>
      </c>
    </row>
    <row r="220" spans="1:14" x14ac:dyDescent="0.2">
      <c r="A220" s="1502" t="s">
        <v>280</v>
      </c>
      <c r="B220" s="613" t="s">
        <v>161</v>
      </c>
      <c r="C220" s="615"/>
      <c r="D220" s="467">
        <v>0</v>
      </c>
      <c r="E220" s="615"/>
      <c r="F220" s="615"/>
      <c r="G220" s="615"/>
      <c r="H220" s="615"/>
      <c r="I220" s="615"/>
      <c r="J220" s="615"/>
      <c r="K220" s="1665">
        <f t="shared" si="19"/>
        <v>0</v>
      </c>
      <c r="L220" s="466">
        <v>0</v>
      </c>
    </row>
    <row r="221" spans="1:14" x14ac:dyDescent="0.2">
      <c r="A221" s="1502" t="s">
        <v>962</v>
      </c>
      <c r="B221" s="613">
        <v>1300</v>
      </c>
      <c r="C221" s="615"/>
      <c r="D221" s="466">
        <v>0</v>
      </c>
      <c r="E221" s="615"/>
      <c r="F221" s="615"/>
      <c r="G221" s="615"/>
      <c r="H221" s="615"/>
      <c r="I221" s="615"/>
      <c r="J221" s="615"/>
      <c r="K221" s="1665">
        <f t="shared" si="19"/>
        <v>0</v>
      </c>
      <c r="L221" s="466">
        <v>0</v>
      </c>
    </row>
    <row r="222" spans="1:14" x14ac:dyDescent="0.2">
      <c r="A222" s="1502" t="s">
        <v>723</v>
      </c>
      <c r="B222" s="613">
        <v>1400</v>
      </c>
      <c r="C222" s="615"/>
      <c r="D222" s="466">
        <v>0</v>
      </c>
      <c r="E222" s="615"/>
      <c r="F222" s="615"/>
      <c r="G222" s="615"/>
      <c r="H222" s="615"/>
      <c r="I222" s="615"/>
      <c r="J222" s="615"/>
      <c r="K222" s="1665">
        <f t="shared" si="19"/>
        <v>0</v>
      </c>
      <c r="L222" s="466">
        <v>0</v>
      </c>
    </row>
    <row r="223" spans="1:14" x14ac:dyDescent="0.2">
      <c r="A223" s="1502" t="s">
        <v>963</v>
      </c>
      <c r="B223" s="613">
        <v>1500</v>
      </c>
      <c r="C223" s="615"/>
      <c r="D223" s="466">
        <v>0</v>
      </c>
      <c r="E223" s="615"/>
      <c r="F223" s="615"/>
      <c r="G223" s="615"/>
      <c r="H223" s="615"/>
      <c r="I223" s="615"/>
      <c r="J223" s="615"/>
      <c r="K223" s="1665">
        <f t="shared" si="19"/>
        <v>0</v>
      </c>
      <c r="L223" s="466">
        <v>0</v>
      </c>
    </row>
    <row r="224" spans="1:14" x14ac:dyDescent="0.2">
      <c r="A224" s="1502" t="s">
        <v>964</v>
      </c>
      <c r="B224" s="613">
        <v>1600</v>
      </c>
      <c r="C224" s="615"/>
      <c r="D224" s="466">
        <v>0</v>
      </c>
      <c r="E224" s="615"/>
      <c r="F224" s="615"/>
      <c r="G224" s="615"/>
      <c r="H224" s="615"/>
      <c r="I224" s="615"/>
      <c r="J224" s="615"/>
      <c r="K224" s="1665">
        <f t="shared" si="19"/>
        <v>0</v>
      </c>
      <c r="L224" s="466">
        <v>0</v>
      </c>
    </row>
    <row r="225" spans="1:12" x14ac:dyDescent="0.2">
      <c r="A225" s="1502" t="s">
        <v>987</v>
      </c>
      <c r="B225" s="613">
        <v>1650</v>
      </c>
      <c r="C225" s="615"/>
      <c r="D225" s="466">
        <v>0</v>
      </c>
      <c r="E225" s="615"/>
      <c r="F225" s="615"/>
      <c r="G225" s="615"/>
      <c r="H225" s="615"/>
      <c r="I225" s="615"/>
      <c r="J225" s="615"/>
      <c r="K225" s="1665">
        <f t="shared" si="19"/>
        <v>0</v>
      </c>
      <c r="L225" s="466">
        <v>0</v>
      </c>
    </row>
    <row r="226" spans="1:12" x14ac:dyDescent="0.2">
      <c r="A226" s="1502" t="s">
        <v>724</v>
      </c>
      <c r="B226" s="613" t="s">
        <v>162</v>
      </c>
      <c r="C226" s="615"/>
      <c r="D226" s="467">
        <v>0</v>
      </c>
      <c r="E226" s="615"/>
      <c r="F226" s="615"/>
      <c r="G226" s="615"/>
      <c r="H226" s="615"/>
      <c r="I226" s="615"/>
      <c r="J226" s="615"/>
      <c r="K226" s="1665">
        <f t="shared" si="19"/>
        <v>0</v>
      </c>
      <c r="L226" s="466">
        <v>0</v>
      </c>
    </row>
    <row r="227" spans="1:12" x14ac:dyDescent="0.2">
      <c r="A227" s="1502" t="s">
        <v>1087</v>
      </c>
      <c r="B227" s="613">
        <v>1800</v>
      </c>
      <c r="C227" s="615"/>
      <c r="D227" s="466">
        <v>0</v>
      </c>
      <c r="E227" s="615"/>
      <c r="F227" s="615"/>
      <c r="G227" s="615"/>
      <c r="H227" s="615"/>
      <c r="I227" s="615"/>
      <c r="J227" s="615"/>
      <c r="K227" s="1665">
        <f t="shared" si="19"/>
        <v>0</v>
      </c>
      <c r="L227" s="466">
        <v>0</v>
      </c>
    </row>
    <row r="228" spans="1:12" x14ac:dyDescent="0.2">
      <c r="A228" s="1502" t="s">
        <v>1088</v>
      </c>
      <c r="B228" s="613">
        <v>1900</v>
      </c>
      <c r="C228" s="615"/>
      <c r="D228" s="466">
        <v>0</v>
      </c>
      <c r="E228" s="615"/>
      <c r="F228" s="615"/>
      <c r="G228" s="615"/>
      <c r="H228" s="615"/>
      <c r="I228" s="615"/>
      <c r="J228" s="615"/>
      <c r="K228" s="1665">
        <f t="shared" si="19"/>
        <v>0</v>
      </c>
      <c r="L228" s="466">
        <v>0</v>
      </c>
    </row>
    <row r="229" spans="1:12" ht="12.75" customHeight="1" thickBot="1" x14ac:dyDescent="0.25">
      <c r="A229" s="1662" t="s">
        <v>715</v>
      </c>
      <c r="B229" s="1669" t="s">
        <v>570</v>
      </c>
      <c r="C229" s="615"/>
      <c r="D229" s="1664">
        <f>SUM(D215:D228)</f>
        <v>0</v>
      </c>
      <c r="E229" s="615"/>
      <c r="F229" s="615"/>
      <c r="G229" s="615"/>
      <c r="H229" s="615"/>
      <c r="I229" s="615"/>
      <c r="J229" s="615"/>
      <c r="K229" s="1664">
        <f>SUM(K215:K228)</f>
        <v>0</v>
      </c>
      <c r="L229" s="1664">
        <f>SUM(L215:L228)</f>
        <v>0</v>
      </c>
    </row>
    <row r="230" spans="1:12" ht="15.75" customHeight="1" thickTop="1" x14ac:dyDescent="0.2">
      <c r="A230" s="1610" t="s">
        <v>874</v>
      </c>
      <c r="B230" s="1611" t="s">
        <v>569</v>
      </c>
      <c r="C230" s="615"/>
      <c r="D230" s="615"/>
      <c r="E230" s="615"/>
      <c r="F230" s="615"/>
      <c r="G230" s="615"/>
      <c r="H230" s="615"/>
      <c r="I230" s="615"/>
      <c r="J230" s="615"/>
      <c r="K230" s="615"/>
      <c r="L230" s="615"/>
    </row>
    <row r="231" spans="1:12" ht="15.75" customHeight="1" x14ac:dyDescent="0.2">
      <c r="A231" s="651" t="s">
        <v>591</v>
      </c>
      <c r="B231" s="621"/>
      <c r="C231" s="615"/>
      <c r="D231" s="615"/>
      <c r="E231" s="615"/>
      <c r="F231" s="615"/>
      <c r="G231" s="615"/>
      <c r="H231" s="615"/>
      <c r="I231" s="615"/>
      <c r="J231" s="615"/>
      <c r="K231" s="615"/>
      <c r="L231" s="615"/>
    </row>
    <row r="232" spans="1:12" x14ac:dyDescent="0.2">
      <c r="A232" s="1502" t="s">
        <v>1089</v>
      </c>
      <c r="B232" s="613">
        <v>2110</v>
      </c>
      <c r="C232" s="615"/>
      <c r="D232" s="466">
        <v>0</v>
      </c>
      <c r="E232" s="615"/>
      <c r="F232" s="615"/>
      <c r="G232" s="615"/>
      <c r="H232" s="615"/>
      <c r="I232" s="615"/>
      <c r="J232" s="615"/>
      <c r="K232" s="1665">
        <f t="shared" ref="K232:K237" si="20">D232</f>
        <v>0</v>
      </c>
      <c r="L232" s="466">
        <v>0</v>
      </c>
    </row>
    <row r="233" spans="1:12" x14ac:dyDescent="0.2">
      <c r="A233" s="1502" t="s">
        <v>1090</v>
      </c>
      <c r="B233" s="613">
        <v>2120</v>
      </c>
      <c r="C233" s="615"/>
      <c r="D233" s="466">
        <v>0</v>
      </c>
      <c r="E233" s="615"/>
      <c r="F233" s="615"/>
      <c r="G233" s="615"/>
      <c r="H233" s="615"/>
      <c r="I233" s="615"/>
      <c r="J233" s="615"/>
      <c r="K233" s="1665">
        <f t="shared" si="20"/>
        <v>0</v>
      </c>
      <c r="L233" s="466">
        <v>0</v>
      </c>
    </row>
    <row r="234" spans="1:12" x14ac:dyDescent="0.2">
      <c r="A234" s="1502" t="s">
        <v>198</v>
      </c>
      <c r="B234" s="613">
        <v>2130</v>
      </c>
      <c r="C234" s="615"/>
      <c r="D234" s="466">
        <v>0</v>
      </c>
      <c r="E234" s="615"/>
      <c r="F234" s="615"/>
      <c r="G234" s="615"/>
      <c r="H234" s="615"/>
      <c r="I234" s="615"/>
      <c r="J234" s="615"/>
      <c r="K234" s="1665">
        <f t="shared" si="20"/>
        <v>0</v>
      </c>
      <c r="L234" s="466">
        <v>0</v>
      </c>
    </row>
    <row r="235" spans="1:12" x14ac:dyDescent="0.2">
      <c r="A235" s="1502" t="s">
        <v>199</v>
      </c>
      <c r="B235" s="613">
        <v>2140</v>
      </c>
      <c r="C235" s="615"/>
      <c r="D235" s="466">
        <v>0</v>
      </c>
      <c r="E235" s="615"/>
      <c r="F235" s="615"/>
      <c r="G235" s="615"/>
      <c r="H235" s="615"/>
      <c r="I235" s="615"/>
      <c r="J235" s="615"/>
      <c r="K235" s="1665">
        <f t="shared" si="20"/>
        <v>0</v>
      </c>
      <c r="L235" s="466">
        <v>0</v>
      </c>
    </row>
    <row r="236" spans="1:12" x14ac:dyDescent="0.2">
      <c r="A236" s="1502" t="s">
        <v>200</v>
      </c>
      <c r="B236" s="613">
        <v>2150</v>
      </c>
      <c r="C236" s="615"/>
      <c r="D236" s="466">
        <v>0</v>
      </c>
      <c r="E236" s="615"/>
      <c r="F236" s="615"/>
      <c r="G236" s="615"/>
      <c r="H236" s="615"/>
      <c r="I236" s="615"/>
      <c r="J236" s="615"/>
      <c r="K236" s="1665">
        <f t="shared" si="20"/>
        <v>0</v>
      </c>
      <c r="L236" s="466">
        <v>0</v>
      </c>
    </row>
    <row r="237" spans="1:12" x14ac:dyDescent="0.2">
      <c r="A237" s="1502" t="s">
        <v>165</v>
      </c>
      <c r="B237" s="613">
        <v>2190</v>
      </c>
      <c r="C237" s="615"/>
      <c r="D237" s="466">
        <v>0</v>
      </c>
      <c r="E237" s="615"/>
      <c r="F237" s="615"/>
      <c r="G237" s="615"/>
      <c r="H237" s="615"/>
      <c r="I237" s="615"/>
      <c r="J237" s="615"/>
      <c r="K237" s="1665">
        <f t="shared" si="20"/>
        <v>0</v>
      </c>
      <c r="L237" s="466">
        <v>0</v>
      </c>
    </row>
    <row r="238" spans="1:12" ht="12.75" customHeight="1" thickBot="1" x14ac:dyDescent="0.25">
      <c r="A238" s="1662" t="s">
        <v>560</v>
      </c>
      <c r="B238" s="1669" t="s">
        <v>716</v>
      </c>
      <c r="C238" s="615"/>
      <c r="D238" s="1664">
        <f>SUM(D232:D237)</f>
        <v>0</v>
      </c>
      <c r="E238" s="615"/>
      <c r="F238" s="615"/>
      <c r="G238" s="615"/>
      <c r="H238" s="615"/>
      <c r="I238" s="615"/>
      <c r="J238" s="615"/>
      <c r="K238" s="1664">
        <f>SUM(K232:K237)</f>
        <v>0</v>
      </c>
      <c r="L238" s="1664">
        <f>SUM(L232:L237)</f>
        <v>0</v>
      </c>
    </row>
    <row r="239" spans="1:12" ht="15.75" customHeight="1" thickTop="1" x14ac:dyDescent="0.2">
      <c r="A239" s="623" t="s">
        <v>592</v>
      </c>
      <c r="B239" s="630"/>
      <c r="C239" s="615"/>
      <c r="D239" s="625"/>
      <c r="E239" s="615"/>
      <c r="F239" s="615"/>
      <c r="G239" s="615"/>
      <c r="H239" s="615"/>
      <c r="I239" s="615"/>
      <c r="J239" s="615"/>
      <c r="K239" s="625"/>
      <c r="L239" s="625"/>
    </row>
    <row r="240" spans="1:12" x14ac:dyDescent="0.2">
      <c r="A240" s="1502" t="s">
        <v>814</v>
      </c>
      <c r="B240" s="613">
        <v>2210</v>
      </c>
      <c r="C240" s="615"/>
      <c r="D240" s="568">
        <v>0</v>
      </c>
      <c r="E240" s="615"/>
      <c r="F240" s="615"/>
      <c r="G240" s="615"/>
      <c r="H240" s="615"/>
      <c r="I240" s="615"/>
      <c r="J240" s="615"/>
      <c r="K240" s="1666">
        <f>D240</f>
        <v>0</v>
      </c>
      <c r="L240" s="568">
        <v>0</v>
      </c>
    </row>
    <row r="241" spans="1:12" x14ac:dyDescent="0.2">
      <c r="A241" s="1502" t="s">
        <v>815</v>
      </c>
      <c r="B241" s="613">
        <v>2220</v>
      </c>
      <c r="C241" s="615"/>
      <c r="D241" s="466">
        <v>0</v>
      </c>
      <c r="E241" s="615"/>
      <c r="F241" s="615"/>
      <c r="G241" s="615"/>
      <c r="H241" s="615"/>
      <c r="I241" s="615"/>
      <c r="J241" s="615"/>
      <c r="K241" s="1666">
        <f>D241</f>
        <v>0</v>
      </c>
      <c r="L241" s="466">
        <v>0</v>
      </c>
    </row>
    <row r="242" spans="1:12" x14ac:dyDescent="0.2">
      <c r="A242" s="1502" t="s">
        <v>816</v>
      </c>
      <c r="B242" s="613">
        <v>2230</v>
      </c>
      <c r="C242" s="615"/>
      <c r="D242" s="466">
        <v>0</v>
      </c>
      <c r="E242" s="615"/>
      <c r="F242" s="615"/>
      <c r="G242" s="615"/>
      <c r="H242" s="615"/>
      <c r="I242" s="615"/>
      <c r="J242" s="615"/>
      <c r="K242" s="1666">
        <f>D242</f>
        <v>0</v>
      </c>
      <c r="L242" s="466">
        <v>0</v>
      </c>
    </row>
    <row r="243" spans="1:12" ht="12.75" customHeight="1" thickBot="1" x14ac:dyDescent="0.25">
      <c r="A243" s="1688" t="s">
        <v>561</v>
      </c>
      <c r="B243" s="1689">
        <v>2200</v>
      </c>
      <c r="C243" s="615"/>
      <c r="D243" s="1664">
        <f>SUM(D240:D242)</f>
        <v>0</v>
      </c>
      <c r="E243" s="615"/>
      <c r="F243" s="615"/>
      <c r="G243" s="615"/>
      <c r="H243" s="615"/>
      <c r="I243" s="615"/>
      <c r="J243" s="615"/>
      <c r="K243" s="1664">
        <f>SUM(K240:K242)</f>
        <v>0</v>
      </c>
      <c r="L243" s="1664">
        <f>SUM(L240:L242)</f>
        <v>0</v>
      </c>
    </row>
    <row r="244" spans="1:12" ht="15.75" customHeight="1" thickTop="1" x14ac:dyDescent="0.2">
      <c r="A244" s="623" t="s">
        <v>610</v>
      </c>
      <c r="B244" s="680"/>
      <c r="C244" s="615"/>
      <c r="D244" s="625"/>
      <c r="E244" s="615"/>
      <c r="F244" s="615"/>
      <c r="G244" s="615"/>
      <c r="H244" s="615"/>
      <c r="I244" s="615"/>
      <c r="J244" s="615"/>
      <c r="K244" s="625"/>
      <c r="L244" s="625"/>
    </row>
    <row r="245" spans="1:12" x14ac:dyDescent="0.2">
      <c r="A245" s="1502" t="s">
        <v>817</v>
      </c>
      <c r="B245" s="613">
        <v>2310</v>
      </c>
      <c r="C245" s="615"/>
      <c r="D245" s="568">
        <v>0</v>
      </c>
      <c r="E245" s="615"/>
      <c r="F245" s="615"/>
      <c r="G245" s="615"/>
      <c r="H245" s="615"/>
      <c r="I245" s="615"/>
      <c r="J245" s="615"/>
      <c r="K245" s="1666">
        <f>D245</f>
        <v>0</v>
      </c>
      <c r="L245" s="568">
        <v>0</v>
      </c>
    </row>
    <row r="246" spans="1:12" x14ac:dyDescent="0.2">
      <c r="A246" s="1502" t="s">
        <v>818</v>
      </c>
      <c r="B246" s="613">
        <v>2320</v>
      </c>
      <c r="C246" s="615"/>
      <c r="D246" s="466">
        <v>0</v>
      </c>
      <c r="E246" s="615"/>
      <c r="F246" s="615"/>
      <c r="G246" s="615"/>
      <c r="H246" s="615"/>
      <c r="I246" s="615"/>
      <c r="J246" s="615"/>
      <c r="K246" s="1666">
        <f t="shared" ref="K246:K256" si="21">D246</f>
        <v>0</v>
      </c>
      <c r="L246" s="466">
        <v>0</v>
      </c>
    </row>
    <row r="247" spans="1:12" x14ac:dyDescent="0.2">
      <c r="A247" s="1502" t="s">
        <v>819</v>
      </c>
      <c r="B247" s="613">
        <v>2330</v>
      </c>
      <c r="C247" s="615"/>
      <c r="D247" s="466">
        <v>0</v>
      </c>
      <c r="E247" s="615"/>
      <c r="F247" s="615"/>
      <c r="G247" s="615"/>
      <c r="H247" s="615"/>
      <c r="I247" s="615"/>
      <c r="J247" s="615"/>
      <c r="K247" s="1666">
        <f t="shared" si="21"/>
        <v>0</v>
      </c>
      <c r="L247" s="466">
        <v>0</v>
      </c>
    </row>
    <row r="248" spans="1:12" x14ac:dyDescent="0.2">
      <c r="A248" s="1503" t="s">
        <v>299</v>
      </c>
      <c r="B248" s="601" t="s">
        <v>281</v>
      </c>
      <c r="C248" s="615"/>
      <c r="D248" s="474">
        <v>0</v>
      </c>
      <c r="E248" s="615"/>
      <c r="F248" s="615"/>
      <c r="G248" s="615"/>
      <c r="H248" s="615"/>
      <c r="I248" s="615"/>
      <c r="J248" s="615"/>
      <c r="K248" s="1666">
        <f t="shared" si="21"/>
        <v>0</v>
      </c>
      <c r="L248" s="466">
        <v>0</v>
      </c>
    </row>
    <row r="249" spans="1:12" x14ac:dyDescent="0.2">
      <c r="A249" s="1504" t="s">
        <v>1805</v>
      </c>
      <c r="B249" s="681" t="s">
        <v>282</v>
      </c>
      <c r="C249" s="615"/>
      <c r="D249" s="474">
        <v>0</v>
      </c>
      <c r="E249" s="615"/>
      <c r="F249" s="615"/>
      <c r="G249" s="615"/>
      <c r="H249" s="615"/>
      <c r="I249" s="615"/>
      <c r="J249" s="615"/>
      <c r="K249" s="1666">
        <f t="shared" si="21"/>
        <v>0</v>
      </c>
      <c r="L249" s="466">
        <v>0</v>
      </c>
    </row>
    <row r="250" spans="1:12" x14ac:dyDescent="0.2">
      <c r="A250" s="1503" t="s">
        <v>1806</v>
      </c>
      <c r="B250" s="601" t="s">
        <v>283</v>
      </c>
      <c r="C250" s="615"/>
      <c r="D250" s="474">
        <v>0</v>
      </c>
      <c r="E250" s="615"/>
      <c r="F250" s="615"/>
      <c r="G250" s="615"/>
      <c r="H250" s="615"/>
      <c r="I250" s="615"/>
      <c r="J250" s="615"/>
      <c r="K250" s="1666">
        <f t="shared" si="21"/>
        <v>0</v>
      </c>
      <c r="L250" s="466">
        <v>0</v>
      </c>
    </row>
    <row r="251" spans="1:12" x14ac:dyDescent="0.2">
      <c r="A251" s="1503" t="s">
        <v>238</v>
      </c>
      <c r="B251" s="601" t="s">
        <v>284</v>
      </c>
      <c r="C251" s="615"/>
      <c r="D251" s="474">
        <v>0</v>
      </c>
      <c r="E251" s="615"/>
      <c r="F251" s="615"/>
      <c r="G251" s="615"/>
      <c r="H251" s="615"/>
      <c r="I251" s="615"/>
      <c r="J251" s="615"/>
      <c r="K251" s="1666">
        <f t="shared" si="21"/>
        <v>0</v>
      </c>
      <c r="L251" s="466">
        <v>0</v>
      </c>
    </row>
    <row r="252" spans="1:12" x14ac:dyDescent="0.2">
      <c r="A252" s="1503" t="s">
        <v>702</v>
      </c>
      <c r="B252" s="601" t="s">
        <v>285</v>
      </c>
      <c r="C252" s="615"/>
      <c r="D252" s="474">
        <v>0</v>
      </c>
      <c r="E252" s="615"/>
      <c r="F252" s="615"/>
      <c r="G252" s="615"/>
      <c r="H252" s="615"/>
      <c r="I252" s="615"/>
      <c r="J252" s="615"/>
      <c r="K252" s="1666">
        <f t="shared" si="21"/>
        <v>0</v>
      </c>
      <c r="L252" s="466">
        <v>0</v>
      </c>
    </row>
    <row r="253" spans="1:12" x14ac:dyDescent="0.2">
      <c r="A253" s="1503" t="s">
        <v>239</v>
      </c>
      <c r="B253" s="601" t="s">
        <v>286</v>
      </c>
      <c r="C253" s="615"/>
      <c r="D253" s="474">
        <v>0</v>
      </c>
      <c r="E253" s="615"/>
      <c r="F253" s="615"/>
      <c r="G253" s="615"/>
      <c r="H253" s="615"/>
      <c r="I253" s="615"/>
      <c r="J253" s="615"/>
      <c r="K253" s="1666">
        <f t="shared" si="21"/>
        <v>0</v>
      </c>
      <c r="L253" s="466">
        <v>0</v>
      </c>
    </row>
    <row r="254" spans="1:12" ht="22.5" x14ac:dyDescent="0.2">
      <c r="A254" s="1503" t="s">
        <v>1029</v>
      </c>
      <c r="B254" s="681" t="s">
        <v>287</v>
      </c>
      <c r="C254" s="615"/>
      <c r="D254" s="474">
        <v>0</v>
      </c>
      <c r="E254" s="615"/>
      <c r="F254" s="615"/>
      <c r="G254" s="615"/>
      <c r="H254" s="615"/>
      <c r="I254" s="615"/>
      <c r="J254" s="615"/>
      <c r="K254" s="1666">
        <f t="shared" si="21"/>
        <v>0</v>
      </c>
      <c r="L254" s="466">
        <v>0</v>
      </c>
    </row>
    <row r="255" spans="1:12" x14ac:dyDescent="0.2">
      <c r="A255" s="1503" t="s">
        <v>1030</v>
      </c>
      <c r="B255" s="601" t="s">
        <v>288</v>
      </c>
      <c r="C255" s="615"/>
      <c r="D255" s="474">
        <v>0</v>
      </c>
      <c r="E255" s="615"/>
      <c r="F255" s="615"/>
      <c r="G255" s="615"/>
      <c r="H255" s="615"/>
      <c r="I255" s="615"/>
      <c r="J255" s="615"/>
      <c r="K255" s="1666">
        <f t="shared" si="21"/>
        <v>0</v>
      </c>
      <c r="L255" s="466">
        <v>0</v>
      </c>
    </row>
    <row r="256" spans="1:12" x14ac:dyDescent="0.2">
      <c r="A256" s="1503" t="s">
        <v>971</v>
      </c>
      <c r="B256" s="613" t="s">
        <v>289</v>
      </c>
      <c r="C256" s="615"/>
      <c r="D256" s="474">
        <v>0</v>
      </c>
      <c r="E256" s="615"/>
      <c r="F256" s="615"/>
      <c r="G256" s="615"/>
      <c r="H256" s="615"/>
      <c r="I256" s="615"/>
      <c r="J256" s="615"/>
      <c r="K256" s="1666">
        <f t="shared" si="21"/>
        <v>0</v>
      </c>
      <c r="L256" s="466">
        <v>0</v>
      </c>
    </row>
    <row r="257" spans="1:14" ht="12.75" customHeight="1" thickBot="1" x14ac:dyDescent="0.25">
      <c r="A257" s="1662" t="s">
        <v>717</v>
      </c>
      <c r="B257" s="1690">
        <v>2300</v>
      </c>
      <c r="C257" s="615"/>
      <c r="D257" s="1664">
        <f>SUM(D245:D256)</f>
        <v>0</v>
      </c>
      <c r="E257" s="615"/>
      <c r="F257" s="615"/>
      <c r="G257" s="615"/>
      <c r="H257" s="615"/>
      <c r="I257" s="615"/>
      <c r="J257" s="615"/>
      <c r="K257" s="1664">
        <f>SUM(K245:K256)</f>
        <v>0</v>
      </c>
      <c r="L257" s="1664">
        <f>SUM(L245:L256)</f>
        <v>0</v>
      </c>
    </row>
    <row r="258" spans="1:14" ht="15.75" customHeight="1" thickTop="1" x14ac:dyDescent="0.2">
      <c r="A258" s="623" t="s">
        <v>611</v>
      </c>
      <c r="B258" s="682"/>
      <c r="C258" s="615"/>
      <c r="D258" s="625"/>
      <c r="E258" s="615"/>
      <c r="F258" s="615"/>
      <c r="G258" s="615"/>
      <c r="H258" s="615"/>
      <c r="I258" s="615"/>
      <c r="J258" s="615"/>
      <c r="K258" s="625"/>
      <c r="L258" s="625"/>
    </row>
    <row r="259" spans="1:14" x14ac:dyDescent="0.2">
      <c r="A259" s="1502" t="s">
        <v>1067</v>
      </c>
      <c r="B259" s="683">
        <v>2410</v>
      </c>
      <c r="C259" s="615"/>
      <c r="D259" s="568">
        <v>0</v>
      </c>
      <c r="E259" s="615"/>
      <c r="F259" s="615"/>
      <c r="G259" s="615"/>
      <c r="H259" s="615"/>
      <c r="I259" s="615"/>
      <c r="J259" s="615"/>
      <c r="K259" s="1666">
        <f>D259</f>
        <v>0</v>
      </c>
      <c r="L259" s="568">
        <v>0</v>
      </c>
    </row>
    <row r="260" spans="1:14" s="596" customFormat="1" x14ac:dyDescent="0.2">
      <c r="A260" s="1520" t="s">
        <v>1804</v>
      </c>
      <c r="B260" s="627">
        <v>2490</v>
      </c>
      <c r="C260" s="615"/>
      <c r="D260" s="466">
        <v>0</v>
      </c>
      <c r="E260" s="615"/>
      <c r="F260" s="615"/>
      <c r="G260" s="615"/>
      <c r="H260" s="615"/>
      <c r="I260" s="615"/>
      <c r="J260" s="615"/>
      <c r="K260" s="1666">
        <f>D260</f>
        <v>0</v>
      </c>
      <c r="L260" s="466">
        <v>0</v>
      </c>
      <c r="M260" s="210"/>
      <c r="N260" s="210"/>
    </row>
    <row r="261" spans="1:14" ht="12.75" customHeight="1" thickBot="1" x14ac:dyDescent="0.25">
      <c r="A261" s="1686" t="s">
        <v>263</v>
      </c>
      <c r="B261" s="1691" t="s">
        <v>34</v>
      </c>
      <c r="C261" s="615"/>
      <c r="D261" s="1664">
        <f>SUM(D259:D260)</f>
        <v>0</v>
      </c>
      <c r="E261" s="615"/>
      <c r="F261" s="615"/>
      <c r="G261" s="615"/>
      <c r="H261" s="615"/>
      <c r="I261" s="615"/>
      <c r="J261" s="615"/>
      <c r="K261" s="1664">
        <f>SUM(K259:K260)</f>
        <v>0</v>
      </c>
      <c r="L261" s="1664">
        <f>SUM(L259:L260)</f>
        <v>0</v>
      </c>
    </row>
    <row r="262" spans="1:14" ht="15.75" customHeight="1" thickTop="1" x14ac:dyDescent="0.2">
      <c r="A262" s="623" t="s">
        <v>612</v>
      </c>
      <c r="B262" s="682"/>
      <c r="C262" s="615"/>
      <c r="D262" s="615"/>
      <c r="E262" s="615"/>
      <c r="F262" s="615"/>
      <c r="G262" s="615"/>
      <c r="H262" s="615"/>
      <c r="I262" s="615"/>
      <c r="J262" s="615"/>
      <c r="K262" s="625"/>
      <c r="L262" s="625"/>
    </row>
    <row r="263" spans="1:14" x14ac:dyDescent="0.2">
      <c r="A263" s="1502" t="s">
        <v>1068</v>
      </c>
      <c r="B263" s="683">
        <v>2510</v>
      </c>
      <c r="C263" s="615"/>
      <c r="D263" s="466">
        <v>0</v>
      </c>
      <c r="E263" s="615"/>
      <c r="F263" s="615"/>
      <c r="G263" s="615"/>
      <c r="H263" s="615"/>
      <c r="I263" s="615"/>
      <c r="J263" s="615"/>
      <c r="K263" s="1666">
        <f>D263</f>
        <v>0</v>
      </c>
      <c r="L263" s="568">
        <v>0</v>
      </c>
    </row>
    <row r="264" spans="1:14" x14ac:dyDescent="0.2">
      <c r="A264" s="1502" t="s">
        <v>463</v>
      </c>
      <c r="B264" s="683">
        <v>2520</v>
      </c>
      <c r="C264" s="615"/>
      <c r="D264" s="466">
        <v>0</v>
      </c>
      <c r="E264" s="615"/>
      <c r="F264" s="615"/>
      <c r="G264" s="615"/>
      <c r="H264" s="615"/>
      <c r="I264" s="615"/>
      <c r="J264" s="615"/>
      <c r="K264" s="1666">
        <f t="shared" ref="K264:K269" si="22">D264</f>
        <v>0</v>
      </c>
      <c r="L264" s="466">
        <v>0</v>
      </c>
    </row>
    <row r="265" spans="1:14" x14ac:dyDescent="0.2">
      <c r="A265" s="1502" t="s">
        <v>4</v>
      </c>
      <c r="B265" s="613">
        <v>2530</v>
      </c>
      <c r="C265" s="615"/>
      <c r="D265" s="466">
        <v>0</v>
      </c>
      <c r="E265" s="615"/>
      <c r="F265" s="615"/>
      <c r="G265" s="615"/>
      <c r="H265" s="615"/>
      <c r="I265" s="615"/>
      <c r="J265" s="615"/>
      <c r="K265" s="1666">
        <f t="shared" si="22"/>
        <v>0</v>
      </c>
      <c r="L265" s="466">
        <v>0</v>
      </c>
    </row>
    <row r="266" spans="1:14" x14ac:dyDescent="0.2">
      <c r="A266" s="1502" t="s">
        <v>197</v>
      </c>
      <c r="B266" s="613">
        <v>2540</v>
      </c>
      <c r="C266" s="615"/>
      <c r="D266" s="466">
        <v>0</v>
      </c>
      <c r="E266" s="615"/>
      <c r="F266" s="615"/>
      <c r="G266" s="615"/>
      <c r="H266" s="615"/>
      <c r="I266" s="615"/>
      <c r="J266" s="615"/>
      <c r="K266" s="1666">
        <f t="shared" si="22"/>
        <v>0</v>
      </c>
      <c r="L266" s="466">
        <v>0</v>
      </c>
    </row>
    <row r="267" spans="1:14" x14ac:dyDescent="0.2">
      <c r="A267" s="1502" t="s">
        <v>953</v>
      </c>
      <c r="B267" s="613">
        <v>2550</v>
      </c>
      <c r="C267" s="615"/>
      <c r="D267" s="466">
        <v>0</v>
      </c>
      <c r="E267" s="615"/>
      <c r="F267" s="615"/>
      <c r="G267" s="615"/>
      <c r="H267" s="615"/>
      <c r="I267" s="615"/>
      <c r="J267" s="615"/>
      <c r="K267" s="1666">
        <f t="shared" si="22"/>
        <v>0</v>
      </c>
      <c r="L267" s="466">
        <v>0</v>
      </c>
    </row>
    <row r="268" spans="1:14" x14ac:dyDescent="0.2">
      <c r="A268" s="1502" t="s">
        <v>100</v>
      </c>
      <c r="B268" s="613">
        <v>2560</v>
      </c>
      <c r="C268" s="615"/>
      <c r="D268" s="466">
        <v>0</v>
      </c>
      <c r="E268" s="615"/>
      <c r="F268" s="615"/>
      <c r="G268" s="615"/>
      <c r="H268" s="615"/>
      <c r="I268" s="615"/>
      <c r="J268" s="615"/>
      <c r="K268" s="1666">
        <f t="shared" si="22"/>
        <v>0</v>
      </c>
      <c r="L268" s="466">
        <v>0</v>
      </c>
    </row>
    <row r="269" spans="1:14" x14ac:dyDescent="0.2">
      <c r="A269" s="1502" t="s">
        <v>101</v>
      </c>
      <c r="B269" s="613">
        <v>2570</v>
      </c>
      <c r="C269" s="615"/>
      <c r="D269" s="466">
        <v>0</v>
      </c>
      <c r="E269" s="615"/>
      <c r="F269" s="615"/>
      <c r="G269" s="615"/>
      <c r="H269" s="615"/>
      <c r="I269" s="615"/>
      <c r="J269" s="615"/>
      <c r="K269" s="1666">
        <f t="shared" si="22"/>
        <v>0</v>
      </c>
      <c r="L269" s="466">
        <v>0</v>
      </c>
    </row>
    <row r="270" spans="1:14" ht="12.75" customHeight="1" thickBot="1" x14ac:dyDescent="0.25">
      <c r="A270" s="1662" t="s">
        <v>719</v>
      </c>
      <c r="B270" s="1669" t="s">
        <v>35</v>
      </c>
      <c r="C270" s="615"/>
      <c r="D270" s="1664">
        <f>SUM(D263:D269)</f>
        <v>0</v>
      </c>
      <c r="E270" s="615"/>
      <c r="F270" s="615"/>
      <c r="G270" s="615"/>
      <c r="H270" s="615"/>
      <c r="I270" s="615"/>
      <c r="J270" s="615"/>
      <c r="K270" s="1664">
        <f>SUM(K263:K269)</f>
        <v>0</v>
      </c>
      <c r="L270" s="1664">
        <f>SUM(L263:L269)</f>
        <v>0</v>
      </c>
    </row>
    <row r="271" spans="1:14" ht="15.75" customHeight="1" thickTop="1" x14ac:dyDescent="0.2">
      <c r="A271" s="667" t="s">
        <v>613</v>
      </c>
      <c r="B271" s="624"/>
      <c r="C271" s="615"/>
      <c r="D271" s="625"/>
      <c r="E271" s="615"/>
      <c r="F271" s="615"/>
      <c r="G271" s="615"/>
      <c r="H271" s="615"/>
      <c r="I271" s="615"/>
      <c r="J271" s="615"/>
      <c r="K271" s="625"/>
      <c r="L271" s="625"/>
    </row>
    <row r="272" spans="1:14" x14ac:dyDescent="0.2">
      <c r="A272" s="1502" t="s">
        <v>1060</v>
      </c>
      <c r="B272" s="613">
        <v>2610</v>
      </c>
      <c r="C272" s="615"/>
      <c r="D272" s="568">
        <v>0</v>
      </c>
      <c r="E272" s="615"/>
      <c r="F272" s="615"/>
      <c r="G272" s="615"/>
      <c r="H272" s="615"/>
      <c r="I272" s="615"/>
      <c r="J272" s="615"/>
      <c r="K272" s="1666">
        <f>D272</f>
        <v>0</v>
      </c>
      <c r="L272" s="568">
        <v>0</v>
      </c>
    </row>
    <row r="273" spans="1:12" x14ac:dyDescent="0.2">
      <c r="A273" s="1502" t="s">
        <v>607</v>
      </c>
      <c r="B273" s="627">
        <v>2620</v>
      </c>
      <c r="C273" s="615"/>
      <c r="D273" s="466">
        <v>0</v>
      </c>
      <c r="E273" s="615"/>
      <c r="F273" s="615"/>
      <c r="G273" s="615"/>
      <c r="H273" s="615"/>
      <c r="I273" s="615"/>
      <c r="J273" s="615"/>
      <c r="K273" s="1666">
        <f>D273</f>
        <v>0</v>
      </c>
      <c r="L273" s="466">
        <v>0</v>
      </c>
    </row>
    <row r="274" spans="1:12" ht="12" customHeight="1" x14ac:dyDescent="0.2">
      <c r="A274" s="1502" t="s">
        <v>1061</v>
      </c>
      <c r="B274" s="613">
        <v>2630</v>
      </c>
      <c r="C274" s="615"/>
      <c r="D274" s="466">
        <v>0</v>
      </c>
      <c r="E274" s="615"/>
      <c r="F274" s="615"/>
      <c r="G274" s="615"/>
      <c r="H274" s="615"/>
      <c r="I274" s="615"/>
      <c r="J274" s="615"/>
      <c r="K274" s="1666">
        <f>D274</f>
        <v>0</v>
      </c>
      <c r="L274" s="466">
        <v>0</v>
      </c>
    </row>
    <row r="275" spans="1:12" x14ac:dyDescent="0.2">
      <c r="A275" s="1502" t="s">
        <v>403</v>
      </c>
      <c r="B275" s="613">
        <v>2640</v>
      </c>
      <c r="C275" s="615"/>
      <c r="D275" s="466">
        <v>0</v>
      </c>
      <c r="E275" s="615"/>
      <c r="F275" s="615"/>
      <c r="G275" s="615"/>
      <c r="H275" s="615"/>
      <c r="I275" s="615"/>
      <c r="J275" s="615"/>
      <c r="K275" s="1666">
        <f>D275</f>
        <v>0</v>
      </c>
      <c r="L275" s="466">
        <v>0</v>
      </c>
    </row>
    <row r="276" spans="1:12" x14ac:dyDescent="0.2">
      <c r="A276" s="1502" t="s">
        <v>404</v>
      </c>
      <c r="B276" s="613">
        <v>2660</v>
      </c>
      <c r="C276" s="615"/>
      <c r="D276" s="466">
        <v>0</v>
      </c>
      <c r="E276" s="615"/>
      <c r="F276" s="615"/>
      <c r="G276" s="615"/>
      <c r="H276" s="615"/>
      <c r="I276" s="615"/>
      <c r="J276" s="615"/>
      <c r="K276" s="1666">
        <f>D276</f>
        <v>0</v>
      </c>
      <c r="L276" s="466">
        <v>0</v>
      </c>
    </row>
    <row r="277" spans="1:12" ht="12.75" customHeight="1" thickBot="1" x14ac:dyDescent="0.25">
      <c r="A277" s="1685" t="s">
        <v>37</v>
      </c>
      <c r="B277" s="1663" t="s">
        <v>36</v>
      </c>
      <c r="C277" s="615"/>
      <c r="D277" s="1664">
        <f>SUM(D272:D276)</f>
        <v>0</v>
      </c>
      <c r="E277" s="615"/>
      <c r="F277" s="615"/>
      <c r="G277" s="615"/>
      <c r="H277" s="615"/>
      <c r="I277" s="615"/>
      <c r="J277" s="615"/>
      <c r="K277" s="1664">
        <f>SUM(K272:K276)</f>
        <v>0</v>
      </c>
      <c r="L277" s="1664">
        <f>SUM(L272:L276)</f>
        <v>0</v>
      </c>
    </row>
    <row r="278" spans="1:12" ht="13.5" customHeight="1" thickTop="1" x14ac:dyDescent="0.2">
      <c r="A278" s="1508" t="s">
        <v>980</v>
      </c>
      <c r="B278" s="653" t="s">
        <v>574</v>
      </c>
      <c r="C278" s="615"/>
      <c r="D278" s="654">
        <v>0</v>
      </c>
      <c r="E278" s="615"/>
      <c r="F278" s="615"/>
      <c r="G278" s="615"/>
      <c r="H278" s="615"/>
      <c r="I278" s="615"/>
      <c r="J278" s="615"/>
      <c r="K278" s="1679">
        <f>D278</f>
        <v>0</v>
      </c>
      <c r="L278" s="654">
        <v>0</v>
      </c>
    </row>
    <row r="279" spans="1:12" ht="12.75" customHeight="1" thickBot="1" x14ac:dyDescent="0.25">
      <c r="A279" s="1692" t="s">
        <v>811</v>
      </c>
      <c r="B279" s="1675">
        <v>2000</v>
      </c>
      <c r="C279" s="615"/>
      <c r="D279" s="1671">
        <f>SUM(D238,D243,D257,D261,D270,D277,D278)</f>
        <v>0</v>
      </c>
      <c r="E279" s="615"/>
      <c r="F279" s="615"/>
      <c r="G279" s="615"/>
      <c r="H279" s="615"/>
      <c r="I279" s="615"/>
      <c r="J279" s="615"/>
      <c r="K279" s="1671">
        <f>SUM(K238,K243,K257,K261,K270,K277,K278)</f>
        <v>0</v>
      </c>
      <c r="L279" s="1671">
        <f>SUM(L238,L243,L257,L261,L270,L277,L278)</f>
        <v>0</v>
      </c>
    </row>
    <row r="280" spans="1:12" ht="15.75" customHeight="1" thickTop="1" thickBot="1" x14ac:dyDescent="0.25">
      <c r="A280" s="1622" t="s">
        <v>875</v>
      </c>
      <c r="B280" s="1611">
        <v>3000</v>
      </c>
      <c r="C280" s="615"/>
      <c r="D280" s="575">
        <v>0</v>
      </c>
      <c r="E280" s="615"/>
      <c r="F280" s="615"/>
      <c r="G280" s="615"/>
      <c r="H280" s="615"/>
      <c r="I280" s="615"/>
      <c r="J280" s="615"/>
      <c r="K280" s="1673">
        <f>D280</f>
        <v>0</v>
      </c>
      <c r="L280" s="575">
        <v>0</v>
      </c>
    </row>
    <row r="281" spans="1:12" ht="15.75" customHeight="1" thickTop="1" x14ac:dyDescent="0.2">
      <c r="A281" s="1612" t="s">
        <v>142</v>
      </c>
      <c r="B281" s="1613" t="s">
        <v>860</v>
      </c>
      <c r="C281" s="615"/>
      <c r="D281" s="565"/>
      <c r="E281" s="615"/>
      <c r="F281" s="615"/>
      <c r="G281" s="615"/>
      <c r="H281" s="615"/>
      <c r="I281" s="615"/>
      <c r="J281" s="615"/>
      <c r="K281" s="615"/>
      <c r="L281" s="615"/>
    </row>
    <row r="282" spans="1:12" ht="15.75" customHeight="1" x14ac:dyDescent="0.2">
      <c r="A282" s="1824" t="s">
        <v>496</v>
      </c>
      <c r="B282" s="688" t="s">
        <v>1844</v>
      </c>
      <c r="C282" s="615"/>
      <c r="D282" s="467" t="s">
        <v>1169</v>
      </c>
      <c r="E282" s="615"/>
      <c r="F282" s="615"/>
      <c r="G282" s="615"/>
      <c r="H282" s="615"/>
      <c r="I282" s="615"/>
      <c r="J282" s="615"/>
      <c r="K282" s="1665" t="str">
        <f>D282</f>
        <v xml:space="preserve"> </v>
      </c>
      <c r="L282" s="467">
        <v>0</v>
      </c>
    </row>
    <row r="283" spans="1:12" x14ac:dyDescent="0.2">
      <c r="A283" s="1502" t="s">
        <v>304</v>
      </c>
      <c r="B283" s="613">
        <v>4120</v>
      </c>
      <c r="C283" s="615"/>
      <c r="D283" s="466">
        <v>0</v>
      </c>
      <c r="E283" s="615"/>
      <c r="F283" s="615"/>
      <c r="G283" s="615"/>
      <c r="H283" s="615"/>
      <c r="I283" s="615"/>
      <c r="J283" s="615"/>
      <c r="K283" s="1665">
        <f>D283</f>
        <v>0</v>
      </c>
      <c r="L283" s="466">
        <v>0</v>
      </c>
    </row>
    <row r="284" spans="1:12" x14ac:dyDescent="0.2">
      <c r="A284" s="1502" t="s">
        <v>697</v>
      </c>
      <c r="B284" s="613">
        <v>4140</v>
      </c>
      <c r="C284" s="615"/>
      <c r="D284" s="467">
        <v>0</v>
      </c>
      <c r="E284" s="615"/>
      <c r="F284" s="615"/>
      <c r="G284" s="615"/>
      <c r="H284" s="615"/>
      <c r="I284" s="615"/>
      <c r="J284" s="615"/>
      <c r="K284" s="1665">
        <f>D284</f>
        <v>0</v>
      </c>
      <c r="L284" s="466">
        <v>0</v>
      </c>
    </row>
    <row r="285" spans="1:12" ht="12.75" customHeight="1" thickBot="1" x14ac:dyDescent="0.25">
      <c r="A285" s="1662" t="s">
        <v>1487</v>
      </c>
      <c r="B285" s="1663" t="s">
        <v>860</v>
      </c>
      <c r="C285" s="615"/>
      <c r="D285" s="1664">
        <f>SUM(D282:D284)</f>
        <v>0</v>
      </c>
      <c r="E285" s="615"/>
      <c r="F285" s="615"/>
      <c r="G285" s="615"/>
      <c r="H285" s="615"/>
      <c r="I285" s="615"/>
      <c r="J285" s="615"/>
      <c r="K285" s="1664">
        <f>SUM(K282:K284)</f>
        <v>0</v>
      </c>
      <c r="L285" s="1664">
        <f>SUM(L282:L284)</f>
        <v>0</v>
      </c>
    </row>
    <row r="286" spans="1:12" ht="15.75" customHeight="1" thickTop="1" x14ac:dyDescent="0.2">
      <c r="A286" s="1610" t="s">
        <v>876</v>
      </c>
      <c r="B286" s="1607" t="s">
        <v>492</v>
      </c>
      <c r="C286" s="615"/>
      <c r="D286" s="615"/>
      <c r="E286" s="615"/>
      <c r="F286" s="615"/>
      <c r="G286" s="615"/>
      <c r="H286" s="615"/>
      <c r="I286" s="615"/>
      <c r="J286" s="615"/>
      <c r="K286" s="615"/>
      <c r="L286" s="615"/>
    </row>
    <row r="287" spans="1:12" ht="15.75" customHeight="1" x14ac:dyDescent="0.2">
      <c r="A287" s="651" t="s">
        <v>93</v>
      </c>
      <c r="B287" s="621"/>
      <c r="C287" s="615"/>
      <c r="D287" s="615"/>
      <c r="E287" s="615"/>
      <c r="F287" s="615"/>
      <c r="G287" s="615"/>
      <c r="H287" s="622"/>
      <c r="I287" s="615"/>
      <c r="J287" s="615"/>
      <c r="K287" s="615"/>
      <c r="L287" s="615"/>
    </row>
    <row r="288" spans="1:12" x14ac:dyDescent="0.2">
      <c r="A288" s="1502" t="s">
        <v>87</v>
      </c>
      <c r="B288" s="613">
        <v>5110</v>
      </c>
      <c r="C288" s="615"/>
      <c r="D288" s="615"/>
      <c r="E288" s="615"/>
      <c r="F288" s="615"/>
      <c r="G288" s="615"/>
      <c r="H288" s="466">
        <v>0</v>
      </c>
      <c r="I288" s="615"/>
      <c r="J288" s="615"/>
      <c r="K288" s="1665">
        <f>H288</f>
        <v>0</v>
      </c>
      <c r="L288" s="466">
        <v>0</v>
      </c>
    </row>
    <row r="289" spans="1:14" x14ac:dyDescent="0.2">
      <c r="A289" s="1502" t="s">
        <v>88</v>
      </c>
      <c r="B289" s="613">
        <v>5120</v>
      </c>
      <c r="C289" s="615"/>
      <c r="D289" s="615"/>
      <c r="E289" s="615"/>
      <c r="F289" s="615"/>
      <c r="G289" s="615"/>
      <c r="H289" s="466">
        <v>0</v>
      </c>
      <c r="I289" s="615"/>
      <c r="J289" s="615"/>
      <c r="K289" s="1665">
        <f>H289</f>
        <v>0</v>
      </c>
      <c r="L289" s="466">
        <v>0</v>
      </c>
    </row>
    <row r="290" spans="1:14" ht="12.75" customHeight="1" x14ac:dyDescent="0.2">
      <c r="A290" s="1502" t="s">
        <v>1170</v>
      </c>
      <c r="B290" s="627" t="s">
        <v>617</v>
      </c>
      <c r="C290" s="615"/>
      <c r="D290" s="615"/>
      <c r="E290" s="615"/>
      <c r="F290" s="615"/>
      <c r="G290" s="615"/>
      <c r="H290" s="466">
        <v>0</v>
      </c>
      <c r="I290" s="615"/>
      <c r="J290" s="615"/>
      <c r="K290" s="1665">
        <f>H290</f>
        <v>0</v>
      </c>
      <c r="L290" s="466">
        <v>0</v>
      </c>
    </row>
    <row r="291" spans="1:14" x14ac:dyDescent="0.2">
      <c r="A291" s="1502" t="s">
        <v>89</v>
      </c>
      <c r="B291" s="613" t="s">
        <v>589</v>
      </c>
      <c r="C291" s="615"/>
      <c r="D291" s="615"/>
      <c r="E291" s="615"/>
      <c r="F291" s="615"/>
      <c r="G291" s="615"/>
      <c r="H291" s="466">
        <v>0</v>
      </c>
      <c r="I291" s="615"/>
      <c r="J291" s="615"/>
      <c r="K291" s="1665">
        <f>H291</f>
        <v>0</v>
      </c>
      <c r="L291" s="466">
        <v>0</v>
      </c>
    </row>
    <row r="292" spans="1:14" x14ac:dyDescent="0.2">
      <c r="A292" s="1502" t="s">
        <v>762</v>
      </c>
      <c r="B292" s="613" t="s">
        <v>618</v>
      </c>
      <c r="C292" s="615"/>
      <c r="D292" s="615"/>
      <c r="E292" s="615"/>
      <c r="F292" s="615"/>
      <c r="G292" s="615"/>
      <c r="H292" s="466">
        <v>0</v>
      </c>
      <c r="I292" s="615"/>
      <c r="J292" s="615"/>
      <c r="K292" s="1665">
        <f>H292</f>
        <v>0</v>
      </c>
      <c r="L292" s="466">
        <v>0</v>
      </c>
    </row>
    <row r="293" spans="1:14" ht="12.75" customHeight="1" thickBot="1" x14ac:dyDescent="0.25">
      <c r="A293" s="1662" t="s">
        <v>484</v>
      </c>
      <c r="B293" s="1663" t="s">
        <v>492</v>
      </c>
      <c r="C293" s="615"/>
      <c r="D293" s="615"/>
      <c r="E293" s="615"/>
      <c r="F293" s="615"/>
      <c r="G293" s="615"/>
      <c r="H293" s="1664">
        <f>SUM(H288:H292)</f>
        <v>0</v>
      </c>
      <c r="I293" s="615"/>
      <c r="J293" s="615"/>
      <c r="K293" s="1664">
        <f>SUM(K288:K292)</f>
        <v>0</v>
      </c>
      <c r="L293" s="1664">
        <f>SUM(L288:L292)</f>
        <v>0</v>
      </c>
    </row>
    <row r="294" spans="1:14" ht="15.75" customHeight="1" thickTop="1" thickBot="1" x14ac:dyDescent="0.25">
      <c r="A294" s="1623" t="s">
        <v>877</v>
      </c>
      <c r="B294" s="1611" t="s">
        <v>861</v>
      </c>
      <c r="C294" s="615"/>
      <c r="D294" s="622"/>
      <c r="E294" s="615"/>
      <c r="F294" s="615"/>
      <c r="G294" s="615"/>
      <c r="H294" s="684"/>
      <c r="I294" s="615"/>
      <c r="J294" s="615"/>
      <c r="K294" s="684"/>
      <c r="L294" s="577">
        <v>0</v>
      </c>
    </row>
    <row r="295" spans="1:14" ht="12.75" customHeight="1" thickTop="1" thickBot="1" x14ac:dyDescent="0.25">
      <c r="A295" s="2180" t="s">
        <v>505</v>
      </c>
      <c r="B295" s="2181"/>
      <c r="C295" s="615"/>
      <c r="D295" s="1664">
        <f>SUM(D229,D279,D280,D285)</f>
        <v>0</v>
      </c>
      <c r="E295" s="615"/>
      <c r="F295" s="615"/>
      <c r="G295" s="615"/>
      <c r="H295" s="1664">
        <f>H293</f>
        <v>0</v>
      </c>
      <c r="I295" s="615"/>
      <c r="J295" s="615"/>
      <c r="K295" s="1664">
        <f>SUM(K229,K279,K280,K285,K293,K294)</f>
        <v>0</v>
      </c>
      <c r="L295" s="1664">
        <f>SUM(L229,L279,L280,L285,L293,L294)</f>
        <v>0</v>
      </c>
    </row>
    <row r="296" spans="1:14" ht="13.5" thickTop="1" x14ac:dyDescent="0.2">
      <c r="A296" s="2162" t="s">
        <v>996</v>
      </c>
      <c r="B296" s="2163"/>
      <c r="C296" s="615"/>
      <c r="D296" s="617"/>
      <c r="E296" s="615"/>
      <c r="F296" s="615"/>
      <c r="G296" s="615"/>
      <c r="H296" s="685"/>
      <c r="I296" s="615"/>
      <c r="J296" s="615"/>
      <c r="K296" s="1678">
        <f>'Revenues 9-14'!G268-'Expenditures 15-22'!K295</f>
        <v>0</v>
      </c>
      <c r="L296" s="685"/>
    </row>
    <row r="297" spans="1:14" s="664" customFormat="1" ht="9" customHeight="1" x14ac:dyDescent="0.2">
      <c r="A297" s="661"/>
      <c r="B297" s="671"/>
      <c r="C297" s="648"/>
      <c r="D297" s="648"/>
      <c r="E297" s="648"/>
      <c r="F297" s="648"/>
      <c r="G297" s="648"/>
      <c r="H297" s="648"/>
      <c r="I297" s="648"/>
      <c r="J297" s="648"/>
      <c r="K297" s="648"/>
      <c r="L297" s="648"/>
      <c r="M297" s="663"/>
      <c r="N297" s="663"/>
    </row>
    <row r="298" spans="1:14" ht="16.7" customHeight="1" x14ac:dyDescent="0.2">
      <c r="A298" s="2172" t="s">
        <v>143</v>
      </c>
      <c r="B298" s="2166"/>
      <c r="C298" s="1549"/>
      <c r="D298" s="1550"/>
      <c r="E298" s="1550"/>
      <c r="F298" s="1550"/>
      <c r="G298" s="1550"/>
      <c r="H298" s="1550"/>
      <c r="I298" s="1550"/>
      <c r="J298" s="1550"/>
      <c r="K298" s="1550"/>
      <c r="L298" s="1551"/>
    </row>
    <row r="299" spans="1:14" ht="15.75" customHeight="1" x14ac:dyDescent="0.2">
      <c r="A299" s="1610" t="s">
        <v>144</v>
      </c>
      <c r="B299" s="1613" t="s">
        <v>569</v>
      </c>
      <c r="C299" s="615"/>
      <c r="D299" s="615"/>
      <c r="E299" s="615"/>
      <c r="F299" s="615"/>
      <c r="G299" s="615"/>
      <c r="H299" s="615"/>
      <c r="I299" s="615"/>
      <c r="J299" s="615"/>
      <c r="K299" s="615"/>
      <c r="L299" s="615"/>
    </row>
    <row r="300" spans="1:14" ht="15.75" customHeight="1" x14ac:dyDescent="0.2">
      <c r="A300" s="686" t="s">
        <v>612</v>
      </c>
      <c r="B300" s="630"/>
      <c r="C300" s="622"/>
      <c r="D300" s="622"/>
      <c r="E300" s="622"/>
      <c r="F300" s="622"/>
      <c r="G300" s="622"/>
      <c r="H300" s="622"/>
      <c r="I300" s="615"/>
      <c r="J300" s="615"/>
      <c r="K300" s="622"/>
      <c r="L300" s="622"/>
    </row>
    <row r="301" spans="1:14" x14ac:dyDescent="0.2">
      <c r="A301" s="1515" t="s">
        <v>608</v>
      </c>
      <c r="B301" s="687">
        <v>2530</v>
      </c>
      <c r="C301" s="466">
        <v>0</v>
      </c>
      <c r="D301" s="466">
        <v>0</v>
      </c>
      <c r="E301" s="466">
        <v>0</v>
      </c>
      <c r="F301" s="466">
        <v>0</v>
      </c>
      <c r="G301" s="466">
        <v>0</v>
      </c>
      <c r="H301" s="466">
        <v>0</v>
      </c>
      <c r="I301" s="466">
        <v>0</v>
      </c>
      <c r="J301" s="466">
        <v>0</v>
      </c>
      <c r="K301" s="1665">
        <f>SUM(C301:J301)</f>
        <v>0</v>
      </c>
      <c r="L301" s="467">
        <v>0</v>
      </c>
    </row>
    <row r="302" spans="1:14" ht="13.5" customHeight="1" x14ac:dyDescent="0.2">
      <c r="A302" s="1515" t="s">
        <v>980</v>
      </c>
      <c r="B302" s="613" t="s">
        <v>574</v>
      </c>
      <c r="C302" s="466">
        <v>0</v>
      </c>
      <c r="D302" s="466">
        <v>0</v>
      </c>
      <c r="E302" s="466">
        <v>0</v>
      </c>
      <c r="F302" s="466">
        <v>0</v>
      </c>
      <c r="G302" s="466">
        <v>0</v>
      </c>
      <c r="H302" s="466">
        <v>0</v>
      </c>
      <c r="I302" s="466">
        <v>0</v>
      </c>
      <c r="J302" s="466">
        <v>0</v>
      </c>
      <c r="K302" s="1665">
        <f>SUM(C302:J302)</f>
        <v>0</v>
      </c>
      <c r="L302" s="466">
        <v>0</v>
      </c>
    </row>
    <row r="303" spans="1:14" ht="12.75" customHeight="1" thickBot="1" x14ac:dyDescent="0.25">
      <c r="A303" s="1662" t="s">
        <v>811</v>
      </c>
      <c r="B303" s="1663" t="s">
        <v>569</v>
      </c>
      <c r="C303" s="1671">
        <f>SUM(C301:C302)</f>
        <v>0</v>
      </c>
      <c r="D303" s="1671">
        <f t="shared" ref="D303:L303" si="23">SUM(D301:D302)</f>
        <v>0</v>
      </c>
      <c r="E303" s="1671">
        <f t="shared" si="23"/>
        <v>0</v>
      </c>
      <c r="F303" s="1671">
        <f t="shared" si="23"/>
        <v>0</v>
      </c>
      <c r="G303" s="1671">
        <f t="shared" si="23"/>
        <v>0</v>
      </c>
      <c r="H303" s="1671">
        <f t="shared" si="23"/>
        <v>0</v>
      </c>
      <c r="I303" s="1671">
        <f t="shared" si="23"/>
        <v>0</v>
      </c>
      <c r="J303" s="1671">
        <f t="shared" si="23"/>
        <v>0</v>
      </c>
      <c r="K303" s="1671">
        <f t="shared" si="23"/>
        <v>0</v>
      </c>
      <c r="L303" s="1671">
        <f t="shared" si="23"/>
        <v>0</v>
      </c>
    </row>
    <row r="304" spans="1:14" ht="15.75" customHeight="1" thickTop="1" x14ac:dyDescent="0.2">
      <c r="A304" s="1610" t="s">
        <v>145</v>
      </c>
      <c r="B304" s="1611" t="s">
        <v>860</v>
      </c>
      <c r="C304" s="615"/>
      <c r="D304" s="615"/>
      <c r="E304" s="615"/>
      <c r="F304" s="615"/>
      <c r="G304" s="615"/>
      <c r="H304" s="615"/>
      <c r="I304" s="615"/>
      <c r="J304" s="615"/>
      <c r="K304" s="615"/>
      <c r="L304" s="615"/>
    </row>
    <row r="305" spans="1:14" ht="15.75" customHeight="1" x14ac:dyDescent="0.2">
      <c r="A305" s="651" t="s">
        <v>897</v>
      </c>
      <c r="B305" s="621"/>
      <c r="C305" s="615"/>
      <c r="D305" s="615"/>
      <c r="E305" s="615"/>
      <c r="F305" s="615"/>
      <c r="G305" s="615"/>
      <c r="H305" s="615"/>
      <c r="I305" s="615"/>
      <c r="J305" s="615"/>
      <c r="K305" s="615"/>
      <c r="L305" s="615"/>
    </row>
    <row r="306" spans="1:14" x14ac:dyDescent="0.2">
      <c r="A306" s="1516" t="s">
        <v>1849</v>
      </c>
      <c r="B306" s="688" t="s">
        <v>1844</v>
      </c>
      <c r="C306" s="615"/>
      <c r="D306" s="615"/>
      <c r="E306" s="466" t="s">
        <v>1169</v>
      </c>
      <c r="F306" s="615"/>
      <c r="G306" s="615"/>
      <c r="H306" s="466" t="s">
        <v>1169</v>
      </c>
      <c r="I306" s="615"/>
      <c r="J306" s="615"/>
      <c r="K306" s="1665">
        <f>SUM(E306,H306)</f>
        <v>0</v>
      </c>
      <c r="L306" s="467">
        <v>0</v>
      </c>
    </row>
    <row r="307" spans="1:14" x14ac:dyDescent="0.2">
      <c r="A307" s="1502" t="s">
        <v>304</v>
      </c>
      <c r="B307" s="613">
        <v>4120</v>
      </c>
      <c r="C307" s="615"/>
      <c r="D307" s="615"/>
      <c r="E307" s="466">
        <v>0</v>
      </c>
      <c r="F307" s="615"/>
      <c r="G307" s="615"/>
      <c r="H307" s="466">
        <v>0</v>
      </c>
      <c r="I307" s="477"/>
      <c r="J307" s="615"/>
      <c r="K307" s="1665">
        <f>SUM(E307,H307)</f>
        <v>0</v>
      </c>
      <c r="L307" s="466">
        <v>0</v>
      </c>
    </row>
    <row r="308" spans="1:14" x14ac:dyDescent="0.2">
      <c r="A308" s="1502" t="s">
        <v>697</v>
      </c>
      <c r="B308" s="613">
        <v>4140</v>
      </c>
      <c r="C308" s="615"/>
      <c r="D308" s="615"/>
      <c r="E308" s="466">
        <v>0</v>
      </c>
      <c r="F308" s="615"/>
      <c r="G308" s="615"/>
      <c r="H308" s="466">
        <v>0</v>
      </c>
      <c r="I308" s="477"/>
      <c r="J308" s="615"/>
      <c r="K308" s="1665">
        <f>SUM(E308,H308)</f>
        <v>0</v>
      </c>
      <c r="L308" s="466">
        <v>0</v>
      </c>
    </row>
    <row r="309" spans="1:14" ht="12.75" customHeight="1" x14ac:dyDescent="0.2">
      <c r="A309" s="1506" t="s">
        <v>698</v>
      </c>
      <c r="B309" s="627">
        <v>4190</v>
      </c>
      <c r="C309" s="615"/>
      <c r="D309" s="615"/>
      <c r="E309" s="466">
        <v>0</v>
      </c>
      <c r="F309" s="615"/>
      <c r="G309" s="615"/>
      <c r="H309" s="466">
        <v>0</v>
      </c>
      <c r="I309" s="477"/>
      <c r="J309" s="615"/>
      <c r="K309" s="1665">
        <f>SUM(E309,H309)</f>
        <v>0</v>
      </c>
      <c r="L309" s="466">
        <v>0</v>
      </c>
    </row>
    <row r="310" spans="1:14" ht="12.75" customHeight="1" thickBot="1" x14ac:dyDescent="0.25">
      <c r="A310" s="1662" t="s">
        <v>1487</v>
      </c>
      <c r="B310" s="1669" t="s">
        <v>860</v>
      </c>
      <c r="C310" s="615"/>
      <c r="D310" s="615"/>
      <c r="E310" s="1664">
        <f>SUM(E306:E309)</f>
        <v>0</v>
      </c>
      <c r="F310" s="615"/>
      <c r="G310" s="615"/>
      <c r="H310" s="1664">
        <f>SUM(H306:H309)</f>
        <v>0</v>
      </c>
      <c r="I310" s="477"/>
      <c r="J310" s="615"/>
      <c r="K310" s="1664">
        <f>SUM(K306:K309)</f>
        <v>0</v>
      </c>
      <c r="L310" s="1671">
        <f>SUM(L306:L309)</f>
        <v>0</v>
      </c>
    </row>
    <row r="311" spans="1:14" ht="15.75" customHeight="1" thickTop="1" thickBot="1" x14ac:dyDescent="0.25">
      <c r="A311" s="1617" t="s">
        <v>895</v>
      </c>
      <c r="B311" s="1609" t="s">
        <v>861</v>
      </c>
      <c r="C311" s="622"/>
      <c r="D311" s="622"/>
      <c r="E311" s="622"/>
      <c r="F311" s="622"/>
      <c r="G311" s="622"/>
      <c r="H311" s="622"/>
      <c r="I311" s="622"/>
      <c r="J311" s="615"/>
      <c r="K311" s="622"/>
      <c r="L311" s="575">
        <v>0</v>
      </c>
    </row>
    <row r="312" spans="1:14" s="672" customFormat="1" ht="12.75" customHeight="1" thickTop="1" thickBot="1" x14ac:dyDescent="0.25">
      <c r="A312" s="2177" t="s">
        <v>277</v>
      </c>
      <c r="B312" s="2178"/>
      <c r="C312" s="1664">
        <f>SUM(C303)</f>
        <v>0</v>
      </c>
      <c r="D312" s="1664">
        <f>SUM(D303)</f>
        <v>0</v>
      </c>
      <c r="E312" s="1664">
        <f>SUM(E303,E310)</f>
        <v>0</v>
      </c>
      <c r="F312" s="1664">
        <f>SUM(F303)</f>
        <v>0</v>
      </c>
      <c r="G312" s="1664">
        <f>SUM(G303)</f>
        <v>0</v>
      </c>
      <c r="H312" s="1664">
        <f>SUM(H303,H310)</f>
        <v>0</v>
      </c>
      <c r="I312" s="1664">
        <f>SUM(I303)</f>
        <v>0</v>
      </c>
      <c r="J312" s="1664">
        <f>SUM(J303)</f>
        <v>0</v>
      </c>
      <c r="K312" s="1664">
        <f>SUM(K303,K310,K311)</f>
        <v>0</v>
      </c>
      <c r="L312" s="1664">
        <f>SUM(L303,L310,L311)</f>
        <v>0</v>
      </c>
      <c r="M312" s="663"/>
      <c r="N312" s="663"/>
    </row>
    <row r="313" spans="1:14" ht="13.5" thickTop="1" x14ac:dyDescent="0.2">
      <c r="A313" s="2173" t="s">
        <v>996</v>
      </c>
      <c r="B313" s="2174"/>
      <c r="C313" s="625"/>
      <c r="D313" s="625"/>
      <c r="E313" s="625"/>
      <c r="F313" s="625"/>
      <c r="G313" s="625"/>
      <c r="H313" s="625"/>
      <c r="I313" s="625"/>
      <c r="J313" s="625"/>
      <c r="K313" s="1679">
        <f>'Revenues 9-14'!H268-'Expenditures 15-22'!K312</f>
        <v>0</v>
      </c>
      <c r="L313" s="625"/>
    </row>
    <row r="314" spans="1:14" s="664" customFormat="1" ht="9" customHeight="1" x14ac:dyDescent="0.2">
      <c r="A314" s="689"/>
      <c r="B314" s="690"/>
      <c r="C314" s="691"/>
      <c r="D314" s="691"/>
      <c r="E314" s="691"/>
      <c r="F314" s="691"/>
      <c r="G314" s="691"/>
      <c r="H314" s="691"/>
      <c r="I314" s="691"/>
      <c r="J314" s="691"/>
      <c r="K314" s="691"/>
      <c r="L314" s="691"/>
      <c r="M314" s="663"/>
      <c r="N314" s="663"/>
    </row>
    <row r="315" spans="1:14" ht="16.7" customHeight="1" x14ac:dyDescent="0.2">
      <c r="A315" s="2186" t="s">
        <v>149</v>
      </c>
      <c r="B315" s="2187"/>
      <c r="C315" s="1554"/>
      <c r="D315" s="1555"/>
      <c r="E315" s="1555"/>
      <c r="F315" s="1555"/>
      <c r="G315" s="1555"/>
      <c r="H315" s="1555"/>
      <c r="I315" s="1555"/>
      <c r="J315" s="1555"/>
      <c r="K315" s="1555"/>
      <c r="L315" s="1556"/>
    </row>
    <row r="316" spans="1:14" s="672" customFormat="1" ht="9" customHeight="1" x14ac:dyDescent="0.2">
      <c r="A316" s="689"/>
      <c r="B316" s="690"/>
      <c r="C316" s="692"/>
      <c r="D316" s="692"/>
      <c r="E316" s="692"/>
      <c r="F316" s="692"/>
      <c r="G316" s="692"/>
      <c r="H316" s="692"/>
      <c r="I316" s="692"/>
      <c r="J316" s="692"/>
      <c r="K316" s="692"/>
      <c r="L316" s="692"/>
      <c r="M316" s="663"/>
      <c r="N316" s="663"/>
    </row>
    <row r="317" spans="1:14" ht="16.7" customHeight="1" x14ac:dyDescent="0.2">
      <c r="A317" s="2188" t="s">
        <v>898</v>
      </c>
      <c r="B317" s="2187"/>
      <c r="C317" s="1554"/>
      <c r="D317" s="1555"/>
      <c r="E317" s="1555"/>
      <c r="F317" s="1555"/>
      <c r="G317" s="1555"/>
      <c r="H317" s="1555"/>
      <c r="I317" s="1555"/>
      <c r="J317" s="1555"/>
      <c r="K317" s="1555"/>
      <c r="L317" s="1556"/>
    </row>
    <row r="318" spans="1:14" s="672" customFormat="1" ht="15.75" customHeight="1" x14ac:dyDescent="0.2">
      <c r="A318" s="693" t="s">
        <v>610</v>
      </c>
      <c r="B318" s="694"/>
      <c r="C318" s="636"/>
      <c r="D318" s="636"/>
      <c r="E318" s="636"/>
      <c r="F318" s="636"/>
      <c r="G318" s="636"/>
      <c r="H318" s="636"/>
      <c r="I318" s="636"/>
      <c r="J318" s="636"/>
      <c r="K318" s="636"/>
      <c r="L318" s="636"/>
      <c r="M318" s="663"/>
      <c r="N318" s="663"/>
    </row>
    <row r="319" spans="1:14" s="672" customFormat="1" x14ac:dyDescent="0.2">
      <c r="A319" s="1517" t="s">
        <v>299</v>
      </c>
      <c r="B319" s="695" t="s">
        <v>281</v>
      </c>
      <c r="C319" s="467">
        <v>0</v>
      </c>
      <c r="D319" s="467">
        <v>0</v>
      </c>
      <c r="E319" s="467">
        <v>0</v>
      </c>
      <c r="F319" s="467">
        <v>0</v>
      </c>
      <c r="G319" s="467">
        <v>0</v>
      </c>
      <c r="H319" s="467">
        <v>0</v>
      </c>
      <c r="I319" s="467">
        <v>0</v>
      </c>
      <c r="J319" s="467">
        <v>0</v>
      </c>
      <c r="K319" s="1665">
        <f>SUM(C319:J319)</f>
        <v>0</v>
      </c>
      <c r="L319" s="467">
        <v>0</v>
      </c>
      <c r="M319" s="663"/>
      <c r="N319" s="663"/>
    </row>
    <row r="320" spans="1:14" s="672" customFormat="1" x14ac:dyDescent="0.2">
      <c r="A320" s="1521" t="s">
        <v>1805</v>
      </c>
      <c r="B320" s="696" t="s">
        <v>282</v>
      </c>
      <c r="C320" s="467">
        <v>0</v>
      </c>
      <c r="D320" s="467">
        <v>0</v>
      </c>
      <c r="E320" s="467">
        <v>0</v>
      </c>
      <c r="F320" s="467">
        <v>0</v>
      </c>
      <c r="G320" s="467">
        <v>0</v>
      </c>
      <c r="H320" s="467">
        <v>0</v>
      </c>
      <c r="I320" s="467">
        <v>0</v>
      </c>
      <c r="J320" s="467">
        <v>0</v>
      </c>
      <c r="K320" s="1665">
        <f t="shared" ref="K320:K327" si="24">SUM(C320:J320)</f>
        <v>0</v>
      </c>
      <c r="L320" s="467">
        <v>0</v>
      </c>
      <c r="M320" s="663"/>
      <c r="N320" s="663"/>
    </row>
    <row r="321" spans="1:14" s="672" customFormat="1" x14ac:dyDescent="0.2">
      <c r="A321" s="1517" t="s">
        <v>300</v>
      </c>
      <c r="B321" s="695" t="s">
        <v>283</v>
      </c>
      <c r="C321" s="467">
        <v>0</v>
      </c>
      <c r="D321" s="467">
        <v>0</v>
      </c>
      <c r="E321" s="467">
        <v>0</v>
      </c>
      <c r="F321" s="467">
        <v>0</v>
      </c>
      <c r="G321" s="467">
        <v>0</v>
      </c>
      <c r="H321" s="467">
        <v>0</v>
      </c>
      <c r="I321" s="467">
        <v>0</v>
      </c>
      <c r="J321" s="467">
        <v>0</v>
      </c>
      <c r="K321" s="1665">
        <f t="shared" si="24"/>
        <v>0</v>
      </c>
      <c r="L321" s="467">
        <v>0</v>
      </c>
      <c r="M321" s="663"/>
      <c r="N321" s="663"/>
    </row>
    <row r="322" spans="1:14" s="672" customFormat="1" x14ac:dyDescent="0.2">
      <c r="A322" s="1517" t="s">
        <v>238</v>
      </c>
      <c r="B322" s="695" t="s">
        <v>284</v>
      </c>
      <c r="C322" s="467">
        <v>0</v>
      </c>
      <c r="D322" s="467">
        <v>0</v>
      </c>
      <c r="E322" s="467">
        <v>0</v>
      </c>
      <c r="F322" s="467">
        <v>0</v>
      </c>
      <c r="G322" s="467">
        <v>0</v>
      </c>
      <c r="H322" s="467">
        <v>0</v>
      </c>
      <c r="I322" s="467">
        <v>0</v>
      </c>
      <c r="J322" s="467">
        <v>0</v>
      </c>
      <c r="K322" s="1665">
        <f t="shared" si="24"/>
        <v>0</v>
      </c>
      <c r="L322" s="467">
        <v>0</v>
      </c>
      <c r="M322" s="663"/>
      <c r="N322" s="663"/>
    </row>
    <row r="323" spans="1:14" s="672" customFormat="1" x14ac:dyDescent="0.2">
      <c r="A323" s="1517" t="s">
        <v>702</v>
      </c>
      <c r="B323" s="695" t="s">
        <v>285</v>
      </c>
      <c r="C323" s="467">
        <v>0</v>
      </c>
      <c r="D323" s="467">
        <v>0</v>
      </c>
      <c r="E323" s="467">
        <v>0</v>
      </c>
      <c r="F323" s="467">
        <v>0</v>
      </c>
      <c r="G323" s="467">
        <v>0</v>
      </c>
      <c r="H323" s="467">
        <v>0</v>
      </c>
      <c r="I323" s="467">
        <v>0</v>
      </c>
      <c r="J323" s="467">
        <v>0</v>
      </c>
      <c r="K323" s="1665">
        <f t="shared" si="24"/>
        <v>0</v>
      </c>
      <c r="L323" s="467">
        <v>0</v>
      </c>
      <c r="M323" s="663"/>
      <c r="N323" s="663"/>
    </row>
    <row r="324" spans="1:14" s="672" customFormat="1" x14ac:dyDescent="0.2">
      <c r="A324" s="1517" t="s">
        <v>239</v>
      </c>
      <c r="B324" s="695" t="s">
        <v>286</v>
      </c>
      <c r="C324" s="467">
        <v>0</v>
      </c>
      <c r="D324" s="467">
        <v>0</v>
      </c>
      <c r="E324" s="467">
        <v>0</v>
      </c>
      <c r="F324" s="467">
        <v>0</v>
      </c>
      <c r="G324" s="467">
        <v>0</v>
      </c>
      <c r="H324" s="467">
        <v>0</v>
      </c>
      <c r="I324" s="467">
        <v>0</v>
      </c>
      <c r="J324" s="467">
        <v>0</v>
      </c>
      <c r="K324" s="1665">
        <f t="shared" si="24"/>
        <v>0</v>
      </c>
      <c r="L324" s="467">
        <v>0</v>
      </c>
      <c r="M324" s="663"/>
      <c r="N324" s="663"/>
    </row>
    <row r="325" spans="1:14" s="672" customFormat="1" ht="22.5" x14ac:dyDescent="0.2">
      <c r="A325" s="1517" t="s">
        <v>1029</v>
      </c>
      <c r="B325" s="696" t="s">
        <v>287</v>
      </c>
      <c r="C325" s="467">
        <v>0</v>
      </c>
      <c r="D325" s="467">
        <v>0</v>
      </c>
      <c r="E325" s="467">
        <v>0</v>
      </c>
      <c r="F325" s="467">
        <v>0</v>
      </c>
      <c r="G325" s="467">
        <v>0</v>
      </c>
      <c r="H325" s="467">
        <v>0</v>
      </c>
      <c r="I325" s="467">
        <v>0</v>
      </c>
      <c r="J325" s="467">
        <v>0</v>
      </c>
      <c r="K325" s="1665">
        <f t="shared" si="24"/>
        <v>0</v>
      </c>
      <c r="L325" s="467">
        <v>0</v>
      </c>
      <c r="M325" s="663"/>
      <c r="N325" s="663"/>
    </row>
    <row r="326" spans="1:14" s="672" customFormat="1" x14ac:dyDescent="0.2">
      <c r="A326" s="1517" t="s">
        <v>1030</v>
      </c>
      <c r="B326" s="695" t="s">
        <v>288</v>
      </c>
      <c r="C326" s="467">
        <v>0</v>
      </c>
      <c r="D326" s="467">
        <v>0</v>
      </c>
      <c r="E326" s="467">
        <v>0</v>
      </c>
      <c r="F326" s="467">
        <v>0</v>
      </c>
      <c r="G326" s="467">
        <v>0</v>
      </c>
      <c r="H326" s="467">
        <v>0</v>
      </c>
      <c r="I326" s="467">
        <v>0</v>
      </c>
      <c r="J326" s="467">
        <v>0</v>
      </c>
      <c r="K326" s="1665">
        <f t="shared" si="24"/>
        <v>0</v>
      </c>
      <c r="L326" s="467">
        <v>0</v>
      </c>
      <c r="M326" s="663"/>
      <c r="N326" s="663"/>
    </row>
    <row r="327" spans="1:14" s="672" customFormat="1" x14ac:dyDescent="0.2">
      <c r="A327" s="1517" t="s">
        <v>971</v>
      </c>
      <c r="B327" s="695" t="s">
        <v>289</v>
      </c>
      <c r="C327" s="467">
        <v>0</v>
      </c>
      <c r="D327" s="467">
        <v>0</v>
      </c>
      <c r="E327" s="467">
        <v>0</v>
      </c>
      <c r="F327" s="467">
        <v>0</v>
      </c>
      <c r="G327" s="467">
        <v>0</v>
      </c>
      <c r="H327" s="467">
        <v>0</v>
      </c>
      <c r="I327" s="467">
        <v>0</v>
      </c>
      <c r="J327" s="467">
        <v>0</v>
      </c>
      <c r="K327" s="1665">
        <f t="shared" si="24"/>
        <v>0</v>
      </c>
      <c r="L327" s="467">
        <v>0</v>
      </c>
      <c r="M327" s="663"/>
      <c r="N327" s="663"/>
    </row>
    <row r="328" spans="1:14" s="672" customFormat="1" x14ac:dyDescent="0.2">
      <c r="A328" s="1518" t="s">
        <v>472</v>
      </c>
      <c r="B328" s="688" t="s">
        <v>1132</v>
      </c>
      <c r="C328" s="467">
        <v>0</v>
      </c>
      <c r="D328" s="467">
        <v>0</v>
      </c>
      <c r="E328" s="467">
        <v>0</v>
      </c>
      <c r="F328" s="467">
        <v>0</v>
      </c>
      <c r="G328" s="467">
        <v>0</v>
      </c>
      <c r="H328" s="467">
        <v>0</v>
      </c>
      <c r="I328" s="467">
        <v>0</v>
      </c>
      <c r="J328" s="467">
        <v>0</v>
      </c>
      <c r="K328" s="1693">
        <f>SUM(C328:J328)</f>
        <v>0</v>
      </c>
      <c r="L328" s="474">
        <v>0</v>
      </c>
      <c r="M328" s="663"/>
      <c r="N328" s="663"/>
    </row>
    <row r="329" spans="1:14" s="672" customFormat="1" x14ac:dyDescent="0.2">
      <c r="A329" s="1518" t="s">
        <v>1133</v>
      </c>
      <c r="B329" s="688" t="s">
        <v>1134</v>
      </c>
      <c r="C329" s="467">
        <v>0</v>
      </c>
      <c r="D329" s="467">
        <v>0</v>
      </c>
      <c r="E329" s="467">
        <v>0</v>
      </c>
      <c r="F329" s="467">
        <v>0</v>
      </c>
      <c r="G329" s="467">
        <v>0</v>
      </c>
      <c r="H329" s="467">
        <v>0</v>
      </c>
      <c r="I329" s="467">
        <v>0</v>
      </c>
      <c r="J329" s="467">
        <v>0</v>
      </c>
      <c r="K329" s="1693">
        <f>SUM(C329:J329)</f>
        <v>0</v>
      </c>
      <c r="L329" s="474">
        <v>0</v>
      </c>
      <c r="M329" s="663"/>
      <c r="N329" s="663"/>
    </row>
    <row r="330" spans="1:14" s="672" customFormat="1" ht="12.75" customHeight="1" thickBot="1" x14ac:dyDescent="0.25">
      <c r="A330" s="1694" t="s">
        <v>717</v>
      </c>
      <c r="B330" s="1663" t="s">
        <v>569</v>
      </c>
      <c r="C330" s="1664">
        <f>SUM(C319:C329)</f>
        <v>0</v>
      </c>
      <c r="D330" s="1664">
        <f t="shared" ref="D330:J330" si="25">SUM(D319:D329)</f>
        <v>0</v>
      </c>
      <c r="E330" s="1664">
        <f t="shared" si="25"/>
        <v>0</v>
      </c>
      <c r="F330" s="1664">
        <f t="shared" si="25"/>
        <v>0</v>
      </c>
      <c r="G330" s="1664">
        <f t="shared" si="25"/>
        <v>0</v>
      </c>
      <c r="H330" s="1664">
        <f t="shared" si="25"/>
        <v>0</v>
      </c>
      <c r="I330" s="1664">
        <f t="shared" si="25"/>
        <v>0</v>
      </c>
      <c r="J330" s="1664">
        <f t="shared" si="25"/>
        <v>0</v>
      </c>
      <c r="K330" s="1664">
        <f>SUM(K319:K329)</f>
        <v>0</v>
      </c>
      <c r="L330" s="1664">
        <f>SUM(L319:L329)</f>
        <v>0</v>
      </c>
      <c r="M330" s="663"/>
      <c r="N330" s="663"/>
    </row>
    <row r="331" spans="1:14" s="672" customFormat="1" ht="12.75" customHeight="1" thickTop="1" x14ac:dyDescent="0.2">
      <c r="A331" s="1825" t="s">
        <v>1850</v>
      </c>
      <c r="B331" s="645" t="s">
        <v>860</v>
      </c>
      <c r="C331" s="1827"/>
      <c r="D331" s="1827"/>
      <c r="E331" s="1827"/>
      <c r="F331" s="1827"/>
      <c r="G331" s="1827"/>
      <c r="H331" s="1827"/>
      <c r="I331" s="1827"/>
      <c r="J331" s="1827"/>
      <c r="K331" s="1827"/>
      <c r="L331" s="1827"/>
      <c r="M331" s="663"/>
      <c r="N331" s="663"/>
    </row>
    <row r="332" spans="1:14" s="672" customFormat="1" ht="12.75" customHeight="1" x14ac:dyDescent="0.2">
      <c r="A332" s="1826" t="s">
        <v>496</v>
      </c>
      <c r="B332" s="1821" t="s">
        <v>1844</v>
      </c>
      <c r="C332" s="1827"/>
      <c r="D332" s="1827"/>
      <c r="E332" s="1827"/>
      <c r="F332" s="1827"/>
      <c r="G332" s="1827"/>
      <c r="H332" s="467" t="s">
        <v>1169</v>
      </c>
      <c r="I332" s="1827"/>
      <c r="J332" s="1827"/>
      <c r="K332" s="1665" t="str">
        <f>H332</f>
        <v xml:space="preserve"> </v>
      </c>
      <c r="L332" s="467">
        <v>0</v>
      </c>
      <c r="M332" s="663"/>
      <c r="N332" s="663"/>
    </row>
    <row r="333" spans="1:14" s="672" customFormat="1" ht="12.75" customHeight="1" x14ac:dyDescent="0.2">
      <c r="A333" s="1826" t="s">
        <v>304</v>
      </c>
      <c r="B333" s="1821" t="s">
        <v>1846</v>
      </c>
      <c r="C333" s="1827"/>
      <c r="D333" s="1827"/>
      <c r="E333" s="1827"/>
      <c r="F333" s="1827"/>
      <c r="G333" s="1827"/>
      <c r="H333" s="467" t="s">
        <v>1169</v>
      </c>
      <c r="I333" s="1827"/>
      <c r="J333" s="1827"/>
      <c r="K333" s="1665" t="str">
        <f>H333</f>
        <v xml:space="preserve"> </v>
      </c>
      <c r="L333" s="467">
        <v>0</v>
      </c>
      <c r="M333" s="663"/>
      <c r="N333" s="663"/>
    </row>
    <row r="334" spans="1:14" s="672" customFormat="1" ht="12.75" customHeight="1" thickBot="1" x14ac:dyDescent="0.25">
      <c r="A334" s="1826" t="s">
        <v>1851</v>
      </c>
      <c r="B334" s="1821" t="s">
        <v>860</v>
      </c>
      <c r="C334" s="1827"/>
      <c r="D334" s="1827"/>
      <c r="E334" s="1827"/>
      <c r="F334" s="1827"/>
      <c r="G334" s="1827"/>
      <c r="H334" s="1664">
        <f>SUM(H332:H333)</f>
        <v>0</v>
      </c>
      <c r="I334" s="1827"/>
      <c r="J334" s="1827"/>
      <c r="K334" s="1664">
        <f>SUM(K332:K333)</f>
        <v>0</v>
      </c>
      <c r="L334" s="1664">
        <f>SUM(L332:L333)</f>
        <v>0</v>
      </c>
      <c r="M334" s="663"/>
      <c r="N334" s="663"/>
    </row>
    <row r="335" spans="1:14" ht="15.75" customHeight="1" thickTop="1" x14ac:dyDescent="0.2">
      <c r="A335" s="1614" t="s">
        <v>899</v>
      </c>
      <c r="B335" s="1605" t="s">
        <v>492</v>
      </c>
      <c r="C335" s="615"/>
      <c r="D335" s="615"/>
      <c r="E335" s="615"/>
      <c r="F335" s="615"/>
      <c r="G335" s="615"/>
      <c r="H335" s="615"/>
      <c r="I335" s="615"/>
      <c r="J335" s="615"/>
      <c r="K335" s="615"/>
      <c r="L335" s="615"/>
    </row>
    <row r="336" spans="1:14" ht="15.75" customHeight="1" x14ac:dyDescent="0.2">
      <c r="A336" s="651" t="s">
        <v>615</v>
      </c>
      <c r="B336" s="621"/>
      <c r="C336" s="615"/>
      <c r="D336" s="615"/>
      <c r="E336" s="615"/>
      <c r="F336" s="615"/>
      <c r="G336" s="615"/>
      <c r="H336" s="622"/>
      <c r="I336" s="615"/>
      <c r="J336" s="615"/>
      <c r="K336" s="622"/>
      <c r="L336" s="622"/>
    </row>
    <row r="337" spans="1:14" x14ac:dyDescent="0.2">
      <c r="A337" s="1516" t="s">
        <v>87</v>
      </c>
      <c r="B337" s="688" t="s">
        <v>900</v>
      </c>
      <c r="C337" s="636"/>
      <c r="D337" s="636"/>
      <c r="E337" s="636"/>
      <c r="F337" s="636"/>
      <c r="G337" s="636"/>
      <c r="H337" s="639">
        <v>0</v>
      </c>
      <c r="I337" s="636"/>
      <c r="J337" s="636"/>
      <c r="K337" s="1665">
        <f>H337</f>
        <v>0</v>
      </c>
      <c r="L337" s="639">
        <v>0</v>
      </c>
    </row>
    <row r="338" spans="1:14" ht="12.75" customHeight="1" x14ac:dyDescent="0.2">
      <c r="A338" s="1516" t="s">
        <v>1170</v>
      </c>
      <c r="B338" s="688" t="s">
        <v>617</v>
      </c>
      <c r="C338" s="636"/>
      <c r="D338" s="636"/>
      <c r="E338" s="636"/>
      <c r="F338" s="636"/>
      <c r="G338" s="636"/>
      <c r="H338" s="639">
        <v>0</v>
      </c>
      <c r="I338" s="636"/>
      <c r="J338" s="636"/>
      <c r="K338" s="1665">
        <f>H338</f>
        <v>0</v>
      </c>
      <c r="L338" s="639">
        <v>0</v>
      </c>
    </row>
    <row r="339" spans="1:14" x14ac:dyDescent="0.2">
      <c r="A339" s="1502" t="s">
        <v>901</v>
      </c>
      <c r="B339" s="627">
        <v>5150</v>
      </c>
      <c r="C339" s="636"/>
      <c r="D339" s="636"/>
      <c r="E339" s="636"/>
      <c r="F339" s="636"/>
      <c r="G339" s="636"/>
      <c r="H339" s="467">
        <v>0</v>
      </c>
      <c r="I339" s="636"/>
      <c r="J339" s="636"/>
      <c r="K339" s="1665">
        <f>H339</f>
        <v>0</v>
      </c>
      <c r="L339" s="467">
        <v>0</v>
      </c>
    </row>
    <row r="340" spans="1:14" ht="13.5" thickBot="1" x14ac:dyDescent="0.25">
      <c r="A340" s="1688" t="s">
        <v>902</v>
      </c>
      <c r="B340" s="1663" t="s">
        <v>492</v>
      </c>
      <c r="C340" s="615"/>
      <c r="D340" s="615"/>
      <c r="E340" s="615"/>
      <c r="F340" s="615"/>
      <c r="G340" s="615"/>
      <c r="H340" s="1682">
        <f>SUM(H337:H339)</f>
        <v>0</v>
      </c>
      <c r="I340" s="615"/>
      <c r="J340" s="615"/>
      <c r="K340" s="1682">
        <f>SUM(K337:K339)</f>
        <v>0</v>
      </c>
      <c r="L340" s="1682">
        <f>SUM(L337:L339)</f>
        <v>0</v>
      </c>
    </row>
    <row r="341" spans="1:14" ht="15.75" customHeight="1" thickTop="1" thickBot="1" x14ac:dyDescent="0.25">
      <c r="A341" s="1617" t="s">
        <v>903</v>
      </c>
      <c r="B341" s="1609" t="s">
        <v>861</v>
      </c>
      <c r="C341" s="615"/>
      <c r="D341" s="615"/>
      <c r="E341" s="477"/>
      <c r="F341" s="468"/>
      <c r="G341" s="468"/>
      <c r="H341" s="477"/>
      <c r="I341" s="477"/>
      <c r="J341" s="468"/>
      <c r="K341" s="477"/>
      <c r="L341" s="575">
        <v>0</v>
      </c>
    </row>
    <row r="342" spans="1:14" ht="12.75" customHeight="1" thickTop="1" thickBot="1" x14ac:dyDescent="0.25">
      <c r="A342" s="1680" t="s">
        <v>505</v>
      </c>
      <c r="B342" s="1695"/>
      <c r="C342" s="1664">
        <f>SUM(C330)</f>
        <v>0</v>
      </c>
      <c r="D342" s="1664">
        <f>SUM(D330)</f>
        <v>0</v>
      </c>
      <c r="E342" s="1664">
        <f>SUM(E330)</f>
        <v>0</v>
      </c>
      <c r="F342" s="1664">
        <f>SUM(F330)</f>
        <v>0</v>
      </c>
      <c r="G342" s="1664">
        <f>SUM(G330)</f>
        <v>0</v>
      </c>
      <c r="H342" s="1664">
        <f>SUM(H330,H334,H340)</f>
        <v>0</v>
      </c>
      <c r="I342" s="1664">
        <f>SUM(I330)</f>
        <v>0</v>
      </c>
      <c r="J342" s="1664">
        <f>SUM(J330)</f>
        <v>0</v>
      </c>
      <c r="K342" s="1664">
        <f>SUM(K330,K334,K340)</f>
        <v>0</v>
      </c>
      <c r="L342" s="1671">
        <f>SUM(L330,L334,L340,L341)</f>
        <v>0</v>
      </c>
    </row>
    <row r="343" spans="1:14" ht="12.75" customHeight="1" thickTop="1" x14ac:dyDescent="0.2">
      <c r="A343" s="2175" t="s">
        <v>996</v>
      </c>
      <c r="B343" s="2176"/>
      <c r="C343" s="615"/>
      <c r="D343" s="615"/>
      <c r="E343" s="615"/>
      <c r="F343" s="615"/>
      <c r="G343" s="615"/>
      <c r="H343" s="615"/>
      <c r="I343" s="615"/>
      <c r="J343" s="615"/>
      <c r="K343" s="1678">
        <f>'Revenues 9-14'!J268-'Expenditures 15-22'!K342</f>
        <v>0</v>
      </c>
      <c r="L343" s="615"/>
    </row>
    <row r="344" spans="1:14" s="664" customFormat="1" ht="6" customHeight="1" x14ac:dyDescent="0.2">
      <c r="A344" s="661"/>
      <c r="B344" s="662"/>
      <c r="C344" s="648"/>
      <c r="D344" s="648"/>
      <c r="E344" s="648"/>
      <c r="F344" s="648"/>
      <c r="G344" s="648"/>
      <c r="H344" s="648"/>
      <c r="I344" s="648"/>
      <c r="J344" s="648"/>
      <c r="K344" s="648"/>
      <c r="L344" s="648"/>
      <c r="M344" s="663"/>
      <c r="N344" s="663"/>
    </row>
    <row r="345" spans="1:14" s="666" customFormat="1" ht="16.7" customHeight="1" x14ac:dyDescent="0.2">
      <c r="A345" s="2165" t="s">
        <v>966</v>
      </c>
      <c r="B345" s="2166"/>
      <c r="C345" s="1549"/>
      <c r="D345" s="1550"/>
      <c r="E345" s="1550"/>
      <c r="F345" s="1550"/>
      <c r="G345" s="1550"/>
      <c r="H345" s="1550"/>
      <c r="I345" s="1550"/>
      <c r="J345" s="1550"/>
      <c r="K345" s="1550"/>
      <c r="L345" s="1551"/>
      <c r="M345" s="665"/>
      <c r="N345" s="665"/>
    </row>
    <row r="346" spans="1:14" s="343" customFormat="1" ht="15.75" customHeight="1" x14ac:dyDescent="0.2">
      <c r="A346" s="1621" t="s">
        <v>844</v>
      </c>
      <c r="B346" s="1613" t="s">
        <v>569</v>
      </c>
      <c r="C346" s="615"/>
      <c r="D346" s="615"/>
      <c r="E346" s="615"/>
      <c r="F346" s="615"/>
      <c r="G346" s="615"/>
      <c r="H346" s="615"/>
      <c r="I346" s="615"/>
      <c r="J346" s="615"/>
      <c r="K346" s="615"/>
      <c r="L346" s="615"/>
      <c r="M346" s="608"/>
      <c r="N346" s="608"/>
    </row>
    <row r="347" spans="1:14" ht="15.75" customHeight="1" x14ac:dyDescent="0.2">
      <c r="A347" s="697" t="s">
        <v>612</v>
      </c>
      <c r="B347" s="698"/>
      <c r="C347" s="622"/>
      <c r="D347" s="622"/>
      <c r="E347" s="622"/>
      <c r="F347" s="622"/>
      <c r="G347" s="622"/>
      <c r="H347" s="622"/>
      <c r="I347" s="615"/>
      <c r="J347" s="615"/>
      <c r="K347" s="622"/>
      <c r="L347" s="622"/>
    </row>
    <row r="348" spans="1:14" x14ac:dyDescent="0.2">
      <c r="A348" s="1502" t="s">
        <v>4</v>
      </c>
      <c r="B348" s="613">
        <v>2530</v>
      </c>
      <c r="C348" s="466">
        <v>0</v>
      </c>
      <c r="D348" s="466">
        <v>0</v>
      </c>
      <c r="E348" s="466">
        <v>0</v>
      </c>
      <c r="F348" s="466">
        <v>0</v>
      </c>
      <c r="G348" s="466">
        <v>0</v>
      </c>
      <c r="H348" s="466">
        <v>0</v>
      </c>
      <c r="I348" s="466">
        <v>0</v>
      </c>
      <c r="J348" s="466">
        <v>0</v>
      </c>
      <c r="K348" s="1665">
        <f>SUM(C348:J348)</f>
        <v>0</v>
      </c>
      <c r="L348" s="466">
        <v>0</v>
      </c>
    </row>
    <row r="349" spans="1:14" x14ac:dyDescent="0.2">
      <c r="A349" s="1502" t="s">
        <v>197</v>
      </c>
      <c r="B349" s="613">
        <v>2540</v>
      </c>
      <c r="C349" s="466">
        <v>0</v>
      </c>
      <c r="D349" s="466">
        <v>0</v>
      </c>
      <c r="E349" s="466">
        <v>0</v>
      </c>
      <c r="F349" s="466">
        <v>0</v>
      </c>
      <c r="G349" s="466">
        <v>0</v>
      </c>
      <c r="H349" s="466">
        <v>0</v>
      </c>
      <c r="I349" s="466">
        <v>0</v>
      </c>
      <c r="J349" s="466">
        <v>0</v>
      </c>
      <c r="K349" s="1665">
        <f>SUM(C349:J349)</f>
        <v>0</v>
      </c>
      <c r="L349" s="466">
        <v>0</v>
      </c>
    </row>
    <row r="350" spans="1:14" ht="12.75" customHeight="1" thickBot="1" x14ac:dyDescent="0.25">
      <c r="A350" s="1662" t="s">
        <v>719</v>
      </c>
      <c r="B350" s="1663" t="s">
        <v>35</v>
      </c>
      <c r="C350" s="1664">
        <f>SUM(C348:C349)</f>
        <v>0</v>
      </c>
      <c r="D350" s="1664">
        <f t="shared" ref="D350:L350" si="26">SUM(D348:D349)</f>
        <v>0</v>
      </c>
      <c r="E350" s="1664">
        <f t="shared" si="26"/>
        <v>0</v>
      </c>
      <c r="F350" s="1664">
        <f t="shared" si="26"/>
        <v>0</v>
      </c>
      <c r="G350" s="1664">
        <f t="shared" si="26"/>
        <v>0</v>
      </c>
      <c r="H350" s="1664">
        <f t="shared" si="26"/>
        <v>0</v>
      </c>
      <c r="I350" s="1664">
        <f t="shared" si="26"/>
        <v>0</v>
      </c>
      <c r="J350" s="1664">
        <f t="shared" si="26"/>
        <v>0</v>
      </c>
      <c r="K350" s="1664">
        <f t="shared" si="26"/>
        <v>0</v>
      </c>
      <c r="L350" s="1664">
        <f t="shared" si="26"/>
        <v>0</v>
      </c>
    </row>
    <row r="351" spans="1:14" ht="12.75" customHeight="1" thickTop="1" x14ac:dyDescent="0.2">
      <c r="A351" s="1508" t="s">
        <v>980</v>
      </c>
      <c r="B351" s="641" t="s">
        <v>574</v>
      </c>
      <c r="C351" s="466">
        <v>0</v>
      </c>
      <c r="D351" s="466">
        <v>0</v>
      </c>
      <c r="E351" s="466">
        <v>0</v>
      </c>
      <c r="F351" s="466">
        <v>0</v>
      </c>
      <c r="G351" s="466">
        <v>0</v>
      </c>
      <c r="H351" s="466">
        <v>0</v>
      </c>
      <c r="I351" s="466">
        <v>0</v>
      </c>
      <c r="J351" s="466">
        <v>0</v>
      </c>
      <c r="K351" s="614">
        <f>SUM(C351:J351)</f>
        <v>0</v>
      </c>
      <c r="L351" s="568">
        <v>0</v>
      </c>
    </row>
    <row r="352" spans="1:14" ht="12.75" customHeight="1" thickBot="1" x14ac:dyDescent="0.25">
      <c r="A352" s="1662" t="s">
        <v>624</v>
      </c>
      <c r="B352" s="1669" t="s">
        <v>569</v>
      </c>
      <c r="C352" s="1664">
        <f>SUM(C350:C351)</f>
        <v>0</v>
      </c>
      <c r="D352" s="1664">
        <f t="shared" ref="D352:L352" si="27">SUM(D350:D351)</f>
        <v>0</v>
      </c>
      <c r="E352" s="1664">
        <f t="shared" si="27"/>
        <v>0</v>
      </c>
      <c r="F352" s="1664">
        <f t="shared" si="27"/>
        <v>0</v>
      </c>
      <c r="G352" s="1664">
        <f t="shared" si="27"/>
        <v>0</v>
      </c>
      <c r="H352" s="1664">
        <f t="shared" si="27"/>
        <v>0</v>
      </c>
      <c r="I352" s="1664">
        <f t="shared" si="27"/>
        <v>0</v>
      </c>
      <c r="J352" s="1664">
        <f t="shared" si="27"/>
        <v>0</v>
      </c>
      <c r="K352" s="1664">
        <f t="shared" si="27"/>
        <v>0</v>
      </c>
      <c r="L352" s="1664">
        <f t="shared" si="27"/>
        <v>0</v>
      </c>
    </row>
    <row r="353" spans="1:14" s="343" customFormat="1" ht="15.75" customHeight="1" thickTop="1" x14ac:dyDescent="0.2">
      <c r="A353" s="1610" t="s">
        <v>625</v>
      </c>
      <c r="B353" s="1607" t="s">
        <v>860</v>
      </c>
      <c r="C353" s="615"/>
      <c r="D353" s="615"/>
      <c r="E353" s="615"/>
      <c r="F353" s="615"/>
      <c r="G353" s="615"/>
      <c r="H353" s="615"/>
      <c r="I353" s="615"/>
      <c r="J353" s="615"/>
      <c r="K353" s="615"/>
      <c r="L353" s="615"/>
      <c r="M353" s="608"/>
      <c r="N353" s="608"/>
    </row>
    <row r="354" spans="1:14" x14ac:dyDescent="0.2">
      <c r="A354" s="1828" t="s">
        <v>1852</v>
      </c>
      <c r="B354" s="681" t="s">
        <v>1844</v>
      </c>
      <c r="C354" s="615"/>
      <c r="D354" s="615"/>
      <c r="E354" s="615"/>
      <c r="F354" s="615"/>
      <c r="G354" s="615"/>
      <c r="H354" s="474" t="s">
        <v>1169</v>
      </c>
      <c r="I354" s="699"/>
      <c r="J354" s="615"/>
      <c r="K354" s="1693" t="str">
        <f>H354</f>
        <v xml:space="preserve"> </v>
      </c>
      <c r="L354" s="471">
        <v>0</v>
      </c>
    </row>
    <row r="355" spans="1:14" ht="12.75" customHeight="1" x14ac:dyDescent="0.2">
      <c r="A355" s="1511" t="s">
        <v>1853</v>
      </c>
      <c r="B355" s="688" t="s">
        <v>1846</v>
      </c>
      <c r="C355" s="615"/>
      <c r="D355" s="615"/>
      <c r="E355" s="615"/>
      <c r="F355" s="615"/>
      <c r="G355" s="615"/>
      <c r="H355" s="467" t="s">
        <v>1169</v>
      </c>
      <c r="I355" s="699"/>
      <c r="J355" s="615"/>
      <c r="K355" s="1737" t="str">
        <f>H355</f>
        <v xml:space="preserve"> </v>
      </c>
      <c r="L355" s="467">
        <v>0</v>
      </c>
    </row>
    <row r="356" spans="1:14" ht="12.75" customHeight="1" x14ac:dyDescent="0.2">
      <c r="A356" s="1828" t="s">
        <v>698</v>
      </c>
      <c r="B356" s="681" t="s">
        <v>558</v>
      </c>
      <c r="C356" s="615"/>
      <c r="D356" s="615"/>
      <c r="E356" s="615"/>
      <c r="F356" s="615"/>
      <c r="G356" s="615"/>
      <c r="H356" s="479">
        <v>0</v>
      </c>
      <c r="I356" s="699"/>
      <c r="J356" s="615"/>
      <c r="K356" s="1734">
        <f>H356</f>
        <v>0</v>
      </c>
      <c r="L356" s="479">
        <v>0</v>
      </c>
    </row>
    <row r="357" spans="1:14" ht="12.75" customHeight="1" thickBot="1" x14ac:dyDescent="0.25">
      <c r="A357" s="1662" t="s">
        <v>1487</v>
      </c>
      <c r="B357" s="1663" t="s">
        <v>860</v>
      </c>
      <c r="C357" s="615"/>
      <c r="D357" s="615"/>
      <c r="E357" s="615"/>
      <c r="F357" s="615"/>
      <c r="G357" s="615"/>
      <c r="H357" s="1682">
        <f>SUM(H354:H356)</f>
        <v>0</v>
      </c>
      <c r="I357" s="699"/>
      <c r="J357" s="615"/>
      <c r="K357" s="1682">
        <f>SUM(K354:K356)</f>
        <v>0</v>
      </c>
      <c r="L357" s="1682">
        <f>SUM(L354:L356)</f>
        <v>0</v>
      </c>
    </row>
    <row r="358" spans="1:14" s="343" customFormat="1" ht="15.75" customHeight="1" thickTop="1" x14ac:dyDescent="0.2">
      <c r="A358" s="1610" t="s">
        <v>948</v>
      </c>
      <c r="B358" s="1607" t="s">
        <v>492</v>
      </c>
      <c r="C358" s="615"/>
      <c r="D358" s="615"/>
      <c r="E358" s="615"/>
      <c r="F358" s="615"/>
      <c r="G358" s="615"/>
      <c r="H358" s="615"/>
      <c r="I358" s="615"/>
      <c r="J358" s="615"/>
      <c r="K358" s="615"/>
      <c r="L358" s="615"/>
      <c r="M358" s="608"/>
      <c r="N358" s="608"/>
    </row>
    <row r="359" spans="1:14" s="343" customFormat="1" ht="15.75" customHeight="1" x14ac:dyDescent="0.2">
      <c r="A359" s="651" t="s">
        <v>627</v>
      </c>
      <c r="B359" s="621"/>
      <c r="C359" s="615"/>
      <c r="D359" s="615"/>
      <c r="E359" s="615"/>
      <c r="F359" s="615"/>
      <c r="G359" s="615"/>
      <c r="H359" s="615"/>
      <c r="I359" s="615"/>
      <c r="J359" s="615"/>
      <c r="K359" s="622"/>
      <c r="L359" s="622"/>
      <c r="M359" s="608"/>
      <c r="N359" s="608"/>
    </row>
    <row r="360" spans="1:14" x14ac:dyDescent="0.2">
      <c r="A360" s="1502" t="s">
        <v>87</v>
      </c>
      <c r="B360" s="613">
        <v>5110</v>
      </c>
      <c r="C360" s="615"/>
      <c r="D360" s="615"/>
      <c r="E360" s="615"/>
      <c r="F360" s="615"/>
      <c r="G360" s="615"/>
      <c r="H360" s="467">
        <v>0</v>
      </c>
      <c r="I360" s="615"/>
      <c r="J360" s="615"/>
      <c r="K360" s="1665">
        <f>SUM(C360:J360)</f>
        <v>0</v>
      </c>
      <c r="L360" s="466">
        <v>0</v>
      </c>
    </row>
    <row r="361" spans="1:14" ht="12.75" customHeight="1" x14ac:dyDescent="0.2">
      <c r="A361" s="1503" t="s">
        <v>619</v>
      </c>
      <c r="B361" s="601" t="s">
        <v>618</v>
      </c>
      <c r="C361" s="615"/>
      <c r="D361" s="615"/>
      <c r="E361" s="615"/>
      <c r="F361" s="615"/>
      <c r="G361" s="615"/>
      <c r="H361" s="467">
        <v>0</v>
      </c>
      <c r="I361" s="615"/>
      <c r="J361" s="615"/>
      <c r="K361" s="1665">
        <f>SUM(C361:J361)</f>
        <v>0</v>
      </c>
      <c r="L361" s="466">
        <v>0</v>
      </c>
    </row>
    <row r="362" spans="1:14" ht="12.75" customHeight="1" thickBot="1" x14ac:dyDescent="0.25">
      <c r="A362" s="1662" t="s">
        <v>626</v>
      </c>
      <c r="B362" s="1663" t="s">
        <v>718</v>
      </c>
      <c r="C362" s="615"/>
      <c r="D362" s="615"/>
      <c r="E362" s="615"/>
      <c r="F362" s="615"/>
      <c r="G362" s="615"/>
      <c r="H362" s="1697">
        <f>SUM(H360:H361)</f>
        <v>0</v>
      </c>
      <c r="I362" s="615"/>
      <c r="J362" s="615"/>
      <c r="K362" s="1697">
        <f>SUM(K360:K361)</f>
        <v>0</v>
      </c>
      <c r="L362" s="1697">
        <f>SUM(L360:L361)</f>
        <v>0</v>
      </c>
    </row>
    <row r="363" spans="1:14" s="672" customFormat="1" ht="15.75" customHeight="1" thickTop="1" x14ac:dyDescent="0.2">
      <c r="A363" s="658" t="s">
        <v>83</v>
      </c>
      <c r="B363" s="659" t="s">
        <v>38</v>
      </c>
      <c r="C363" s="636"/>
      <c r="D363" s="636"/>
      <c r="E363" s="636"/>
      <c r="F363" s="636"/>
      <c r="G363" s="636"/>
      <c r="H363" s="479">
        <v>0</v>
      </c>
      <c r="I363" s="636"/>
      <c r="J363" s="636"/>
      <c r="K363" s="1693">
        <f>SUM(C363:J363)</f>
        <v>0</v>
      </c>
      <c r="L363" s="479">
        <v>0</v>
      </c>
      <c r="M363" s="663"/>
      <c r="N363" s="663"/>
    </row>
    <row r="364" spans="1:14" s="706" customFormat="1" ht="29.25" customHeight="1" x14ac:dyDescent="0.2">
      <c r="A364" s="700" t="s">
        <v>1672</v>
      </c>
      <c r="B364" s="701">
        <v>5300</v>
      </c>
      <c r="C364" s="702"/>
      <c r="D364" s="703"/>
      <c r="E364" s="703"/>
      <c r="F364" s="702"/>
      <c r="G364" s="703"/>
      <c r="H364" s="704">
        <v>0</v>
      </c>
      <c r="I364" s="703"/>
      <c r="J364" s="703"/>
      <c r="K364" s="1665">
        <f>SUM(C364:J364)</f>
        <v>0</v>
      </c>
      <c r="L364" s="705">
        <v>0</v>
      </c>
    </row>
    <row r="365" spans="1:14" s="672" customFormat="1" ht="12.75" customHeight="1" thickBot="1" x14ac:dyDescent="0.25">
      <c r="A365" s="1519" t="s">
        <v>590</v>
      </c>
      <c r="B365" s="657" t="s">
        <v>492</v>
      </c>
      <c r="C365" s="636"/>
      <c r="D365" s="636"/>
      <c r="E365" s="636"/>
      <c r="F365" s="636"/>
      <c r="G365" s="636"/>
      <c r="H365" s="1697">
        <f>SUM(H362,H363,H364)</f>
        <v>0</v>
      </c>
      <c r="I365" s="636"/>
      <c r="J365" s="636"/>
      <c r="K365" s="1697">
        <f>SUM(K362,K363,K364)</f>
        <v>0</v>
      </c>
      <c r="L365" s="1697">
        <f>SUM(L362,L363,L364)</f>
        <v>0</v>
      </c>
      <c r="M365" s="663"/>
      <c r="N365" s="663"/>
    </row>
    <row r="366" spans="1:14" s="343" customFormat="1" ht="15.75" customHeight="1" thickTop="1" thickBot="1" x14ac:dyDescent="0.25">
      <c r="A366" s="1604" t="s">
        <v>949</v>
      </c>
      <c r="B366" s="1611" t="s">
        <v>861</v>
      </c>
      <c r="C366" s="622"/>
      <c r="D366" s="622"/>
      <c r="E366" s="622"/>
      <c r="F366" s="622"/>
      <c r="G366" s="622"/>
      <c r="H366" s="622"/>
      <c r="I366" s="622"/>
      <c r="J366" s="615"/>
      <c r="K366" s="622"/>
      <c r="L366" s="572">
        <v>0</v>
      </c>
      <c r="M366" s="608"/>
      <c r="N366" s="608"/>
    </row>
    <row r="367" spans="1:14" ht="12.75" customHeight="1" thickTop="1" thickBot="1" x14ac:dyDescent="0.25">
      <c r="A367" s="1686" t="s">
        <v>505</v>
      </c>
      <c r="B367" s="1698"/>
      <c r="C367" s="1664">
        <f t="shared" ref="C367:L367" si="28">SUM(C352,C357,C365,C366)</f>
        <v>0</v>
      </c>
      <c r="D367" s="1664">
        <f t="shared" si="28"/>
        <v>0</v>
      </c>
      <c r="E367" s="1664">
        <f t="shared" si="28"/>
        <v>0</v>
      </c>
      <c r="F367" s="1664">
        <f t="shared" si="28"/>
        <v>0</v>
      </c>
      <c r="G367" s="1664">
        <f t="shared" si="28"/>
        <v>0</v>
      </c>
      <c r="H367" s="1664">
        <f t="shared" si="28"/>
        <v>0</v>
      </c>
      <c r="I367" s="1664">
        <f t="shared" si="28"/>
        <v>0</v>
      </c>
      <c r="J367" s="1664">
        <f t="shared" si="28"/>
        <v>0</v>
      </c>
      <c r="K367" s="1664">
        <f t="shared" si="28"/>
        <v>0</v>
      </c>
      <c r="L367" s="1664">
        <f t="shared" si="28"/>
        <v>0</v>
      </c>
    </row>
    <row r="368" spans="1:14" ht="13.5" thickTop="1" x14ac:dyDescent="0.2">
      <c r="A368" s="2162" t="s">
        <v>996</v>
      </c>
      <c r="B368" s="2163"/>
      <c r="C368" s="652"/>
      <c r="D368" s="652"/>
      <c r="E368" s="625"/>
      <c r="F368" s="625"/>
      <c r="G368" s="625"/>
      <c r="H368" s="625"/>
      <c r="I368" s="625"/>
      <c r="J368" s="622"/>
      <c r="K368" s="1665">
        <f>'Revenues 9-14'!K268-'Expenditures 15-22'!K367</f>
        <v>0</v>
      </c>
      <c r="L368" s="652"/>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dcmitype/"/>
    <ds:schemaRef ds:uri="http://schemas.microsoft.com/office/2006/metadata/properties"/>
    <ds:schemaRef ds:uri="6ce3111e-7420-4802-b50a-75d4e9a0b980"/>
    <ds:schemaRef ds:uri="d21dc803-237d-4c68-8692-8d731fd29118"/>
    <ds:schemaRef ds:uri="http://purl.org/dc/elements/1.1/"/>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4d435f69-8686-490b-bd6d-b153bf22ab5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2019-11-25T19:15:37Z</cp:lastPrinted>
  <dcterms:created xsi:type="dcterms:W3CDTF">2003-10-29T19:06:34Z</dcterms:created>
  <dcterms:modified xsi:type="dcterms:W3CDTF">2019-12-30T15:33:14Z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