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390B6A46-3F18-4382-B5D7-76EF9A7D2E45}" xr6:coauthVersionLast="36" xr6:coauthVersionMax="36" xr10:uidLastSave="{00000000-0000-0000-0000-000000000000}"/>
  <bookViews>
    <workbookView xWindow="0" yWindow="0" windowWidth="13500" windowHeight="1177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heet1" sheetId="184"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'SEFA NOTES'!$A$1:$F$62</definedName>
    <definedName name="_xlnm.Print_Area" localSheetId="26">'SEFA Reconcile'!$A$1:$E$49</definedName>
    <definedName name="_xlnm.Print_Area" localSheetId="30">'SF&amp;QC Sec-1'!$A$1:$J$63</definedName>
    <definedName name="_xlnm.Print_Area" localSheetId="33">'SF&amp;QC Sec-3'!$A$1:$K$48</definedName>
    <definedName name="_xlnm.Print_Area" localSheetId="16">'Shared Outsourced Services 31'!$A$1:$F$43</definedName>
    <definedName name="_xlnm.Print_Area" localSheetId="32">Sheet1!$B$1:$K$40</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C65" i="5" l="1"/>
  <c r="C4" i="3" l="1"/>
  <c r="F17" i="183" l="1"/>
  <c r="G17" i="183"/>
  <c r="H17" i="183"/>
  <c r="I17" i="183"/>
  <c r="J17" i="183"/>
  <c r="K17" i="183"/>
  <c r="E17" i="183"/>
  <c r="F23" i="179"/>
  <c r="G23" i="179"/>
  <c r="H23" i="179"/>
  <c r="I23" i="179"/>
  <c r="J23" i="179"/>
  <c r="K23" i="179"/>
  <c r="E23" i="179"/>
  <c r="D27" i="173"/>
  <c r="D37" i="173"/>
  <c r="L27" i="183"/>
  <c r="L26" i="183"/>
  <c r="L25" i="183"/>
  <c r="L24" i="183"/>
  <c r="L23" i="183"/>
  <c r="L22" i="183"/>
  <c r="L21" i="183"/>
  <c r="L20" i="183"/>
  <c r="L18" i="183"/>
  <c r="L16" i="183"/>
  <c r="L15" i="183"/>
  <c r="L14" i="183"/>
  <c r="L13" i="183"/>
  <c r="L12" i="183"/>
  <c r="L11" i="183"/>
  <c r="B4" i="183"/>
  <c r="F17" i="179"/>
  <c r="G17" i="179"/>
  <c r="H17" i="179"/>
  <c r="I17" i="179"/>
  <c r="J17" i="179"/>
  <c r="J25" i="179" s="1"/>
  <c r="J27" i="179" s="1"/>
  <c r="J19" i="183" s="1"/>
  <c r="K17" i="179"/>
  <c r="K25" i="179" s="1"/>
  <c r="K27" i="179" s="1"/>
  <c r="K19" i="183" s="1"/>
  <c r="E17" i="179"/>
  <c r="E25" i="179" s="1"/>
  <c r="E27" i="179" s="1"/>
  <c r="L17" i="183" l="1"/>
  <c r="H25" i="179"/>
  <c r="H27" i="179" s="1"/>
  <c r="H19" i="183" s="1"/>
  <c r="E19" i="183"/>
  <c r="G25" i="179"/>
  <c r="G27" i="179" s="1"/>
  <c r="G19" i="183" s="1"/>
  <c r="I25" i="179"/>
  <c r="I27" i="179" s="1"/>
  <c r="I19" i="183" s="1"/>
  <c r="F25" i="179"/>
  <c r="F27" i="179" s="1"/>
  <c r="F19" i="183" s="1"/>
  <c r="L19" i="183" l="1"/>
  <c r="F35" i="181" l="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4" i="181"/>
  <c r="G30" i="181"/>
  <c r="G28" i="181"/>
  <c r="G26" i="181"/>
  <c r="G20" i="181"/>
  <c r="G19" i="181"/>
  <c r="D36" i="181"/>
  <c r="D80" i="36" l="1"/>
  <c r="B7797" i="106"/>
  <c r="E36" i="181"/>
  <c r="E18" i="181"/>
  <c r="F18" i="181" s="1"/>
  <c r="E17" i="181"/>
  <c r="F17" i="181" s="1"/>
  <c r="G17" i="181" l="1"/>
  <c r="G18" i="181"/>
  <c r="G36" i="181" s="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4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9" i="127"/>
  <c r="B60" i="127"/>
  <c r="E26" i="108"/>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L342" i="29" l="1"/>
  <c r="F34" i="34"/>
  <c r="L13" i="11"/>
  <c r="B2060" i="106" s="1"/>
  <c r="D2060" i="106" s="1"/>
  <c r="D24" i="37"/>
  <c r="B4270" i="106" s="1"/>
  <c r="D4270" i="106" s="1"/>
  <c r="H28" i="118"/>
  <c r="F50" i="34"/>
  <c r="B2724" i="106"/>
  <c r="D2724" i="106" s="1"/>
  <c r="F27" i="108"/>
  <c r="D6103" i="106"/>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28" i="118" l="1"/>
  <c r="O27" i="118" s="1"/>
  <c r="O29" i="118" s="1"/>
  <c r="B5527" i="106"/>
  <c r="D5527" i="106" s="1"/>
  <c r="H151" i="29"/>
  <c r="B1273" i="106" s="1"/>
  <c r="D1273"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<sst xmlns="http://schemas.openxmlformats.org/spreadsheetml/2006/main" count="5357" uniqueCount="2174">
  <si>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</si>
  <si>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</si>
  <si>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</si>
  <si>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</si>
  <si>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</si>
  <si>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</si>
  <si>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</si>
  <si>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</si>
  <si>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</si>
  <si>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</si>
  <si>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</si>
  <si>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</si>
  <si>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</si>
  <si>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</si>
  <si>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</si>
  <si>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</si>
  <si>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</si>
  <si>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</si>
  <si>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</si>
  <si>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</si>
  <si>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</si>
  <si>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</si>
  <si>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</si>
  <si>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</si>
  <si>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</si>
  <si>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</si>
  <si>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</si>
  <si>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</si>
  <si>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</si>
  <si>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</si>
  <si>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</si>
  <si>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</si>
  <si>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</si>
  <si>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</si>
  <si>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</si>
  <si>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</si>
  <si>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</si>
  <si>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</si>
  <si>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</si>
  <si>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</si>
  <si>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</si>
  <si>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</si>
  <si>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</si>
  <si>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</si>
  <si>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</si>
  <si>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</si>
  <si>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</si>
  <si>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</si>
  <si>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</si>
  <si>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</si>
  <si>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</si>
  <si>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</si>
  <si>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</si>
  <si>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</si>
  <si>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</si>
  <si>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</si>
  <si>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</si>
  <si>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</si>
  <si>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</si>
  <si>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</si>
  <si>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</si>
  <si>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</si>
  <si>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</si>
  <si>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</si>
  <si>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</si>
  <si>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</si>
  <si>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</si>
  <si>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</si>
  <si>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</si>
  <si>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</si>
  <si>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</si>
  <si>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</si>
  <si>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</si>
  <si>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</si>
  <si>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</si>
  <si>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</si>
  <si>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</si>
  <si>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</si>
  <si>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</si>
  <si>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</si>
  <si>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</si>
  <si>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</si>
  <si>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</si>
  <si>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</si>
  <si>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</si>
  <si>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</si>
  <si>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</si>
  <si>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</si>
  <si>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</si>
  <si>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</si>
  <si>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</si>
  <si>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</si>
  <si>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</si>
  <si>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</si>
  <si>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</si>
  <si>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</si>
  <si>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</si>
  <si>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</si>
  <si>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</si>
  <si>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</si>
  <si>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</si>
  <si>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</si>
  <si>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</si>
  <si>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</si>
  <si>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</si>
  <si>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</si>
  <si>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</si>
  <si>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</si>
  <si>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</si>
  <si>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</si>
  <si>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</si>
  <si>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</si>
  <si>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</si>
  <si>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</si>
  <si>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</si>
  <si>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</si>
  <si>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</si>
  <si>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</si>
  <si>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</si>
  <si>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</si>
  <si>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</si>
  <si>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</si>
  <si>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</si>
  <si>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</si>
  <si>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</si>
  <si>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</si>
  <si>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</si>
  <si>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</si>
  <si>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</si>
  <si>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</si>
  <si>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</si>
  <si>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</si>
  <si>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</si>
  <si>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</si>
  <si>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</si>
  <si>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</si>
  <si>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</si>
  <si>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</si>
  <si>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</si>
  <si>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</si>
  <si>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</si>
  <si>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</si>
  <si>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</si>
  <si>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</si>
  <si>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</si>
  <si>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</si>
  <si>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</si>
  <si>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</si>
  <si>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</si>
  <si>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</si>
  <si>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</si>
  <si>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</si>
  <si>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</si>
  <si>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</si>
  <si>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</si>
  <si>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</si>
  <si>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</si>
  <si>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</si>
  <si>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</si>
  <si>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</si>
  <si>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</si>
  <si>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</si>
  <si>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</si>
  <si>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</si>
  <si>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</si>
  <si>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</si>
  <si>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</si>
  <si>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</si>
  <si>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</si>
  <si>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</si>
  <si>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</si>
  <si>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</si>
  <si>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</si>
  <si>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</si>
  <si>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</si>
  <si>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</si>
  <si>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</si>
  <si>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</si>
  <si>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</si>
  <si>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</si>
  <si>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</si>
  <si>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</si>
  <si>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</si>
  <si>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</si>
  <si>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</si>
  <si>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</si>
  <si>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</si>
  <si>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</si>
  <si>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</si>
  <si>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</si>
  <si>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</si>
  <si>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</si>
  <si>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</si>
  <si>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</si>
  <si>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</si>
  <si>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</si>
  <si>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</si>
  <si>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</si>
  <si>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</si>
  <si>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</si>
  <si>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</si>
  <si>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</si>
  <si>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</si>
  <si>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</si>
  <si>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</si>
  <si>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</si>
  <si>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</si>
  <si>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</si>
  <si>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</si>
  <si>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</si>
  <si>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</si>
  <si>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</si>
  <si>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</si>
  <si>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</si>
  <si>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</si>
  <si>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</si>
  <si>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</si>
  <si>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</si>
  <si>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</si>
  <si>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</si>
  <si>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</si>
  <si>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</si>
  <si>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</si>
  <si>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</si>
  <si>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</si>
  <si>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</si>
  <si>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</si>
  <si>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</si>
  <si>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</si>
  <si>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</si>
  <si>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</si>
  <si>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</si>
  <si>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</si>
  <si>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</si>
  <si>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</si>
  <si>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</si>
  <si>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</si>
  <si>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</si>
  <si>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</si>
  <si>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</si>
  <si>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</si>
  <si>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</si>
  <si>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</si>
  <si>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</si>
  <si>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</si>
  <si>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</si>
  <si>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</si>
  <si>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</si>
  <si>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</si>
  <si>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</si>
  <si>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</si>
  <si>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</si>
  <si>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</si>
  <si>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</si>
  <si>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</si>
  <si>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</si>
  <si>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</si>
  <si>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</si>
  <si>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</si>
  <si>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</si>
  <si>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</si>
  <si>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</si>
  <si>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</si>
  <si>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</si>
  <si>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</si>
  <si>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</si>
  <si>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</si>
  <si>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</si>
  <si>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</si>
  <si>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</si>
  <si>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</si>
  <si>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</si>
  <si>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</si>
  <si>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</si>
  <si>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</si>
  <si>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</si>
  <si>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</si>
  <si>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</si>
  <si>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</si>
  <si>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</si>
  <si>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</si>
  <si>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</si>
  <si>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</si>
  <si>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</si>
  <si>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</si>
  <si>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</si>
  <si>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</si>
  <si>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</si>
  <si>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</si>
  <si>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</si>
  <si>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</si>
  <si>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</si>
  <si>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</si>
  <si>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</si>
  <si>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</si>
  <si>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</si>
  <si>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</si>
  <si>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</si>
  <si>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</si>
  <si>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</si>
  <si>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</si>
  <si>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</si>
  <si>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</si>
  <si>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</si>
  <si>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</si>
  <si>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</si>
  <si>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</si>
  <si>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</si>
  <si>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</si>
  <si>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</si>
  <si>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</si>
  <si>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</si>
  <si>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</si>
  <si>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</si>
  <si>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</si>
  <si>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</si>
  <si>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</si>
  <si>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</si>
  <si>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</si>
  <si>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</si>
  <si>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</si>
  <si>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</si>
  <si>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</si>
  <si>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</si>
  <si>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</si>
  <si>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</si>
  <si>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</si>
  <si>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</si>
  <si>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</si>
  <si>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</si>
  <si>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</si>
  <si>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</si>
  <si>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</si>
  <si>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</si>
  <si>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</si>
  <si>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</si>
  <si>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</si>
  <si>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</si>
  <si>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</si>
  <si>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</si>
  <si>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</si>
  <si>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</si>
  <si>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</si>
  <si>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</si>
  <si>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</si>
  <si>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</si>
  <si>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</si>
  <si>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</si>
  <si>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</si>
  <si>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</si>
  <si>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</si>
  <si>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</si>
  <si>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</si>
  <si>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</si>
  <si>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</si>
  <si>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</si>
  <si>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</si>
  <si>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</si>
  <si>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</si>
  <si>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</si>
  <si>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</si>
  <si>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</si>
  <si>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</si>
  <si>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</si>
  <si>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</si>
  <si>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</si>
  <si>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</si>
  <si>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</si>
  <si>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</si>
  <si>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</si>
  <si>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</si>
  <si>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</si>
  <si>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</si>
  <si>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</si>
  <si>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</si>
  <si>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</si>
  <si>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</si>
  <si>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</si>
  <si>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</si>
  <si>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</si>
  <si>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</si>
  <si>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</si>
  <si>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</si>
  <si>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</si>
  <si>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</si>
  <si>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</si>
  <si>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</si>
  <si>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</si>
  <si>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</si>
  <si>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</si>
  <si>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</si>
  <si>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</si>
  <si>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</si>
  <si>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</si>
  <si>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</si>
  <si>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</si>
  <si>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</si>
  <si>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</si>
  <si>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</si>
  <si>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</si>
  <si>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</si>
  <si>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</si>
  <si>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</si>
  <si>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</si>
  <si>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</si>
  <si>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</si>
  <si>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</si>
  <si>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</si>
  <si>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</si>
  <si>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</si>
  <si>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</si>
  <si>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</si>
  <si>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</si>
  <si>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</si>
  <si>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</si>
  <si>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</si>
  <si>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</si>
  <si>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</si>
  <si>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</si>
  <si>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</si>
  <si>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</si>
  <si>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</si>
  <si>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</si>
  <si>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</si>
  <si>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</si>
  <si>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</si>
  <si>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</si>
  <si>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</si>
  <si>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</si>
  <si>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</si>
  <si>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</si>
  <si>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</si>
  <si>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</si>
  <si>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</si>
  <si>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</si>
  <si>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</si>
  <si>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</si>
  <si>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</si>
  <si>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</si>
  <si>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</si>
  <si>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</si>
  <si>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</si>
  <si>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</si>
  <si>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</si>
  <si>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</si>
  <si>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</si>
  <si>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</si>
  <si>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</si>
  <si>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</si>
  <si>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</si>
  <si>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</si>
  <si>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</si>
  <si>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</si>
  <si>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</si>
  <si>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</si>
  <si>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</si>
  <si>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</si>
  <si>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</si>
  <si>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</si>
  <si>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</si>
  <si>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</si>
  <si>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</si>
  <si>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</si>
  <si>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</si>
  <si>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</si>
  <si>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</si>
  <si>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</si>
  <si>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</si>
  <si>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</si>
  <si>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</si>
  <si>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</si>
  <si>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</si>
  <si>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</si>
  <si>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</si>
  <si>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</si>
  <si>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</si>
  <si>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</si>
  <si>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</si>
  <si>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</si>
  <si>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</si>
  <si>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</si>
  <si>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</si>
  <si>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</si>
  <si>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</si>
  <si>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</si>
  <si>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</si>
  <si>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</si>
  <si>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</si>
  <si>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</si>
  <si>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</si>
  <si>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</si>
  <si>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</si>
  <si>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</si>
  <si>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</si>
  <si>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</si>
  <si>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</si>
  <si>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</si>
  <si>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</si>
  <si>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</si>
  <si>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</si>
  <si>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</si>
  <si>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</si>
  <si>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</si>
  <si>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</si>
  <si>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</si>
  <si>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</si>
  <si>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</si>
  <si>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</si>
  <si>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</si>
  <si>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</si>
  <si>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</si>
  <si>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</si>
  <si>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</si>
  <si>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</si>
  <si>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</si>
  <si>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</si>
  <si>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</si>
  <si>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</si>
  <si>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</si>
  <si>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</si>
  <si>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</si>
  <si>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</si>
  <si>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</si>
  <si>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</si>
  <si>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</si>
  <si>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</si>
  <si>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</si>
  <si>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</si>
  <si>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</si>
  <si>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</si>
  <si>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</si>
  <si>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</si>
  <si>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</si>
  <si>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</si>
  <si>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</si>
  <si>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</si>
  <si>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</si>
  <si>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</si>
  <si>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</si>
  <si>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</si>
  <si>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</si>
  <si>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</si>
  <si>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</si>
  <si>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</si>
  <si>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</si>
  <si>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</si>
  <si>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</si>
  <si>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</si>
  <si>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</si>
  <si>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</si>
  <si>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</si>
  <si>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</si>
  <si>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</si>
  <si>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</si>
  <si>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</si>
  <si>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</si>
  <si>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</si>
  <si>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</si>
  <si>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</si>
  <si>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</si>
  <si>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</si>
  <si>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</si>
  <si>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</si>
  <si>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</si>
  <si>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</si>
  <si>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</si>
  <si>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</si>
  <si>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</si>
  <si>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</si>
  <si>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</si>
  <si>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</si>
  <si>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</si>
  <si>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</si>
  <si>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</si>
  <si>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</si>
  <si>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</si>
  <si>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</si>
  <si>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</si>
  <si>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</si>
  <si>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</si>
  <si>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</si>
  <si>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</si>
  <si>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</si>
  <si>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</si>
  <si>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</si>
  <si>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</si>
  <si>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</si>
  <si>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</si>
  <si>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</si>
  <si>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</si>
  <si>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</si>
  <si>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</si>
  <si>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</si>
  <si>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</si>
  <si>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</si>
  <si>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</si>
  <si>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</si>
  <si>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</si>
  <si>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</si>
  <si>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</si>
  <si>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</si>
  <si>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</si>
  <si>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</si>
  <si>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</si>
  <si>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</si>
  <si>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</si>
  <si>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</si>
  <si>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</si>
  <si>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</si>
  <si>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</si>
  <si>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</si>
  <si>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</si>
  <si>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</si>
  <si>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</si>
  <si>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</si>
  <si>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</si>
  <si>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</si>
  <si>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</si>
  <si>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</si>
  <si>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</si>
  <si>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</si>
  <si>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</si>
  <si>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</si>
  <si>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</si>
  <si>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</si>
  <si>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</si>
  <si>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</si>
  <si>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</si>
  <si>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</si>
  <si>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</si>
  <si>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</si>
  <si>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</si>
  <si>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</si>
  <si>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</si>
  <si>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</si>
  <si>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</si>
  <si>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</si>
  <si>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</si>
  <si>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</si>
  <si>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</si>
  <si>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</si>
  <si>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</si>
  <si>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</si>
  <si>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</si>
  <si>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</si>
  <si>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</si>
  <si>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</si>
  <si>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</si>
  <si>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</si>
  <si>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</si>
  <si>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</si>
  <si>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</si>
  <si>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</si>
  <si>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</si>
  <si>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</si>
  <si>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</si>
  <si>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</si>
  <si>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</si>
  <si>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</si>
  <si>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</si>
  <si>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</si>
  <si>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</si>
  <si>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</si>
  <si>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</si>
  <si>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</si>
  <si>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</si>
  <si>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</si>
  <si>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</si>
  <si>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</si>
  <si>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</si>
  <si>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</si>
  <si>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</si>
  <si>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</si>
  <si>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</si>
  <si>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</si>
  <si>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</si>
  <si>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</si>
  <si>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</si>
  <si>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</si>
  <si>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</si>
  <si>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</si>
  <si>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</si>
  <si>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</si>
  <si>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</si>
  <si>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</si>
  <si>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</si>
  <si>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</si>
  <si>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</si>
  <si>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</si>
  <si>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</si>
  <si>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</si>
  <si>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</si>
  <si>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</si>
  <si>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</si>
  <si>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</si>
  <si>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</si>
  <si>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</si>
  <si>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</si>
  <si>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</si>
  <si>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</si>
  <si>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</si>
  <si>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</si>
  <si>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</si>
  <si>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</si>
  <si>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</si>
  <si>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</si>
  <si>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</si>
  <si>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</si>
  <si>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</si>
  <si>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</si>
  <si>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</si>
  <si>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</si>
  <si>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</si>
  <si>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</si>
  <si>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</si>
  <si>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</si>
  <si>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</si>
  <si>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</si>
  <si>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</si>
  <si>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</si>
  <si>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</si>
  <si>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</si>
  <si>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</si>
  <si>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</si>
  <si>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</si>
  <si>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</si>
  <si>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</si>
  <si>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</si>
  <si>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</si>
  <si>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</si>
  <si>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</si>
  <si>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</si>
  <si>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</si>
  <si>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</si>
  <si>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</si>
  <si>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</si>
  <si>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</si>
  <si>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</si>
  <si>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</si>
  <si>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</si>
  <si>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</si>
  <si>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</si>
  <si>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</si>
  <si>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</si>
  <si>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</si>
  <si>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</si>
  <si>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</si>
  <si>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</si>
  <si>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</si>
  <si>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</si>
  <si>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</si>
  <si>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</si>
  <si>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</si>
  <si>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</si>
  <si>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</si>
  <si>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</si>
  <si>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</si>
  <si>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</si>
  <si>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</si>
  <si>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</si>
  <si>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</si>
  <si>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</si>
  <si>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</si>
  <si>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</si>
  <si>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</si>
  <si>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</si>
  <si>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</si>
  <si>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</si>
  <si>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</si>
  <si>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</si>
  <si>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</si>
  <si>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</si>
  <si>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</si>
  <si>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</si>
  <si>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</si>
  <si>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</si>
  <si>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</si>
  <si>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</si>
  <si>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</si>
  <si>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</si>
  <si>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</si>
  <si>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</si>
  <si>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</si>
  <si>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</si>
  <si>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</si>
  <si>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</si>
  <si>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</si>
  <si>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</si>
  <si>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</si>
  <si>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</si>
  <si>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</si>
  <si>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</si>
  <si>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</si>
  <si>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</si>
  <si>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</si>
  <si>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</si>
  <si>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</si>
  <si>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</si>
  <si>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</si>
  <si>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</si>
  <si>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</si>
  <si>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</si>
  <si>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</si>
  <si>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</si>
  <si>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</si>
  <si>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</si>
  <si>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</si>
  <si>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</si>
  <si>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</si>
  <si>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</si>
  <si>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</si>
  <si>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</si>
  <si>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</si>
  <si>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</si>
  <si>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</si>
  <si>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</si>
  <si>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</si>
  <si>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</si>
  <si>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</si>
  <si>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</si>
  <si>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</si>
  <si>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</si>
  <si>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</si>
  <si>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</si>
  <si>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</si>
  <si>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</si>
  <si>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</si>
  <si>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</si>
  <si>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</si>
  <si>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</si>
  <si>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</si>
  <si>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</si>
  <si>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</si>
  <si>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</si>
  <si>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</si>
  <si>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</si>
  <si>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</si>
  <si>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</si>
  <si>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</si>
  <si>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</si>
  <si>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</si>
  <si>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</si>
  <si>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</si>
  <si>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</si>
  <si>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</si>
  <si>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</si>
  <si>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</si>
  <si>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</si>
  <si>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</si>
  <si>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</si>
  <si>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</si>
  <si>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</si>
  <si>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</si>
  <si>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</si>
  <si>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</si>
  <si>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</si>
  <si>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</si>
  <si>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</si>
  <si>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</si>
  <si>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</si>
  <si>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</si>
  <si>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</si>
  <si>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</si>
  <si>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</si>
  <si>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</si>
  <si>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</si>
  <si>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</si>
  <si>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</si>
  <si>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</si>
  <si>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</si>
  <si>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</si>
  <si>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</si>
  <si>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</si>
  <si>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</si>
  <si>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</si>
  <si>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</si>
  <si>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</si>
  <si>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</si>
  <si>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</si>
  <si>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</si>
  <si>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</si>
  <si>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</si>
  <si>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</si>
  <si>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</si>
  <si>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</si>
  <si>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</si>
  <si>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</si>
  <si>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</si>
  <si>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</si>
  <si>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</si>
  <si>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</si>
  <si>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</si>
  <si>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</si>
  <si>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</si>
  <si>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</si>
  <si>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</si>
  <si>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</si>
  <si>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</si>
  <si>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</si>
  <si>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</si>
  <si>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</si>
  <si>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</si>
  <si>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</si>
  <si>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</si>
  <si>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</si>
  <si>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</si>
  <si>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</si>
  <si>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</si>
  <si>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</si>
  <si>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</si>
  <si>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</si>
  <si>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</si>
  <si>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</si>
  <si>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</si>
  <si>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</si>
  <si>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</si>
  <si>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</si>
  <si>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</si>
  <si>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</si>
  <si>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</si>
  <si>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</si>
  <si>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</si>
  <si>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</si>
  <si>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</si>
  <si>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</si>
  <si>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</si>
  <si>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</si>
  <si>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</si>
  <si>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</si>
  <si>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</si>
  <si>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</si>
  <si>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</si>
  <si>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</si>
  <si>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</si>
  <si>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</si>
  <si>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</si>
  <si>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</si>
  <si>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</si>
  <si>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</si>
  <si>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</si>
  <si>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</si>
  <si>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</si>
  <si>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</si>
  <si>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</si>
  <si>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</si>
  <si>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</si>
  <si>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</si>
  <si>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</si>
  <si>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</si>
  <si>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</si>
  <si>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</si>
  <si>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</si>
  <si>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</si>
  <si>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</si>
  <si>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</si>
  <si>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</si>
  <si>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</si>
  <si>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</si>
  <si>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</si>
  <si>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</si>
  <si>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</si>
  <si>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</si>
  <si>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</si>
  <si>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</si>
  <si>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</si>
  <si>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</si>
  <si>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</si>
  <si>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</si>
  <si>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</si>
  <si>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</si>
  <si>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</si>
  <si>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</si>
  <si>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</si>
  <si>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</si>
  <si>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</si>
  <si>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</si>
  <si>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</si>
  <si>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</si>
  <si>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</si>
  <si>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</si>
  <si>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</si>
  <si>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</si>
  <si>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</si>
  <si>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</si>
  <si>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</si>
  <si>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</si>
  <si>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</si>
  <si>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</si>
  <si>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</si>
  <si>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</si>
  <si>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</si>
  <si>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</si>
  <si>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</si>
  <si>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</si>
  <si>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</si>
  <si>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</si>
  <si>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</si>
  <si>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</si>
  <si>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</si>
  <si>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</si>
  <si>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</si>
  <si>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</si>
  <si>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</si>
  <si>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</si>
  <si>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</si>
  <si>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</si>
  <si>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</si>
  <si>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</si>
  <si>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</si>
  <si>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</si>
  <si>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</si>
  <si>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</si>
  <si>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</si>
  <si>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</si>
  <si>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</si>
  <si>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</si>
  <si>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</si>
  <si>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</si>
  <si>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</si>
  <si>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</si>
  <si>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</si>
  <si>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</si>
  <si>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</si>
  <si>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</si>
  <si>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</si>
  <si>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</si>
  <si>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</si>
  <si>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</si>
  <si>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</si>
  <si>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</si>
  <si>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</si>
  <si>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</si>
  <si>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</si>
  <si>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</si>
  <si>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</si>
  <si>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</si>
  <si>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</si>
  <si>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</si>
  <si>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</si>
  <si>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</si>
  <si>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</si>
  <si>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</si>
  <si>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</si>
  <si>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</si>
  <si>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</si>
  <si>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</si>
  <si>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</si>
  <si>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</si>
  <si>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</si>
  <si>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</si>
  <si>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</si>
  <si>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</si>
  <si>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</si>
  <si>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</si>
  <si>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</si>
  <si>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</si>
  <si>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</si>
  <si>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</si>
  <si>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</si>
  <si>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</si>
  <si>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</si>
  <si>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</si>
  <si>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</si>
  <si>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</si>
  <si>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</si>
  <si>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</si>
  <si>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</si>
  <si>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</si>
  <si>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</si>
  <si>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</si>
  <si>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</si>
  <si>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</si>
  <si>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</si>
  <si>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</si>
  <si>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</si>
  <si>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</si>
  <si>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</si>
  <si>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</si>
  <si>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</si>
  <si>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</si>
  <si>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</si>
  <si>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</si>
  <si>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</si>
  <si>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</si>
  <si>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</si>
  <si>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</si>
  <si>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</si>
  <si>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</si>
  <si>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</si>
  <si>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</si>
  <si>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</si>
  <si>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</si>
  <si>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</si>
  <si>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</si>
  <si>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</si>
  <si>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</si>
  <si>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</si>
  <si>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</si>
  <si>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</si>
  <si>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</si>
  <si>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</si>
  <si>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</si>
  <si>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</si>
  <si>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</si>
  <si>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</si>
  <si>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</si>
  <si>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</si>
  <si>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</si>
  <si>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</si>
  <si>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</si>
  <si>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</si>
  <si>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</si>
  <si>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</si>
  <si>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</si>
  <si>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</si>
  <si>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</si>
  <si>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</si>
  <si>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</si>
  <si>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</si>
  <si>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</si>
  <si>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</si>
  <si>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</si>
  <si>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</si>
  <si>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</si>
  <si>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</si>
  <si>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</si>
  <si>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</si>
  <si>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</si>
  <si>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</si>
  <si>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</si>
  <si>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</si>
  <si>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</si>
  <si>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</si>
  <si>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</si>
  <si>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</si>
  <si>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</si>
  <si>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</si>
  <si>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</si>
  <si>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</si>
  <si>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</si>
  <si>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</si>
  <si>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</si>
  <si>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</si>
  <si>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</si>
  <si>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</si>
  <si>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</si>
  <si>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</si>
  <si>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</si>
  <si>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</si>
  <si>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</si>
  <si>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</si>
  <si>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</si>
  <si>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</si>
  <si>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</si>
  <si>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</si>
  <si>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</si>
  <si>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</si>
  <si>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</si>
  <si>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</si>
  <si>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</si>
  <si>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</si>
  <si>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</si>
  <si>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</si>
  <si>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</si>
  <si>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</si>
  <si>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</si>
  <si>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</si>
  <si>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</si>
  <si>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</si>
  <si>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</si>
  <si>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</si>
  <si>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</si>
  <si>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</si>
  <si>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</si>
  <si>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</si>
  <si>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</si>
  <si>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</si>
  <si>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</si>
  <si>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</si>
  <si>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</si>
  <si>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</si>
  <si>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</si>
  <si>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</si>
  <si>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</si>
  <si>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</si>
  <si>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</si>
  <si>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</si>
  <si>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</si>
  <si>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</si>
  <si>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</si>
  <si>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</si>
  <si>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</si>
  <si>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</si>
  <si>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</si>
  <si>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</si>
  <si>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</si>
  <si>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</si>
  <si>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</si>
  <si>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</si>
  <si>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</si>
  <si>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</si>
  <si>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</si>
  <si>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</si>
  <si>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</si>
  <si>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</si>
  <si>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</si>
  <si>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</si>
  <si>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</si>
  <si>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</si>
  <si>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</si>
  <si>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</si>
  <si>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</si>
  <si>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</si>
  <si>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</si>
  <si>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</si>
  <si>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</si>
  <si>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</si>
  <si>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</si>
  <si>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</si>
  <si>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</si>
  <si>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</si>
  <si>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</si>
  <si>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</si>
  <si>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</si>
  <si>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</si>
  <si>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</si>
  <si>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</si>
  <si>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</si>
  <si>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</si>
  <si>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</si>
  <si>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</si>
  <si>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</si>
  <si>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</si>
  <si>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</si>
  <si>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</si>
  <si>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</si>
  <si>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</si>
  <si>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</si>
  <si>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</si>
  <si>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</si>
  <si>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</si>
  <si>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</si>
  <si>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</si>
  <si>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</si>
  <si>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</si>
  <si>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</si>
  <si>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</si>
  <si>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</si>
  <si>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</si>
  <si>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</si>
  <si>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</si>
  <si>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</si>
  <si>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</si>
  <si>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</si>
  <si>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</si>
  <si>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</si>
  <si>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</si>
  <si>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</si>
  <si>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</si>
  <si>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</si>
  <si>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</si>
  <si>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</si>
  <si>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</si>
  <si>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</si>
  <si>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</si>
  <si>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</si>
  <si>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</si>
  <si>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</si>
  <si>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</si>
  <si>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</si>
  <si>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</si>
  <si>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</si>
  <si>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</si>
  <si>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</si>
  <si>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</si>
  <si>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</si>
  <si>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</si>
  <si>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</si>
  <si>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</si>
  <si>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</si>
  <si>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</si>
  <si>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</si>
  <si>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</si>
  <si>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</si>
  <si>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</si>
  <si>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</si>
  <si>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</si>
  <si>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</si>
  <si>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</si>
  <si>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</si>
  <si>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</si>
  <si>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</si>
  <si>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</si>
  <si>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</si>
  <si>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</si>
  <si>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</si>
  <si>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</si>
  <si>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</si>
  <si>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</si>
  <si>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</si>
  <si>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</si>
  <si>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</si>
  <si>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</si>
  <si>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</si>
  <si>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</si>
  <si>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</si>
  <si>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</si>
  <si>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</si>
  <si>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</si>
  <si>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</si>
  <si>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</si>
  <si>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</si>
  <si>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</si>
  <si>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</si>
  <si>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</si>
  <si>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</si>
  <si>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</si>
  <si>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</si>
  <si>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</si>
  <si>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</si>
  <si>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</si>
  <si>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</si>
  <si>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</si>
  <si>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</si>
  <si>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</si>
  <si>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</si>
  <si>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</si>
  <si>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</si>
  <si>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</si>
  <si>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</si>
  <si>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</si>
  <si>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</si>
  <si>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</si>
  <si>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</si>
  <si>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</si>
  <si>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</si>
  <si>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</si>
  <si>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</si>
  <si>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</si>
  <si>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</si>
  <si>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</si>
  <si>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</si>
  <si>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</si>
  <si>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</si>
  <si>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</si>
  <si>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</si>
  <si>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</si>
  <si>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</si>
  <si>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</si>
  <si>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</si>
  <si>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</si>
  <si>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</si>
  <si>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</si>
  <si>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</si>
  <si>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</si>
  <si>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</si>
  <si>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</si>
  <si>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</si>
  <si>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</si>
  <si>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</si>
  <si>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</si>
  <si>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</si>
  <si>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</si>
  <si>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</si>
  <si>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</si>
  <si>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</si>
  <si>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</si>
  <si>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</si>
  <si>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</si>
  <si>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</si>
  <si>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</si>
  <si>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</si>
  <si>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</si>
  <si>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</si>
  <si>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</si>
  <si>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</si>
  <si>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</si>
  <si>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</si>
  <si>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</si>
  <si>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</si>
  <si>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</si>
  <si>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</si>
  <si>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</si>
  <si>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</si>
  <si>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</si>
  <si>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</si>
  <si>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</si>
  <si>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</si>
  <si>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</si>
  <si>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</si>
  <si>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</si>
  <si>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</si>
  <si>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</si>
  <si>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</si>
  <si>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</si>
  <si>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</si>
  <si>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</si>
  <si>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</si>
  <si>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</si>
  <si>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</si>
  <si>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</si>
  <si>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</si>
  <si>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</si>
  <si>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</si>
  <si>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</si>
  <si>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</si>
  <si>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</si>
  <si>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</si>
  <si>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</si>
  <si>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</si>
  <si>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</si>
  <si>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</si>
  <si>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</si>
  <si>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</si>
  <si>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</si>
  <si>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</si>
  <si>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</si>
  <si>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</si>
  <si>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</si>
  <si>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</si>
  <si>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</si>
  <si>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</si>
  <si>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</si>
  <si>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</si>
  <si>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</si>
  <si>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</si>
  <si>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</si>
  <si>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</si>
  <si>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</si>
  <si>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</si>
  <si>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</si>
  <si>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</si>
  <si>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</si>
  <si>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</si>
  <si>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</si>
  <si>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</si>
  <si>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</si>
  <si>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</si>
  <si>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</si>
  <si>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</si>
  <si>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</si>
  <si>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</si>
  <si>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</si>
  <si>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</si>
  <si>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</si>
  <si>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</si>
  <si>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</si>
  <si>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</si>
  <si>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</si>
  <si>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</si>
  <si>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</si>
  <si>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</si>
  <si>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</si>
  <si>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</si>
  <si>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</si>
  <si>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</si>
  <si>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</si>
  <si>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</si>
  <si>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</si>
  <si>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</si>
  <si>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</si>
  <si>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</si>
  <si>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</si>
  <si>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</si>
  <si>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</si>
  <si>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</si>
  <si>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</si>
  <si>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</si>
  <si>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</si>
  <si>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</si>
  <si>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</si>
  <si>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</si>
  <si>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</si>
  <si>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</si>
  <si>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</si>
  <si>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</si>
  <si>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</si>
  <si>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</si>
  <si>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</si>
  <si>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</si>
  <si>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</si>
  <si>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</si>
  <si>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</si>
  <si>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</si>
  <si>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</si>
  <si>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</si>
  <si>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</si>
  <si>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</si>
  <si>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</si>
  <si>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</si>
  <si>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</si>
  <si>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</si>
  <si>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</si>
  <si>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</si>
  <si>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</si>
  <si>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</si>
  <si>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</si>
  <si>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</si>
  <si>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</si>
  <si>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</si>
  <si>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</si>
  <si>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</si>
  <si>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</si>
  <si>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</si>
  <si>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</si>
  <si>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</si>
  <si>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</si>
  <si>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</si>
  <si>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</si>
  <si>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</si>
  <si>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</si>
  <si>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</si>
  <si>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</si>
  <si>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</si>
  <si>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</si>
  <si>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</si>
  <si>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</si>
  <si>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</si>
  <si>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</si>
  <si>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</si>
  <si>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</si>
  <si>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</si>
  <si>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</si>
  <si>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</si>
  <si>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</si>
  <si>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</si>
  <si>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</si>
  <si>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</si>
  <si>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</si>
  <si>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</si>
  <si>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</si>
  <si>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</si>
  <si>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</si>
  <si>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</si>
  <si>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</si>
  <si>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</si>
  <si>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</si>
  <si>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</si>
  <si>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</si>
  <si>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</si>
  <si>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</si>
  <si>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</si>
  <si>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</si>
  <si>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</si>
  <si>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</si>
  <si>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</si>
  <si>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</si>
  <si>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</si>
  <si>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</si>
  <si>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</si>
  <si>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</si>
  <si>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</si>
  <si>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</si>
  <si>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</si>
  <si>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</si>
  <si>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</si>
  <si>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</si>
  <si>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</si>
  <si>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</si>
  <si>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</si>
  <si>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</si>
  <si>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</si>
  <si>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</si>
  <si>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</si>
  <si>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</si>
  <si>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</si>
  <si>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</si>
  <si>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</si>
  <si>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</si>
  <si>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</si>
  <si>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</si>
  <si>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</si>
  <si>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</si>
  <si>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</si>
  <si>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</si>
  <si>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</si>
  <si>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</si>
  <si>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</si>
  <si>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</si>
  <si>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</si>
  <si>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</si>
  <si>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</si>
  <si>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</si>
  <si>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</si>
  <si>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</si>
  <si>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</si>
  <si>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</si>
  <si>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</si>
  <si>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</si>
  <si>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</si>
  <si>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</si>
  <si>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</si>
  <si>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</si>
  <si>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</si>
  <si>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</si>
  <si>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</si>
  <si>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</si>
  <si>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</si>
  <si>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</si>
  <si>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</si>
  <si>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</si>
  <si>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</si>
  <si>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</si>
  <si>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</si>
  <si>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</si>
  <si>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</si>
  <si>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</si>
  <si>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</si>
  <si>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</si>
  <si>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</si>
  <si>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</si>
  <si>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</si>
  <si>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</si>
  <si>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</si>
  <si>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</si>
  <si>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</si>
  <si>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</si>
  <si>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</si>
  <si>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</si>
  <si>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</si>
  <si>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</si>
  <si>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</si>
  <si>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</si>
  <si>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</si>
  <si>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</si>
  <si>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</si>
  <si>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</si>
  <si>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</si>
  <si>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</si>
  <si>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</si>
  <si>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</si>
  <si>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</si>
  <si>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</si>
  <si>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</si>
  <si>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</si>
  <si>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</si>
  <si>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</si>
  <si>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</si>
  <si>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</si>
  <si>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</si>
  <si>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</si>
  <si>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</si>
  <si>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</si>
  <si>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</si>
  <si>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</si>
  <si>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</si>
  <si>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</si>
  <si>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</si>
  <si>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</si>
  <si>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</si>
  <si>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</si>
  <si>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</si>
  <si>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</si>
  <si>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</si>
  <si>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</si>
  <si>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</si>
  <si>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</si>
  <si>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</si>
  <si>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</si>
  <si>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</si>
  <si>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</si>
  <si>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</si>
  <si>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</si>
  <si>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</si>
  <si>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</si>
  <si>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</si>
  <si>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</si>
  <si>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</si>
  <si>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</si>
  <si>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</si>
  <si>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</si>
  <si>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</si>
  <si>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</si>
  <si>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</si>
  <si>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</si>
  <si>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</si>
  <si>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</si>
  <si>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</si>
  <si>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</si>
  <si>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</si>
  <si>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</si>
  <si>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</si>
  <si>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</si>
  <si>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</si>
  <si>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</si>
  <si>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</si>
  <si>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</si>
  <si>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</si>
  <si>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</si>
  <si>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</si>
  <si>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</si>
  <si>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</si>
  <si>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</si>
  <si>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</si>
  <si>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</si>
  <si>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</si>
  <si>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</si>
  <si>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</si>
  <si>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</si>
  <si>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</si>
  <si>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</si>
  <si>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</si>
  <si>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</si>
  <si>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</si>
  <si>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</si>
  <si>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</si>
  <si>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</si>
  <si>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</si>
  <si>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</si>
  <si>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</si>
  <si>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</si>
  <si>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</si>
  <si>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</si>
  <si>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</si>
  <si>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</si>
  <si>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</si>
  <si>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</si>
  <si>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</si>
  <si>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</si>
  <si>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</si>
  <si>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</si>
  <si>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</si>
  <si>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</si>
  <si>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</si>
  <si>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</si>
  <si>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</si>
  <si>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</si>
  <si>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</si>
  <si>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</si>
  <si>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</si>
  <si>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</si>
  <si>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</si>
  <si>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</si>
  <si>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</si>
  <si>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</si>
  <si>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</si>
  <si>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</si>
  <si>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</si>
  <si>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</si>
  <si>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</si>
  <si>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</si>
  <si>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</si>
  <si>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</si>
  <si>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</si>
  <si>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</si>
  <si>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</si>
  <si>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</si>
  <si>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</si>
  <si>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</si>
  <si>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</si>
  <si>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</si>
  <si>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</si>
  <si>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</si>
  <si>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</si>
  <si>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</si>
  <si>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</si>
  <si>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</si>
  <si>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</si>
  <si>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</si>
  <si>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</si>
  <si>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</si>
  <si>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</si>
  <si>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</si>
  <si>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</si>
  <si>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</si>
  <si>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</si>
  <si>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</si>
  <si>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</si>
  <si>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</si>
  <si>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</si>
  <si>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</si>
  <si>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</si>
  <si>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</si>
  <si>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</si>
  <si>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</si>
  <si>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</si>
  <si>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</si>
  <si>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</si>
  <si>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</si>
  <si>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</si>
  <si>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</si>
  <si>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</si>
  <si>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</si>
  <si>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</si>
  <si>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</si>
  <si>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</si>
  <si>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</si>
  <si>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</si>
  <si>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</si>
  <si>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</si>
  <si>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</si>
  <si>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</si>
  <si>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</si>
  <si>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</si>
  <si>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</si>
  <si>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</si>
  <si>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</si>
  <si>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</si>
  <si>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</si>
  <si>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</si>
  <si>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</si>
  <si>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</si>
  <si>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</si>
  <si>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</si>
  <si>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</si>
  <si>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</si>
  <si>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</si>
  <si>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</si>
  <si>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</si>
  <si>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</si>
  <si>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</si>
  <si>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</si>
  <si>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</si>
  <si>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</si>
  <si>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</si>
  <si>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</si>
  <si>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</si>
  <si>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</si>
  <si>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</si>
  <si>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</si>
  <si>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</si>
  <si>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</si>
  <si>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</si>
  <si>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</si>
  <si>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</si>
  <si>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</si>
  <si>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</si>
  <si>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</si>
  <si>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</si>
  <si>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</si>
  <si>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</si>
  <si>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</si>
  <si>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</si>
  <si>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</si>
  <si>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</si>
  <si>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</si>
  <si>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</si>
  <si>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</si>
  <si>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</si>
  <si>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</si>
  <si>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</si>
  <si>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</si>
  <si>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</si>
  <si>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</si>
  <si>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</si>
  <si>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</si>
  <si>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</si>
  <si>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</si>
  <si>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</si>
  <si>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</si>
  <si>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</si>
  <si>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</si>
  <si>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</si>
  <si>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</si>
  <si>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</si>
  <si>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</si>
  <si>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</si>
  <si>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</si>
  <si>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</si>
  <si>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</si>
  <si>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</si>
  <si>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</si>
  <si>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</si>
  <si>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</si>
  <si>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</si>
  <si>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</si>
  <si>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</si>
  <si>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</si>
  <si>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</si>
  <si>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</si>
  <si>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</si>
  <si>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</si>
  <si>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</si>
  <si>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</si>
  <si>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</si>
  <si>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</si>
  <si>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</si>
  <si>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</si>
  <si>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</si>
  <si>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</si>
  <si>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</si>
  <si>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</si>
  <si>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</si>
  <si>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</si>
  <si>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</si>
  <si>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</si>
  <si>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</si>
  <si>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</si>
  <si>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</si>
  <si>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</si>
  <si>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</si>
  <si>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</si>
  <si>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</si>
  <si>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</si>
  <si>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</si>
  <si>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</si>
  <si>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</si>
  <si>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</si>
  <si>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</si>
  <si>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</si>
  <si>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</si>
  <si>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</si>
  <si>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</si>
  <si>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</si>
  <si>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</si>
  <si>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</si>
  <si>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</si>
  <si>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</si>
  <si>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</si>
  <si>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</si>
  <si>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</si>
  <si>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</si>
  <si>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</si>
  <si>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</si>
  <si>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</si>
  <si>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</si>
  <si>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</si>
  <si>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</si>
  <si>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</si>
  <si>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</si>
  <si>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</si>
  <si>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</si>
  <si>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</si>
  <si>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</si>
  <si>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</si>
  <si>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</si>
  <si>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</si>
  <si>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</si>
  <si>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</si>
  <si>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</si>
  <si>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</si>
  <si>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</si>
  <si>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</si>
  <si>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</si>
  <si>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</si>
  <si>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</si>
  <si>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</si>
  <si>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</si>
  <si>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</si>
  <si>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</si>
  <si>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</si>
  <si>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</si>
  <si>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</si>
  <si>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</si>
  <si>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</si>
  <si>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</si>
  <si>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</si>
  <si>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</si>
  <si>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</si>
  <si>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</si>
  <si>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</si>
  <si>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</si>
  <si>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</si>
  <si>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</si>
  <si>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</si>
  <si>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</si>
  <si>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</si>
  <si>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</si>
  <si>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</si>
  <si>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</si>
  <si>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</si>
  <si>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</si>
  <si>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</si>
  <si>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</si>
  <si>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</si>
  <si>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</si>
  <si>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</si>
  <si>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</si>
  <si>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</si>
  <si>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</si>
  <si>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</si>
  <si>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</si>
  <si>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</si>
  <si>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</si>
  <si>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</si>
  <si>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</si>
  <si>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</si>
  <si>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</si>
  <si>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</si>
  <si>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</si>
  <si>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</si>
  <si>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</si>
  <si>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</si>
  <si>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</si>
  <si>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</si>
  <si>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</si>
  <si>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</si>
  <si>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</si>
  <si>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</si>
  <si>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</si>
  <si>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</si>
  <si>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</si>
  <si>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</si>
  <si>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</si>
  <si>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</si>
  <si>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</si>
  <si>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</si>
  <si>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</si>
  <si>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</si>
  <si>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</si>
  <si>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</si>
  <si>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</si>
  <si>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</si>
  <si>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</si>
  <si>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</si>
  <si>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</si>
  <si>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</si>
  <si>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</si>
  <si>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</si>
  <si>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</si>
  <si>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</si>
  <si>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</si>
  <si>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</si>
  <si>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</si>
  <si>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</si>
  <si>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</si>
  <si>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</si>
  <si>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</si>
  <si>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</si>
  <si>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</si>
  <si>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</si>
  <si>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</si>
  <si>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</si>
  <si>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</si>
  <si>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</si>
  <si>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</si>
  <si>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</si>
  <si>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</si>
  <si>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</si>
  <si>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</si>
  <si>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</si>
  <si>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</si>
  <si>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</si>
  <si>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</si>
  <si>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</si>
  <si>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</si>
  <si>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</si>
  <si>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</si>
  <si>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</si>
  <si>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</si>
  <si>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</si>
  <si>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</si>
  <si>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</si>
  <si>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</si>
  <si>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</si>
  <si>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</si>
  <si>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</si>
  <si>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</si>
  <si>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</si>
  <si>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</si>
  <si>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</si>
  <si>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</si>
  <si>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</si>
  <si>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</si>
  <si>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</si>
  <si>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</si>
  <si>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</si>
  <si>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</si>
  <si>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</si>
  <si>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</si>
  <si>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</si>
  <si>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</si>
  <si>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</si>
  <si>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</si>
  <si>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</si>
  <si>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</si>
  <si>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</si>
  <si>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</si>
  <si>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</si>
  <si>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</si>
  <si>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</si>
  <si>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</si>
  <si>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CHRISTIAN</t>
  </si>
  <si>
    <t>202 PRAIRIE, PO BOX 46</t>
  </si>
  <si>
    <t>MORRISONVILLE</t>
  </si>
  <si>
    <t>Angie.Armour@midstatespec.org</t>
  </si>
  <si>
    <t>62546-0046</t>
  </si>
  <si>
    <t>ANGELA ARMOUR</t>
  </si>
  <si>
    <t>217-526-8121</t>
  </si>
  <si>
    <t>217-526-8205</t>
  </si>
  <si>
    <t>JULIE WOLLERMAN</t>
  </si>
  <si>
    <t>juliewollerman@roe3.org</t>
  </si>
  <si>
    <t>618-283-5011</t>
  </si>
  <si>
    <t>618-283-5013</t>
  </si>
  <si>
    <t>Outsource: Steve Sheedy</t>
  </si>
  <si>
    <t>Outsource: Direct Energy, Constellation Energy</t>
  </si>
  <si>
    <t>Outsource: Schmedeke Lawn Care; Garella Pest Service</t>
  </si>
  <si>
    <t>Outsource: Prairie State Insurance Coop; Egyptian Trust</t>
  </si>
  <si>
    <t>Outsource: Teuth, Keeney Cooper, Mohan &amp; Jackstadt</t>
  </si>
  <si>
    <t>Outsource: Therakids (OT, PT)</t>
  </si>
  <si>
    <t>Outsource: Computer Techniques, Inc.</t>
  </si>
  <si>
    <t>Outsource: Bushue Human Resources</t>
  </si>
  <si>
    <t>U.S. Department of Education</t>
  </si>
  <si>
    <t>Special Education Cluster</t>
  </si>
  <si>
    <t>Passed through Illinois State Board of Education</t>
  </si>
  <si>
    <t>(M)Federal - Special Education - IDEA Pre-School Flow Through</t>
  </si>
  <si>
    <t>84.173A</t>
  </si>
  <si>
    <t>2018-4600</t>
  </si>
  <si>
    <t>2019-4600</t>
  </si>
  <si>
    <t>Total Federal - Special Education - IDEA Pre-School Flow Through</t>
  </si>
  <si>
    <t>(M)Federal - Special Education - IDEA Flow Through</t>
  </si>
  <si>
    <t>84.027A</t>
  </si>
  <si>
    <t>2018-4620</t>
  </si>
  <si>
    <t>2019-4620</t>
  </si>
  <si>
    <t>Total Federal - Special Education - IDEA Flow Through</t>
  </si>
  <si>
    <t>Total Special Education Cluster</t>
  </si>
  <si>
    <t>Total U.S. Department of Education</t>
  </si>
  <si>
    <t>U.S. Department of Health and Human Services</t>
  </si>
  <si>
    <t>Passed through Illinois Department of Healthcare and Family Services</t>
  </si>
  <si>
    <t>Medicaid Matching Administrative Outreach</t>
  </si>
  <si>
    <t>Total U.S. Department of Health and Human Services</t>
  </si>
  <si>
    <t xml:space="preserve">Total Federal Financial Assistance </t>
  </si>
  <si>
    <t>Special Education-Pre-School Flow Through FY 19</t>
  </si>
  <si>
    <t>Taylorville Community Unit School District 3</t>
  </si>
  <si>
    <t>Special Education-Pre-School Flow Through FY 18</t>
  </si>
  <si>
    <t>Amounts Paid to Subrecipients not claimed as Federal Expenditures</t>
  </si>
  <si>
    <t>Special Education-Federal IDEA Flow Through FY 18</t>
  </si>
  <si>
    <t>Special Education-Federal IDEA Flow Through FY 19</t>
  </si>
  <si>
    <t>Brownstown Community Unit School District 201</t>
  </si>
  <si>
    <t>Mulberry Grove Community Unit School District 1</t>
  </si>
  <si>
    <t>Bond County Community Unit School District 2</t>
  </si>
  <si>
    <t>Pana Community Unit School District 8</t>
  </si>
  <si>
    <t>Ramsey Community Unit School District 204</t>
  </si>
  <si>
    <t>Taylorville Community unit School District 3</t>
  </si>
  <si>
    <t>St. Emo Community Unit School District 202</t>
  </si>
  <si>
    <t>Total Amounts Passed Through to Sub-Recipients</t>
  </si>
  <si>
    <t>None</t>
  </si>
  <si>
    <t>2018-4991</t>
  </si>
  <si>
    <t>2019-4991</t>
  </si>
  <si>
    <t>N/A</t>
  </si>
  <si>
    <t>The accompanying Schedule of Expenditures of Federal Awards includes the federal grant activity of Mid-State Special Education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</si>
  <si>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Of the federal expenditures presented in the schedule, Mid-State Special Education</t>
    </r>
    <r>
      <rPr>
        <sz val="9"/>
        <rFont val="Calibri"/>
        <family val="2"/>
        <scheme val="minor"/>
      </rPr>
      <t xml:space="preserve"> provided federal awards to subrecipients as follows:</t>
    </r>
  </si>
  <si>
    <t>Vandalia Community Unit School District 203</t>
  </si>
  <si>
    <r>
      <t xml:space="preserve">The following amounts were expended in the form of non-cash assistance by Mid-State Special Education and </t>
    </r>
    <r>
      <rPr>
        <b/>
        <sz val="9"/>
        <rFont val="Calibri"/>
        <family val="2"/>
        <scheme val="minor"/>
      </rPr>
      <t>should be</t>
    </r>
    <r>
      <rPr>
        <sz val="9"/>
        <rFont val="Calibri"/>
        <family val="2"/>
        <scheme val="minor"/>
      </rPr>
      <t xml:space="preserve"> included in the Schedule of Expenditures of Federal Awards:</t>
    </r>
  </si>
  <si>
    <t>x</t>
  </si>
  <si>
    <t>Unmodified</t>
  </si>
  <si>
    <t>84.027A &amp; 84.173A</t>
  </si>
  <si>
    <t>SPECIAL EDUCATION CLUSTER</t>
  </si>
  <si>
    <t>Financial reports could not be timely provided and delayed the audit process.</t>
  </si>
  <si>
    <t>Accounting duties were not timely performed due to staff turnover.</t>
  </si>
  <si>
    <t xml:space="preserve">Financial reports for the year ended June 30, 2019 were not finalized until November 2019. </t>
  </si>
  <si>
    <t>Internal controls over financial reporting should require that accounting staff be cross-trained in general ledger and financial reporting duties to ensure that the financial reporting processes are uninterrupted in the event of staff turnover.</t>
  </si>
  <si>
    <t>The Illinois School Code requires the Joint Agreement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</si>
  <si>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The Joint Agreement did not meet the notification requirements with the adoption of the original budget.</t>
  </si>
  <si>
    <t>The Joint Agreement did not comply with the Illinois School Code in the adoption of its original budget.</t>
  </si>
  <si>
    <t>The lack of publication was an oversight by Joint Agreement personnel.</t>
  </si>
  <si>
    <t>The budget adoption process should be reviewed to ensure that procedures are established to meet publication requirements.</t>
  </si>
  <si>
    <t>2018-001</t>
  </si>
  <si>
    <t>Financial reports, bank reconciliations and payroll liability reconciliations were not timely prepared during fiscal year 2018.</t>
  </si>
  <si>
    <t>Accounting positions were not adequately staffed and financial reports were not timely prepared during fiscal year 2019.</t>
  </si>
  <si>
    <t>Financial reports were not timely prepared during fiscal year 2019;  however, the reconciliation processes were more timely.</t>
  </si>
  <si>
    <t>Rounding</t>
  </si>
  <si>
    <t>Internal controls over financial reporting should be designed to ensure that accounting positions are adequately staffed.</t>
  </si>
  <si>
    <t>Special Education Cluster - IDEA</t>
  </si>
  <si>
    <t>This finding pertains to the original budget.</t>
  </si>
  <si>
    <t>20.  See Schedules of Findings and Questioned Costs</t>
  </si>
  <si>
    <t>Page 11, Line 107, "Other Local Revenues"</t>
  </si>
  <si>
    <t xml:space="preserve">  Educational Fund</t>
  </si>
  <si>
    <t xml:space="preserve">    Vendor payments from Department of Human Services $194,868</t>
  </si>
  <si>
    <t xml:space="preserve">    Miscellaneous Sources  $210</t>
  </si>
  <si>
    <t xml:space="preserve">Cross training is in progress for all functions, including general ledger and financial reporting duties, of the Business Office.  Although the Business Office only has two full-time employees, the Executive Secretary is also being trained to complete several critical tasks.  The former Comptroller was employed part-time in early FY19 due to a need for expertise and additional staffing.  She continues to provide critical consultation and necessary training to the new Business Manager who started in late August as well as assist with specific financial projects.  Given organizational changes effective for FY20, it is the goal of the Executive Committee and Management that the reduced number of Business Office staff will be able to adequately and timely complete all responsibilities following the conclusion of the transition and given continued training. </t>
  </si>
  <si>
    <t>Our tests revealed no noncompliance or internal control over compliance findings and no questioned costs.</t>
  </si>
  <si>
    <t>The oversight by personnel has been corrected.  The Executive Secretary, Business Manager, and Director have a recurring calendar reminder to publish the notice at least 30 days prior to the Governing Board meeting where the budget hearing occurs in early July for the new fiscal year budget and in February for the amended budget.  Evidence of legal notices document publication on 2/21/19 and 5/26/19 since the error occurred.</t>
  </si>
  <si>
    <t>Therakids</t>
  </si>
  <si>
    <t>ED-Support Services Pupils-Purchased Services</t>
  </si>
  <si>
    <t>Tueth, Keeney, Cooper, Mohan &amp; Jackstadt</t>
  </si>
  <si>
    <t>ED-Support Services General Admin-Purchased Services</t>
  </si>
  <si>
    <t>Computer Techniques, Inc.</t>
  </si>
  <si>
    <t>10-2300-300</t>
  </si>
  <si>
    <t>10-2100-300</t>
  </si>
  <si>
    <t>ED-Central Data Processing Services-Purchased Services</t>
  </si>
  <si>
    <t>10-2660-300</t>
  </si>
  <si>
    <t>Brecht's Database Solutions, Inc.</t>
  </si>
  <si>
    <t>Mid-State Spec Educ Jnt Agr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</si>
</sst>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
      <left style="thin">
        <color indexed="64"/>
      </left>
      <right style="thin">
        <color indexed="64"/>
      </right>
      <top style="thin">
        <color indexed="64"/>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 fontId="62" fillId="0" borderId="165"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64" fillId="0" borderId="165"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166" xfId="3" applyNumberFormat="1" applyFont="1" applyBorder="1" applyAlignment="1" applyProtection="1">
      <alignment horizontal="center"/>
      <protection locked="0"/>
    </xf>
    <xf numFmtId="0" fontId="54" fillId="0" borderId="147" xfId="3" applyFont="1" applyBorder="1" applyProtection="1">
      <protection locked="0"/>
    </xf>
    <xf numFmtId="0" fontId="54" fillId="0" borderId="0" xfId="3" applyFont="1" applyAlignment="1" applyProtection="1">
      <alignment horizontal="center" vertical="center"/>
    </xf>
    <xf numFmtId="0" fontId="54" fillId="0" borderId="0" xfId="3" applyNumberFormat="1" applyFont="1" applyAlignment="1" applyProtection="1">
      <alignment horizontal="center" vertical="center" wrapText="1"/>
    </xf>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wrapText="1"/>
      <protection locked="0"/>
    </xf>
    <xf numFmtId="0" fontId="57" fillId="0" borderId="0" xfId="3" applyFont="1" applyBorder="1" applyAlignment="1" applyProtection="1">
      <alignment vertical="top"/>
      <protection locked="0"/>
    </xf>
    <xf numFmtId="0" fontId="57" fillId="0" borderId="0" xfId="3" applyFont="1" applyAlignment="1" applyProtection="1">
      <alignment vertical="top"/>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wrapText="1"/>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3" fontId="54"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3" fontId="54" fillId="0" borderId="16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wrapText="1"/>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1</xdr:col>
          <xdr:colOff>895350</xdr:colOff>
          <xdr:row>4</xdr:row>
          <xdr:rowOff>123825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85725</xdr:rowOff>
        </xdr:from>
        <xdr:to>
          <xdr:col>1</xdr:col>
          <xdr:colOff>1905000</xdr:colOff>
          <xdr:row>4</xdr:row>
          <xdr:rowOff>123825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47625</xdr:rowOff>
        </xdr:from>
        <xdr:to>
          <xdr:col>1</xdr:col>
          <xdr:colOff>895350</xdr:colOff>
          <xdr:row>9</xdr:row>
          <xdr:rowOff>85725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0</xdr:row>
          <xdr:rowOff>95250</xdr:rowOff>
        </xdr:from>
        <xdr:to>
          <xdr:col>1</xdr:col>
          <xdr:colOff>2924175</xdr:colOff>
          <xdr:row>4</xdr:row>
          <xdr:rowOff>133350</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28575</xdr:rowOff>
        </xdr:from>
        <xdr:to>
          <xdr:col>1</xdr:col>
          <xdr:colOff>1914525</xdr:colOff>
          <xdr:row>9</xdr:row>
          <xdr:rowOff>57150</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5</xdr:row>
          <xdr:rowOff>38100</xdr:rowOff>
        </xdr:from>
        <xdr:to>
          <xdr:col>1</xdr:col>
          <xdr:colOff>2924175</xdr:colOff>
          <xdr:row>9</xdr:row>
          <xdr:rowOff>66675</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24" t="s">
        <v>405</v>
      </c>
      <c r="J1" s="2025"/>
      <c r="K1" s="2025"/>
      <c r="L1" s="2025"/>
      <c r="M1" s="2025"/>
      <c r="N1" s="2025"/>
      <c r="O1" s="2025"/>
      <c r="P1" s="2025"/>
      <c r="Q1" s="2025"/>
      <c r="R1" s="2025"/>
      <c r="S1" s="2025"/>
    </row>
    <row r="2" spans="1:28" ht="12" customHeight="1" x14ac:dyDescent="0.2">
      <c r="A2" s="47" t="s">
        <v>1987</v>
      </c>
      <c r="D2" s="48"/>
      <c r="I2" s="2026" t="s">
        <v>979</v>
      </c>
      <c r="J2" s="2025"/>
      <c r="K2" s="2025"/>
      <c r="L2" s="2025"/>
      <c r="M2" s="2025"/>
      <c r="N2" s="2025"/>
      <c r="O2" s="2025"/>
      <c r="P2" s="2025"/>
      <c r="Q2" s="2025"/>
      <c r="R2" s="2025"/>
      <c r="S2" s="2025"/>
    </row>
    <row r="3" spans="1:28" ht="12" customHeight="1" x14ac:dyDescent="0.2">
      <c r="A3" s="155" t="s">
        <v>1939</v>
      </c>
      <c r="B3" s="156"/>
      <c r="C3" s="156"/>
      <c r="D3" s="157"/>
      <c r="I3" s="2026" t="s">
        <v>52</v>
      </c>
      <c r="J3" s="2025"/>
      <c r="K3" s="2025"/>
      <c r="L3" s="2025"/>
      <c r="M3" s="2025"/>
      <c r="N3" s="2025"/>
      <c r="O3" s="2025"/>
      <c r="P3" s="2025"/>
      <c r="Q3" s="2025"/>
      <c r="R3" s="2025"/>
      <c r="S3" s="2025"/>
    </row>
    <row r="4" spans="1:28" ht="12" customHeight="1" x14ac:dyDescent="0.2">
      <c r="A4" s="37"/>
      <c r="I4" s="2026" t="s">
        <v>524</v>
      </c>
      <c r="J4" s="2025"/>
      <c r="K4" s="2025"/>
      <c r="L4" s="2025"/>
      <c r="M4" s="2025"/>
      <c r="N4" s="2025"/>
      <c r="O4" s="2025"/>
      <c r="P4" s="2025"/>
      <c r="Q4" s="2025"/>
      <c r="R4" s="2025"/>
      <c r="S4" s="2025"/>
    </row>
    <row r="5" spans="1:28" ht="14.1" customHeight="1" x14ac:dyDescent="0.2">
      <c r="B5" s="104"/>
      <c r="C5" s="26" t="s">
        <v>910</v>
      </c>
      <c r="D5" s="84"/>
      <c r="E5" s="84"/>
      <c r="H5" s="38"/>
      <c r="I5" s="2033" t="s">
        <v>680</v>
      </c>
      <c r="J5" s="1982"/>
      <c r="K5" s="1982"/>
      <c r="L5" s="1982"/>
      <c r="M5" s="1982"/>
      <c r="N5" s="1982"/>
      <c r="O5" s="1982"/>
      <c r="P5" s="1982"/>
      <c r="Q5" s="1982"/>
      <c r="R5" s="1982"/>
      <c r="S5" s="1982"/>
    </row>
    <row r="6" spans="1:28" ht="14.1" customHeight="1" x14ac:dyDescent="0.2">
      <c r="B6" s="104" t="s">
        <v>2061</v>
      </c>
      <c r="C6" s="26" t="s">
        <v>911</v>
      </c>
      <c r="D6" s="84"/>
      <c r="E6" s="84"/>
      <c r="I6" s="2032" t="s">
        <v>883</v>
      </c>
      <c r="J6" s="1982"/>
      <c r="K6" s="1982"/>
      <c r="L6" s="1982"/>
      <c r="M6" s="1982"/>
      <c r="N6" s="1982"/>
      <c r="O6" s="1982"/>
      <c r="P6" s="1982"/>
      <c r="Q6" s="1982"/>
      <c r="R6" s="1982"/>
      <c r="S6" s="1982"/>
    </row>
    <row r="7" spans="1:28" ht="12.4"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674</v>
      </c>
      <c r="J9" s="2030"/>
      <c r="K9" s="2030"/>
      <c r="L9" s="2030"/>
      <c r="M9" s="2030"/>
      <c r="N9" s="2030"/>
      <c r="O9" s="2030"/>
      <c r="P9" s="2030"/>
      <c r="Q9" s="2030"/>
      <c r="R9" s="2030"/>
      <c r="S9" s="2031"/>
      <c r="T9" s="1978" t="s">
        <v>533</v>
      </c>
      <c r="U9" s="1979"/>
      <c r="V9" s="1979"/>
      <c r="W9" s="1979"/>
      <c r="X9" s="1979"/>
      <c r="Y9" s="1979"/>
      <c r="Z9" s="1979"/>
      <c r="AA9" s="1980"/>
    </row>
    <row r="10" spans="1:28" ht="13.7" customHeight="1" x14ac:dyDescent="0.2">
      <c r="A10" s="1987" t="s">
        <v>675</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955</v>
      </c>
      <c r="B11" s="1991"/>
      <c r="C11" s="1991"/>
      <c r="D11" s="1991"/>
      <c r="E11" s="1991"/>
      <c r="F11" s="1991"/>
      <c r="G11" s="1991"/>
      <c r="H11" s="1992"/>
      <c r="I11" s="27"/>
      <c r="J11" s="74"/>
      <c r="K11" s="27"/>
      <c r="O11" s="148" t="s">
        <v>2061</v>
      </c>
      <c r="P11" s="100" t="s">
        <v>201</v>
      </c>
      <c r="Q11" s="30"/>
      <c r="R11" s="28"/>
      <c r="S11" s="27"/>
      <c r="T11" s="1984"/>
      <c r="U11" s="1985"/>
      <c r="V11" s="1985"/>
      <c r="W11" s="1985"/>
      <c r="X11" s="1985"/>
      <c r="Y11" s="1985"/>
      <c r="Z11" s="1985"/>
      <c r="AA11" s="1986"/>
    </row>
    <row r="12" spans="1:28" ht="13.7"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7" customHeight="1" x14ac:dyDescent="0.2">
      <c r="A13" s="1998">
        <v>3011801060</v>
      </c>
      <c r="B13" s="1999"/>
      <c r="C13" s="1999"/>
      <c r="D13" s="1999"/>
      <c r="E13" s="1999"/>
      <c r="F13" s="1999"/>
      <c r="G13" s="1999"/>
      <c r="H13" s="2000"/>
      <c r="I13" s="31"/>
      <c r="J13" s="30"/>
      <c r="K13" s="28"/>
      <c r="L13" s="30"/>
      <c r="M13" s="30"/>
      <c r="N13" s="30"/>
      <c r="O13" s="30"/>
      <c r="P13" s="30"/>
      <c r="Q13" s="30"/>
      <c r="R13" s="30"/>
      <c r="S13" s="30"/>
      <c r="T13" s="2001" t="s">
        <v>2062</v>
      </c>
      <c r="U13" s="2002"/>
      <c r="V13" s="2002"/>
      <c r="W13" s="2002"/>
      <c r="X13" s="2002"/>
      <c r="Y13" s="2003"/>
      <c r="Z13" s="2003"/>
      <c r="AA13" s="200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7" customHeight="1" x14ac:dyDescent="0.2">
      <c r="A15" s="1996" t="s">
        <v>2072</v>
      </c>
      <c r="B15" s="1973"/>
      <c r="C15" s="1973"/>
      <c r="D15" s="1973"/>
      <c r="E15" s="1973"/>
      <c r="F15" s="1973"/>
      <c r="G15" s="1973"/>
      <c r="H15" s="1974"/>
      <c r="T15" s="1964" t="s">
        <v>2063</v>
      </c>
      <c r="U15" s="1965"/>
      <c r="V15" s="1965"/>
      <c r="W15" s="1965"/>
      <c r="X15" s="1965"/>
      <c r="Y15" s="2005"/>
      <c r="Z15" s="2005"/>
      <c r="AA15" s="2006"/>
    </row>
    <row r="16" spans="1:28" ht="13.7"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7" customHeight="1" x14ac:dyDescent="0.2">
      <c r="A17" s="1956" t="s">
        <v>2173</v>
      </c>
      <c r="B17" s="2022"/>
      <c r="C17" s="2022"/>
      <c r="D17" s="2022"/>
      <c r="E17" s="2022"/>
      <c r="F17" s="2022"/>
      <c r="G17" s="2022"/>
      <c r="H17" s="2023"/>
      <c r="T17" s="2009" t="s">
        <v>2064</v>
      </c>
      <c r="U17" s="2010"/>
      <c r="V17" s="2010"/>
      <c r="W17" s="2010"/>
      <c r="X17" s="2010"/>
      <c r="Y17" s="2010"/>
      <c r="Z17" s="2010"/>
      <c r="AA17" s="2011"/>
    </row>
    <row r="18" spans="1:27" ht="13.7" customHeight="1" x14ac:dyDescent="0.2">
      <c r="A18" s="85" t="s">
        <v>530</v>
      </c>
      <c r="B18" s="76"/>
      <c r="C18" s="72"/>
      <c r="D18" s="76"/>
      <c r="E18" s="76"/>
      <c r="F18" s="76"/>
      <c r="G18" s="76"/>
      <c r="H18" s="56"/>
      <c r="I18" s="2019" t="s">
        <v>676</v>
      </c>
      <c r="J18" s="2020"/>
      <c r="K18" s="2020"/>
      <c r="L18" s="2020"/>
      <c r="M18" s="2020"/>
      <c r="N18" s="2020"/>
      <c r="O18" s="2020"/>
      <c r="P18" s="2020"/>
      <c r="Q18" s="2020"/>
      <c r="R18" s="2020"/>
      <c r="S18" s="2021"/>
      <c r="T18" s="85" t="s">
        <v>711</v>
      </c>
      <c r="U18" s="51"/>
      <c r="V18" s="72"/>
      <c r="W18" s="50"/>
      <c r="X18" s="85" t="s">
        <v>266</v>
      </c>
      <c r="Y18" s="81"/>
      <c r="Z18" s="159" t="s">
        <v>677</v>
      </c>
      <c r="AA18" s="46"/>
    </row>
    <row r="19" spans="1:27" ht="13.7" customHeight="1" x14ac:dyDescent="0.2">
      <c r="A19" s="1996" t="s">
        <v>2073</v>
      </c>
      <c r="B19" s="1997"/>
      <c r="C19" s="1997"/>
      <c r="D19" s="1997"/>
      <c r="E19" s="1997"/>
      <c r="F19" s="1997"/>
      <c r="G19" s="1997"/>
      <c r="H19" s="1995"/>
      <c r="I19" s="30"/>
      <c r="J19" s="99"/>
      <c r="K19" s="40"/>
      <c r="L19" s="38"/>
      <c r="M19" s="112" t="s">
        <v>315</v>
      </c>
      <c r="P19" s="27"/>
      <c r="Q19" s="27"/>
      <c r="R19" s="27"/>
      <c r="S19" s="31"/>
      <c r="T19" s="1996" t="s">
        <v>2065</v>
      </c>
      <c r="U19" s="1994"/>
      <c r="V19" s="1994"/>
      <c r="W19" s="1995"/>
      <c r="X19" s="2008" t="s">
        <v>2066</v>
      </c>
      <c r="Y19" s="1994"/>
      <c r="Z19" s="2007">
        <v>62565</v>
      </c>
      <c r="AA19" s="1995"/>
    </row>
    <row r="20" spans="1:27" ht="13.7"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7" customHeight="1" x14ac:dyDescent="0.2">
      <c r="A21" s="1993" t="s">
        <v>2074</v>
      </c>
      <c r="B21" s="1994"/>
      <c r="C21" s="1994"/>
      <c r="D21" s="1994"/>
      <c r="E21" s="1994"/>
      <c r="F21" s="1994"/>
      <c r="G21" s="1994"/>
      <c r="H21" s="1995"/>
      <c r="I21" s="2015" t="s">
        <v>678</v>
      </c>
      <c r="J21" s="1982"/>
      <c r="K21" s="1982"/>
      <c r="L21" s="1982"/>
      <c r="M21" s="1982"/>
      <c r="N21" s="1982"/>
      <c r="O21" s="1982"/>
      <c r="P21" s="1982"/>
      <c r="Q21" s="1982"/>
      <c r="R21" s="1982"/>
      <c r="S21" s="1983"/>
      <c r="T21" s="1961" t="s">
        <v>2067</v>
      </c>
      <c r="U21" s="1962"/>
      <c r="V21" s="1962"/>
      <c r="W21" s="1962"/>
      <c r="X21" s="1975" t="s">
        <v>2068</v>
      </c>
      <c r="Y21" s="1976"/>
      <c r="Z21" s="1976"/>
      <c r="AA21" s="1977"/>
    </row>
    <row r="22" spans="1:27" ht="13.7" customHeight="1" x14ac:dyDescent="0.2">
      <c r="A22" s="87" t="s">
        <v>531</v>
      </c>
      <c r="B22" s="59"/>
      <c r="C22" s="59"/>
      <c r="D22" s="59"/>
      <c r="E22" s="59"/>
      <c r="F22" s="59"/>
      <c r="G22" s="59"/>
      <c r="H22" s="60"/>
      <c r="I22" s="2016" t="s">
        <v>1429</v>
      </c>
      <c r="J22" s="2017"/>
      <c r="K22" s="2017"/>
      <c r="L22" s="2017"/>
      <c r="M22" s="2017"/>
      <c r="N22" s="2017"/>
      <c r="O22" s="2017"/>
      <c r="P22" s="2017"/>
      <c r="Q22" s="2017"/>
      <c r="R22" s="2017"/>
      <c r="S22" s="2018"/>
      <c r="T22" s="85" t="s">
        <v>1516</v>
      </c>
      <c r="U22" s="51"/>
      <c r="V22" s="72"/>
      <c r="W22" s="51"/>
      <c r="X22" s="160" t="s">
        <v>1318</v>
      </c>
      <c r="Z22" s="45"/>
      <c r="AA22" s="46"/>
    </row>
    <row r="23" spans="1:27" ht="13.7" customHeight="1" x14ac:dyDescent="0.2">
      <c r="A23" s="2012" t="s">
        <v>2075</v>
      </c>
      <c r="B23" s="2013"/>
      <c r="C23" s="2013"/>
      <c r="D23" s="2013"/>
      <c r="E23" s="2013"/>
      <c r="F23" s="2013"/>
      <c r="G23" s="2013"/>
      <c r="H23" s="2014"/>
      <c r="T23" s="1956" t="s">
        <v>2069</v>
      </c>
      <c r="U23" s="1957"/>
      <c r="V23" s="1957"/>
      <c r="W23" s="1957"/>
      <c r="X23" s="1972">
        <v>44530</v>
      </c>
      <c r="Y23" s="1973"/>
      <c r="Z23" s="1973"/>
      <c r="AA23" s="1974"/>
    </row>
    <row r="24" spans="1:27" ht="14.1" customHeight="1" x14ac:dyDescent="0.2">
      <c r="A24" s="88" t="s">
        <v>677</v>
      </c>
      <c r="B24" s="49"/>
      <c r="C24" s="49"/>
      <c r="D24" s="49"/>
      <c r="E24" s="49"/>
      <c r="F24" s="49"/>
      <c r="G24" s="49"/>
      <c r="H24" s="61"/>
      <c r="J24" s="2065" t="str">
        <f>IF(B5="x",IF(AUDITCHECK!D29="AFR form Incomplete.","",IF(AUDITCHECK!D29="Deficit reduction plan is required.","School District must complete a deficit reduction plan in the 2019-2020 Budget",)),"")</f>
        <v/>
      </c>
      <c r="K24" s="2065"/>
      <c r="L24" s="2065"/>
      <c r="M24" s="2065"/>
      <c r="N24" s="2065"/>
      <c r="O24" s="2065"/>
      <c r="P24" s="2065"/>
      <c r="Q24" s="2065"/>
      <c r="R24" s="2065"/>
      <c r="S24" s="2066"/>
      <c r="T24" s="105" t="s">
        <v>531</v>
      </c>
      <c r="U24" s="106"/>
      <c r="V24" s="106"/>
      <c r="W24" s="106"/>
      <c r="X24" s="107"/>
      <c r="Y24" s="107"/>
      <c r="Z24" s="107"/>
      <c r="AA24" s="108"/>
    </row>
    <row r="25" spans="1:27" ht="14.1" customHeight="1" x14ac:dyDescent="0.2">
      <c r="A25" s="1993" t="s">
        <v>2076</v>
      </c>
      <c r="B25" s="1994"/>
      <c r="C25" s="1994"/>
      <c r="D25" s="1994"/>
      <c r="E25" s="1994"/>
      <c r="F25" s="1994"/>
      <c r="G25" s="1994"/>
      <c r="H25" s="1995"/>
      <c r="I25" s="113"/>
      <c r="J25" s="2067"/>
      <c r="K25" s="2067"/>
      <c r="L25" s="2067"/>
      <c r="M25" s="2067"/>
      <c r="N25" s="2067"/>
      <c r="O25" s="2067"/>
      <c r="P25" s="2067"/>
      <c r="Q25" s="2067"/>
      <c r="R25" s="2067"/>
      <c r="S25" s="2068"/>
      <c r="T25" s="1953" t="s">
        <v>2070</v>
      </c>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6" t="s">
        <v>1511</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2061</v>
      </c>
      <c r="K29" s="28" t="s">
        <v>576</v>
      </c>
      <c r="L29" s="148"/>
      <c r="M29" s="40" t="s">
        <v>99</v>
      </c>
      <c r="N29" s="32" t="s">
        <v>1523</v>
      </c>
      <c r="O29" s="32"/>
      <c r="P29" s="32"/>
      <c r="Q29" s="32"/>
      <c r="R29" s="32"/>
      <c r="S29" s="123"/>
      <c r="T29" s="6"/>
      <c r="U29" s="6"/>
      <c r="V29" s="6"/>
      <c r="W29" s="6"/>
      <c r="X29" s="6"/>
      <c r="Y29" s="6"/>
      <c r="Z29" s="6"/>
      <c r="AA29" s="132"/>
    </row>
    <row r="30" spans="1:27" ht="13.7"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7" customHeight="1" x14ac:dyDescent="0.2">
      <c r="A31" s="153"/>
      <c r="B31" s="136"/>
      <c r="C31" s="124" t="s">
        <v>1165</v>
      </c>
      <c r="D31" s="28"/>
      <c r="E31" s="28"/>
      <c r="F31" s="28"/>
      <c r="G31" s="28"/>
      <c r="H31" s="28"/>
      <c r="I31" s="54"/>
      <c r="J31" s="148" t="s">
        <v>2061</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7" customHeight="1" x14ac:dyDescent="0.2">
      <c r="A35" s="54"/>
      <c r="B35" s="30"/>
      <c r="C35" s="30"/>
      <c r="D35" s="34"/>
      <c r="E35" s="34"/>
      <c r="F35" s="34"/>
      <c r="G35" s="34"/>
      <c r="H35" s="34"/>
      <c r="I35" s="54"/>
      <c r="J35" s="33"/>
      <c r="L35" s="32" t="s">
        <v>708</v>
      </c>
      <c r="N35" s="33"/>
      <c r="O35" s="33"/>
      <c r="P35" s="2063"/>
      <c r="Q35" s="2064"/>
      <c r="R35" s="20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7"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7" customHeight="1" x14ac:dyDescent="0.2">
      <c r="A38" s="1956" t="s">
        <v>2077</v>
      </c>
      <c r="B38" s="2022"/>
      <c r="C38" s="2022"/>
      <c r="D38" s="2022"/>
      <c r="E38" s="2022"/>
      <c r="F38" s="1994"/>
      <c r="G38" s="1994"/>
      <c r="H38" s="1995"/>
      <c r="I38" s="2040"/>
      <c r="J38" s="2041"/>
      <c r="K38" s="2041"/>
      <c r="L38" s="2041"/>
      <c r="M38" s="2041"/>
      <c r="N38" s="2041"/>
      <c r="O38" s="2041"/>
      <c r="P38" s="2042"/>
      <c r="Q38" s="2042"/>
      <c r="R38" s="2042"/>
      <c r="S38" s="2043"/>
      <c r="T38" s="1964" t="s">
        <v>2080</v>
      </c>
      <c r="U38" s="1965"/>
      <c r="V38" s="1965"/>
      <c r="W38" s="1965"/>
      <c r="X38" s="1966"/>
      <c r="Y38" s="1966"/>
      <c r="Z38" s="1966"/>
      <c r="AA38" s="1967"/>
    </row>
    <row r="39" spans="1:27" ht="12" customHeight="1" x14ac:dyDescent="0.2">
      <c r="A39" s="2054" t="s">
        <v>531</v>
      </c>
      <c r="B39" s="2055"/>
      <c r="C39" s="72"/>
      <c r="D39" s="69"/>
      <c r="E39" s="69"/>
      <c r="F39" s="79"/>
      <c r="G39" s="69"/>
      <c r="H39" s="56"/>
      <c r="I39" s="2054" t="s">
        <v>531</v>
      </c>
      <c r="J39" s="2055"/>
      <c r="K39" s="2055"/>
      <c r="L39" s="2055"/>
      <c r="M39" s="2055"/>
      <c r="N39" s="67"/>
      <c r="O39" s="72"/>
      <c r="P39" s="72"/>
      <c r="Q39" s="78"/>
      <c r="R39" s="72"/>
      <c r="S39" s="56"/>
      <c r="T39" s="72" t="s">
        <v>531</v>
      </c>
      <c r="U39" s="51"/>
      <c r="V39" s="72"/>
      <c r="W39" s="50"/>
      <c r="X39" s="78"/>
      <c r="Y39" s="45"/>
      <c r="Z39" s="45"/>
      <c r="AA39" s="46"/>
    </row>
    <row r="40" spans="1:27" ht="13.7" customHeight="1" x14ac:dyDescent="0.2">
      <c r="A40" s="2057" t="s">
        <v>2075</v>
      </c>
      <c r="B40" s="2058"/>
      <c r="C40" s="2059"/>
      <c r="D40" s="2059"/>
      <c r="E40" s="2059"/>
      <c r="F40" s="2060"/>
      <c r="G40" s="2060"/>
      <c r="H40" s="2061"/>
      <c r="I40" s="2050"/>
      <c r="J40" s="2051"/>
      <c r="K40" s="2051"/>
      <c r="L40" s="2051"/>
      <c r="M40" s="2051"/>
      <c r="N40" s="2051"/>
      <c r="O40" s="2051"/>
      <c r="P40" s="2051"/>
      <c r="Q40" s="2051"/>
      <c r="R40" s="2051"/>
      <c r="S40" s="2052"/>
      <c r="T40" s="1968" t="s">
        <v>2081</v>
      </c>
      <c r="U40" s="1969"/>
      <c r="V40" s="1970"/>
      <c r="W40" s="1970"/>
      <c r="X40" s="1970"/>
      <c r="Y40" s="1970"/>
      <c r="Z40" s="1970"/>
      <c r="AA40" s="197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7" customHeight="1" x14ac:dyDescent="0.2">
      <c r="A42" s="1975" t="s">
        <v>2078</v>
      </c>
      <c r="B42" s="2038"/>
      <c r="C42" s="2039"/>
      <c r="D42" s="2062" t="s">
        <v>2079</v>
      </c>
      <c r="E42" s="2038"/>
      <c r="F42" s="2038"/>
      <c r="G42" s="2038"/>
      <c r="H42" s="2039"/>
      <c r="I42" s="2053"/>
      <c r="J42" s="2048"/>
      <c r="K42" s="2048"/>
      <c r="L42" s="2048"/>
      <c r="M42" s="2048"/>
      <c r="N42" s="2048"/>
      <c r="O42" s="2049"/>
      <c r="P42" s="2047"/>
      <c r="Q42" s="2048"/>
      <c r="R42" s="2048"/>
      <c r="S42" s="2049"/>
      <c r="T42" s="1963" t="s">
        <v>2082</v>
      </c>
      <c r="U42" s="1959"/>
      <c r="V42" s="1959"/>
      <c r="W42" s="1960"/>
      <c r="X42" s="1958" t="s">
        <v>2083</v>
      </c>
      <c r="Y42" s="1959"/>
      <c r="Z42" s="1959"/>
      <c r="AA42" s="196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7" customHeight="1" x14ac:dyDescent="0.2">
      <c r="A44" s="2044"/>
      <c r="B44" s="2045"/>
      <c r="C44" s="2045"/>
      <c r="D44" s="2045"/>
      <c r="E44" s="2045"/>
      <c r="F44" s="2045"/>
      <c r="G44" s="2045"/>
      <c r="H44" s="2046"/>
      <c r="I44" s="2034"/>
      <c r="J44" s="2036"/>
      <c r="K44" s="2036"/>
      <c r="L44" s="2036"/>
      <c r="M44" s="2036"/>
      <c r="N44" s="2036"/>
      <c r="O44" s="2036"/>
      <c r="P44" s="2036"/>
      <c r="Q44" s="2036"/>
      <c r="R44" s="2036"/>
      <c r="S44" s="2037"/>
      <c r="T44" s="2034"/>
      <c r="U44" s="2035"/>
      <c r="V44" s="2035"/>
      <c r="W44" s="2035"/>
      <c r="X44" s="2035"/>
      <c r="Y44" s="2035"/>
      <c r="Z44" s="2036"/>
      <c r="AA44" s="2037"/>
    </row>
    <row r="45" spans="1:27" ht="13.7"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29" t="s">
        <v>1611</v>
      </c>
    </row>
    <row r="23" spans="1:5" x14ac:dyDescent="0.2">
      <c r="A23" s="168"/>
      <c r="B23" s="162" t="s">
        <v>1852</v>
      </c>
      <c r="D23" s="167" t="s">
        <v>637</v>
      </c>
      <c r="E23" s="1829"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2" t="s">
        <v>1065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691</v>
      </c>
      <c r="B40" s="2069"/>
      <c r="C40" s="2069"/>
      <c r="D40" s="2069"/>
      <c r="E40" s="2069"/>
    </row>
    <row r="41" spans="1:5" x14ac:dyDescent="0.2">
      <c r="A41" s="2070" t="s">
        <v>1608</v>
      </c>
      <c r="B41" s="2070"/>
      <c r="C41" s="2070"/>
      <c r="D41" s="2070"/>
      <c r="E41" s="2070"/>
    </row>
    <row r="42" spans="1:5" ht="12.75" customHeight="1" x14ac:dyDescent="0.2">
      <c r="A42" s="2071" t="s">
        <v>1022</v>
      </c>
      <c r="B42" s="2071"/>
      <c r="C42" s="2071"/>
      <c r="D42" s="2071"/>
      <c r="E42" s="2071"/>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9499999999999993" customHeight="1" x14ac:dyDescent="0.2">
      <c r="A47" s="189"/>
      <c r="B47" s="188"/>
    </row>
    <row r="48" spans="1:5" x14ac:dyDescent="0.2">
      <c r="A48" s="169" t="s">
        <v>1612</v>
      </c>
      <c r="B48" s="169" t="s">
        <v>1617</v>
      </c>
      <c r="C48" s="177"/>
    </row>
    <row r="49" spans="1:3" ht="9.9499999999999993"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7"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7" customHeight="1" x14ac:dyDescent="0.2">
      <c r="A70" s="190"/>
      <c r="B70" s="188" t="s">
        <v>1778</v>
      </c>
    </row>
    <row r="71" spans="1:9" ht="12" customHeight="1" x14ac:dyDescent="0.2">
      <c r="A71" s="192"/>
      <c r="B71" s="1483"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4" customHeight="1" x14ac:dyDescent="0.2">
      <c r="A76" s="189" t="s">
        <v>1621</v>
      </c>
      <c r="B76" s="198" t="s">
        <v>1781</v>
      </c>
    </row>
    <row r="77" spans="1:9" ht="12.4"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4"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4" customHeight="1" x14ac:dyDescent="0.2">
      <c r="A2" s="2073" t="s">
        <v>1168</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7" t="s">
        <v>1633</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7" t="s">
        <v>313</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2071</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1323</v>
      </c>
      <c r="B70" s="2090"/>
      <c r="C70" s="2090"/>
      <c r="D70" s="2090"/>
      <c r="E70" s="2091"/>
      <c r="F70" s="2091"/>
      <c r="G70" s="2091"/>
      <c r="H70" s="2091"/>
      <c r="I70" s="209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95" customHeight="1" x14ac:dyDescent="0.2">
      <c r="A76" s="239" t="s">
        <v>1426</v>
      </c>
      <c r="B76" s="255"/>
      <c r="C76" s="256"/>
      <c r="D76" s="256"/>
      <c r="E76" s="256"/>
      <c r="F76" s="256"/>
      <c r="G76" s="256"/>
      <c r="H76" s="256"/>
    </row>
    <row r="77" spans="1:10" s="181" customFormat="1" x14ac:dyDescent="0.2">
      <c r="C77" s="179">
        <v>24</v>
      </c>
      <c r="D77" s="247" t="s">
        <v>1647</v>
      </c>
      <c r="G77" s="297" t="s">
        <v>1900</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1320</v>
      </c>
      <c r="B83" s="2092"/>
      <c r="C83" s="2092"/>
      <c r="D83" s="2093"/>
      <c r="E83" s="263" t="s">
        <v>1357</v>
      </c>
      <c r="F83" s="263" t="s">
        <v>1358</v>
      </c>
      <c r="G83" s="263" t="s">
        <v>1359</v>
      </c>
      <c r="H83" s="263" t="s">
        <v>1360</v>
      </c>
      <c r="I83" s="263" t="s">
        <v>1361</v>
      </c>
      <c r="J83" s="264" t="s">
        <v>156</v>
      </c>
    </row>
    <row r="84" spans="1:10" s="181" customFormat="1" ht="13.7" customHeight="1" thickTop="1" x14ac:dyDescent="0.2">
      <c r="A84" s="265" t="s">
        <v>1444</v>
      </c>
      <c r="B84" s="266"/>
      <c r="C84" s="267"/>
      <c r="D84" s="268"/>
      <c r="E84" s="269"/>
      <c r="F84" s="269"/>
      <c r="G84" s="269"/>
      <c r="H84" s="269"/>
      <c r="I84" s="269"/>
      <c r="J84" s="270"/>
    </row>
    <row r="85" spans="1:10" s="181" customFormat="1" ht="13.7" customHeight="1" x14ac:dyDescent="0.2">
      <c r="A85" s="271" t="s">
        <v>1923</v>
      </c>
      <c r="B85" s="272"/>
      <c r="C85" s="273"/>
      <c r="D85" s="274"/>
      <c r="E85" s="275"/>
      <c r="F85" s="276">
        <v>1</v>
      </c>
      <c r="G85" s="276"/>
      <c r="H85" s="276"/>
      <c r="I85" s="276"/>
      <c r="J85" s="277">
        <f>SUM(E85:I85)</f>
        <v>1</v>
      </c>
    </row>
    <row r="86" spans="1:10" s="181" customFormat="1" ht="13.7" customHeight="1" x14ac:dyDescent="0.2">
      <c r="A86" s="278"/>
      <c r="B86" s="279"/>
      <c r="C86" s="280"/>
      <c r="D86" s="281"/>
      <c r="E86" s="269"/>
      <c r="F86" s="269"/>
      <c r="G86" s="269"/>
      <c r="H86" s="269"/>
      <c r="I86" s="269"/>
      <c r="J86" s="270"/>
    </row>
    <row r="87" spans="1:10" s="181" customFormat="1" ht="13.7" customHeight="1" x14ac:dyDescent="0.2">
      <c r="A87" s="282" t="s">
        <v>1321</v>
      </c>
      <c r="B87" s="283"/>
      <c r="C87" s="284"/>
      <c r="D87" s="281"/>
      <c r="E87" s="269"/>
      <c r="F87" s="269"/>
      <c r="G87" s="269"/>
      <c r="H87" s="269"/>
      <c r="I87" s="269"/>
      <c r="J87" s="270"/>
    </row>
    <row r="88" spans="1:10" s="181" customFormat="1" ht="13.7" customHeight="1" x14ac:dyDescent="0.2">
      <c r="A88" s="285" t="s">
        <v>1923</v>
      </c>
      <c r="B88" s="286"/>
      <c r="C88" s="287"/>
      <c r="D88" s="288"/>
      <c r="E88" s="276"/>
      <c r="F88" s="276"/>
      <c r="G88" s="276"/>
      <c r="H88" s="276"/>
      <c r="I88" s="276"/>
      <c r="J88" s="277">
        <f>SUM(E88:I88)</f>
        <v>0</v>
      </c>
    </row>
    <row r="89" spans="1:10" s="181" customFormat="1" ht="13.7" customHeight="1" x14ac:dyDescent="0.2">
      <c r="A89" s="289"/>
      <c r="B89" s="290"/>
      <c r="C89" s="291"/>
      <c r="D89" s="288"/>
      <c r="E89" s="276"/>
      <c r="F89" s="276"/>
      <c r="G89" s="276"/>
      <c r="H89" s="276"/>
      <c r="I89" s="276"/>
      <c r="J89" s="292"/>
    </row>
    <row r="90" spans="1:10" s="181" customFormat="1" ht="13.7"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4" t="s">
        <v>2155</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2062</v>
      </c>
      <c r="D114" s="208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1330</v>
      </c>
      <c r="D117" s="2085"/>
      <c r="E117" s="2086"/>
      <c r="F117" s="2086"/>
      <c r="G117" s="2086"/>
      <c r="H117" s="2086"/>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1901</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1"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386</v>
      </c>
      <c r="B1" s="2103"/>
      <c r="C1" s="2103"/>
      <c r="D1" s="2103"/>
      <c r="E1" s="2103"/>
      <c r="F1" s="2103"/>
      <c r="G1" s="2103"/>
      <c r="H1" s="2103"/>
      <c r="I1" s="2103"/>
      <c r="J1" s="2103"/>
      <c r="K1" s="2103"/>
      <c r="L1" s="2103"/>
      <c r="M1" s="2103"/>
      <c r="N1" s="346"/>
    </row>
    <row r="2" spans="1:14" ht="11.1"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5" customHeight="1" x14ac:dyDescent="0.2">
      <c r="B7" s="222"/>
      <c r="C7" s="222"/>
      <c r="D7" s="344" t="s">
        <v>1942</v>
      </c>
      <c r="E7" s="222"/>
      <c r="F7" s="351" t="s">
        <v>272</v>
      </c>
      <c r="G7" s="222"/>
      <c r="H7" s="222"/>
      <c r="I7" s="222"/>
      <c r="J7" s="352"/>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5" customHeight="1" x14ac:dyDescent="0.2">
      <c r="A10" s="344" t="s">
        <v>929</v>
      </c>
      <c r="C10" s="222"/>
      <c r="D10" s="355"/>
      <c r="E10" s="356" t="s">
        <v>1005</v>
      </c>
      <c r="F10" s="355"/>
      <c r="G10" s="356" t="s">
        <v>1005</v>
      </c>
      <c r="H10" s="355"/>
      <c r="I10" s="356" t="s">
        <v>1006</v>
      </c>
      <c r="J10" s="1725">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5" customHeight="1" x14ac:dyDescent="0.2">
      <c r="A16" s="349"/>
      <c r="B16" s="222"/>
      <c r="C16" s="222"/>
      <c r="D16" s="1726">
        <f>SUM('Acct Summary 7-8'!C8,'Acct Summary 7-8'!D8,'Acct Summary 7-8'!F8,'Acct Summary 7-8'!I8)</f>
        <v>17067710</v>
      </c>
      <c r="E16" s="356"/>
      <c r="F16" s="1726">
        <f>SUM('Acct Summary 7-8'!C17,'Acct Summary 7-8'!D17,'Acct Summary 7-8'!F17)</f>
        <v>16848748</v>
      </c>
      <c r="G16" s="356"/>
      <c r="H16" s="1726">
        <f>SUM(D16-F16)</f>
        <v>218962</v>
      </c>
      <c r="I16" s="222"/>
      <c r="J16" s="1726">
        <f>SUM('Acct Summary 7-8'!C81,'Acct Summary 7-8'!D81,'Acct Summary 7-8'!F81,'Acct Summary 7-8'!I81)</f>
        <v>2296863</v>
      </c>
      <c r="K16" s="222"/>
      <c r="L16" s="222"/>
      <c r="M16" s="222"/>
    </row>
    <row r="17" spans="1:13" ht="12.4" customHeight="1" x14ac:dyDescent="0.2">
      <c r="A17" s="349"/>
      <c r="B17" s="260" t="s">
        <v>8</v>
      </c>
      <c r="C17" s="237" t="s">
        <v>1396</v>
      </c>
      <c r="D17" s="222"/>
      <c r="E17" s="222"/>
      <c r="F17" s="222"/>
      <c r="G17" s="222"/>
      <c r="H17" s="222"/>
      <c r="I17" s="222"/>
      <c r="J17" s="222"/>
      <c r="K17" s="222"/>
      <c r="L17" s="222"/>
      <c r="M17" s="222"/>
    </row>
    <row r="18" spans="1:13" ht="12.4"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4" customHeight="1" x14ac:dyDescent="0.2">
      <c r="A29" s="349"/>
      <c r="B29" s="237" t="s">
        <v>385</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5" customHeight="1" x14ac:dyDescent="0.2">
      <c r="B31" s="366"/>
      <c r="C31" s="367" t="s">
        <v>586</v>
      </c>
      <c r="D31" s="237" t="s">
        <v>1072</v>
      </c>
      <c r="E31" s="222"/>
      <c r="F31" s="222"/>
      <c r="G31" s="363"/>
      <c r="H31" s="1728" t="str">
        <f>IF(B31="X",(J7*0.069),IF(B32="X",(J7*0.138),"Enter x in a.or b."))</f>
        <v>Enter x in a.or b.</v>
      </c>
      <c r="I31" s="368"/>
      <c r="J31" s="222"/>
      <c r="K31" s="222"/>
      <c r="L31" s="222"/>
      <c r="M31" s="222"/>
    </row>
    <row r="32" spans="1:13" ht="1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7" customHeight="1" x14ac:dyDescent="0.2">
      <c r="B36" s="222"/>
      <c r="C36" s="374" t="s">
        <v>588</v>
      </c>
      <c r="D36" s="247" t="s">
        <v>0</v>
      </c>
      <c r="E36" s="222"/>
      <c r="F36" s="222"/>
      <c r="G36" s="375" t="s">
        <v>390</v>
      </c>
      <c r="H36" s="376"/>
      <c r="I36" s="222"/>
      <c r="J36" s="222"/>
      <c r="K36" s="222"/>
      <c r="L36" s="222"/>
      <c r="M36" s="222"/>
    </row>
    <row r="37" spans="1:13" ht="13.7" customHeight="1" x14ac:dyDescent="0.2">
      <c r="B37" s="222"/>
      <c r="C37" s="374"/>
      <c r="D37" s="247" t="s">
        <v>1135</v>
      </c>
      <c r="E37" s="222"/>
      <c r="F37" s="222"/>
      <c r="G37" s="377">
        <v>511</v>
      </c>
      <c r="H37" s="172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4"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7"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7" customHeight="1" x14ac:dyDescent="0.2">
      <c r="B45" s="378"/>
      <c r="C45" s="225" t="s">
        <v>381</v>
      </c>
      <c r="E45" s="222"/>
      <c r="F45" s="222"/>
      <c r="G45" s="222"/>
      <c r="H45" s="222"/>
      <c r="I45" s="222"/>
      <c r="J45" s="222"/>
      <c r="K45" s="222"/>
      <c r="L45" s="222"/>
      <c r="M45" s="222"/>
    </row>
    <row r="46" spans="1:13" ht="13.7" customHeight="1" x14ac:dyDescent="0.2">
      <c r="B46" s="378"/>
      <c r="C46" s="225" t="s">
        <v>863</v>
      </c>
      <c r="E46" s="222"/>
      <c r="F46" s="222"/>
      <c r="G46" s="222"/>
      <c r="H46" s="222"/>
      <c r="I46" s="222"/>
      <c r="J46" s="222"/>
      <c r="K46" s="222"/>
      <c r="L46" s="222"/>
      <c r="M46" s="222"/>
    </row>
    <row r="47" spans="1:13" ht="13.7" customHeight="1" x14ac:dyDescent="0.2">
      <c r="B47" s="378"/>
      <c r="C47" s="225" t="s">
        <v>55</v>
      </c>
      <c r="E47" s="222"/>
      <c r="F47" s="222"/>
      <c r="G47" s="222"/>
      <c r="H47" s="222"/>
      <c r="I47" s="222"/>
      <c r="J47" s="222"/>
      <c r="K47" s="222"/>
      <c r="L47" s="222"/>
      <c r="M47" s="222"/>
    </row>
    <row r="48" spans="1:13" ht="13.7" customHeight="1" x14ac:dyDescent="0.2">
      <c r="B48" s="378"/>
      <c r="C48" s="225" t="s">
        <v>56</v>
      </c>
      <c r="E48" s="222"/>
      <c r="F48" s="222"/>
      <c r="G48" s="222"/>
      <c r="H48" s="222"/>
      <c r="I48" s="222"/>
      <c r="J48" s="222"/>
      <c r="K48" s="222"/>
      <c r="L48" s="222"/>
      <c r="M48" s="222"/>
    </row>
    <row r="49" spans="1:13" ht="13.7" customHeight="1" x14ac:dyDescent="0.2">
      <c r="B49" s="378"/>
      <c r="C49" s="225" t="s">
        <v>339</v>
      </c>
      <c r="E49" s="222"/>
      <c r="F49" s="222"/>
      <c r="G49" s="222"/>
      <c r="H49" s="222"/>
      <c r="I49" s="222"/>
      <c r="J49" s="222"/>
      <c r="K49" s="222"/>
      <c r="L49" s="222"/>
      <c r="M49" s="222"/>
    </row>
    <row r="50" spans="1:13" ht="13.7" customHeight="1" x14ac:dyDescent="0.2">
      <c r="B50" s="378"/>
      <c r="C50" s="225" t="s">
        <v>340</v>
      </c>
      <c r="E50" s="222"/>
      <c r="F50" s="222"/>
      <c r="G50" s="222"/>
      <c r="H50" s="222"/>
      <c r="I50" s="222"/>
      <c r="J50" s="222"/>
      <c r="K50" s="222"/>
      <c r="L50" s="222"/>
      <c r="M50" s="222"/>
    </row>
    <row r="51" spans="1:13" ht="13.7"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556</v>
      </c>
      <c r="B2" s="2122"/>
      <c r="C2" s="2122"/>
      <c r="D2" s="2122"/>
      <c r="E2" s="2122"/>
      <c r="F2" s="2122"/>
      <c r="G2" s="2122"/>
      <c r="H2" s="2122"/>
      <c r="I2" s="2122"/>
      <c r="J2" s="2122"/>
      <c r="K2" s="2122"/>
      <c r="L2" s="2122"/>
      <c r="M2" s="2122"/>
      <c r="N2" s="2122"/>
      <c r="O2" s="2122"/>
      <c r="P2" s="2122"/>
      <c r="Q2" s="2122"/>
      <c r="R2" s="2122"/>
    </row>
    <row r="3" spans="1:18" ht="12.75" x14ac:dyDescent="0.2">
      <c r="A3" s="2123" t="s">
        <v>1413</v>
      </c>
      <c r="B3" s="2123"/>
      <c r="C3" s="2123"/>
      <c r="D3" s="2123"/>
      <c r="E3" s="2123"/>
      <c r="F3" s="2123"/>
      <c r="G3" s="2123"/>
      <c r="H3" s="2123"/>
      <c r="I3" s="2123"/>
      <c r="J3" s="2123"/>
      <c r="K3" s="2123"/>
      <c r="L3" s="2123"/>
      <c r="M3" s="2123"/>
      <c r="N3" s="2123"/>
      <c r="O3" s="2123"/>
      <c r="P3" s="2123"/>
      <c r="Q3" s="2123"/>
      <c r="R3" s="2123"/>
    </row>
    <row r="4" spans="1:18" x14ac:dyDescent="0.2">
      <c r="A4" s="2124" t="s">
        <v>1554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Mid-State Spec Educ Jnt Agr</v>
      </c>
      <c r="E7" s="391"/>
      <c r="G7" s="252"/>
      <c r="H7" s="387"/>
      <c r="I7" s="387"/>
      <c r="J7" s="387"/>
      <c r="K7" s="387"/>
      <c r="L7" s="329"/>
      <c r="M7" s="329"/>
      <c r="N7" s="329"/>
      <c r="O7" s="329"/>
      <c r="P7" s="329"/>
    </row>
    <row r="8" spans="1:18" ht="12.75" x14ac:dyDescent="0.2">
      <c r="A8" s="329"/>
      <c r="B8" s="329"/>
      <c r="C8" s="389" t="s">
        <v>1125</v>
      </c>
      <c r="D8" s="392">
        <f>COVER!A13</f>
        <v>3011801060</v>
      </c>
      <c r="E8" s="393"/>
      <c r="G8" s="329"/>
      <c r="H8" s="329"/>
      <c r="I8" s="329"/>
      <c r="J8" s="329"/>
      <c r="K8" s="329"/>
      <c r="L8" s="329"/>
      <c r="M8" s="329"/>
      <c r="N8" s="329"/>
      <c r="O8" s="329"/>
      <c r="P8" s="329"/>
    </row>
    <row r="9" spans="1:18" ht="12.75" x14ac:dyDescent="0.2">
      <c r="A9" s="329"/>
      <c r="B9" s="329"/>
      <c r="C9" s="389" t="s">
        <v>713</v>
      </c>
      <c r="D9" s="394" t="str">
        <f>COVER!A15</f>
        <v>CHRISTIAN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2296863</v>
      </c>
      <c r="I12" s="404"/>
      <c r="J12" s="404"/>
      <c r="K12" s="405">
        <f>TRUNC((H12/H13*100000),5)/100000</f>
        <v>0.13457358950000001</v>
      </c>
      <c r="L12" s="406"/>
      <c r="M12" s="360" t="s">
        <v>1144</v>
      </c>
      <c r="N12" s="360"/>
      <c r="O12" s="407">
        <v>0.35</v>
      </c>
      <c r="P12" s="218"/>
      <c r="Q12" s="218"/>
    </row>
    <row r="13" spans="1:18" s="408" customFormat="1" ht="12.75" x14ac:dyDescent="0.2">
      <c r="A13" s="218"/>
      <c r="B13" s="401"/>
      <c r="C13" s="2120" t="s">
        <v>1324</v>
      </c>
      <c r="D13" s="2121"/>
      <c r="E13" s="218"/>
      <c r="F13" s="409" t="s">
        <v>793</v>
      </c>
      <c r="G13" s="402"/>
      <c r="H13" s="403">
        <f>SUM('Acct Summary 7-8'!C8+'Acct Summary 7-8'!D8+'Acct Summary 7-8'!F8+'Acct Summary 7-8'!I8)+H14</f>
        <v>17067710</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16848748</v>
      </c>
      <c r="I17" s="404"/>
      <c r="J17" s="416"/>
      <c r="K17" s="405">
        <f>TRUNC((H17/H18*100000),5)/100000</f>
        <v>0.98717097949999999</v>
      </c>
      <c r="L17" s="406"/>
      <c r="M17" s="417" t="s">
        <v>1171</v>
      </c>
      <c r="O17" s="418" t="str">
        <f>IF(AND(O16="2", J20 &gt; 2),"1",IF(AND(O16 = "1", J20 &gt; 2),"2",IF(AND(O16="1", J20 &gt;1),"1","0")))</f>
        <v>0</v>
      </c>
      <c r="P17" s="218"/>
    </row>
    <row r="18" spans="1:18" s="408" customFormat="1" ht="11.25" x14ac:dyDescent="0.2">
      <c r="A18" s="218"/>
      <c r="B18" s="401"/>
      <c r="C18" s="2120" t="s">
        <v>1317</v>
      </c>
      <c r="D18" s="2121"/>
      <c r="E18" s="218"/>
      <c r="F18" s="419" t="s">
        <v>794</v>
      </c>
      <c r="G18" s="402"/>
      <c r="H18" s="403">
        <f>SUM('Acct Summary 7-8'!C8+'Acct Summary 7-8'!D8+'Acct Summary 7-8'!F8+'Acct Summary 7-8'!I8)+H19</f>
        <v>17067710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17" t="s">
        <v>1412</v>
      </c>
      <c r="D24" s="2117"/>
      <c r="E24" s="218"/>
      <c r="F24" s="218" t="s">
        <v>445</v>
      </c>
      <c r="G24" s="402"/>
      <c r="H24" s="403">
        <f>SUM('Assets-Liab 5-6'!C4+'Assets-Liab 5-6'!D4+'Assets-Liab 5-6'!F4+'Assets-Liab 5-6'!I4+'Assets-Liab 5-6'!C5+'Assets-Liab 5-6'!D5+'Assets-Liab 5-6'!F5+'Assets-Liab 5-6'!I5)</f>
        <v>2302996</v>
      </c>
      <c r="I24" s="422"/>
      <c r="J24" s="422"/>
      <c r="K24" s="423">
        <f>TRUNC(((H24/H25*100000)/100000),2)</f>
        <v>49.2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46802.07778</v>
      </c>
      <c r="I25" s="425"/>
      <c r="J25" s="425"/>
      <c r="K25" s="410"/>
      <c r="L25" s="218"/>
      <c r="M25" s="360" t="s">
        <v>1145</v>
      </c>
      <c r="N25" s="360"/>
      <c r="O25" s="411">
        <f>O23*O24</f>
        <v>0.2</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C33" sqref="C3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7" t="s">
        <v>973</v>
      </c>
      <c r="B3" s="2128"/>
      <c r="C3" s="1556"/>
      <c r="D3" s="1557"/>
      <c r="E3" s="1557"/>
      <c r="F3" s="1557"/>
      <c r="G3" s="1557"/>
      <c r="H3" s="1557"/>
      <c r="I3" s="1557"/>
      <c r="J3" s="1557"/>
      <c r="K3" s="1557"/>
      <c r="L3" s="1557"/>
      <c r="M3" s="1558"/>
      <c r="N3" s="1559"/>
    </row>
    <row r="4" spans="1:14" ht="13.7" customHeight="1" x14ac:dyDescent="0.2">
      <c r="A4" s="463" t="s">
        <v>1651</v>
      </c>
      <c r="B4" s="464"/>
      <c r="C4" s="465">
        <f>2271884+5000+25000</f>
        <v>2301884</v>
      </c>
      <c r="D4" s="466">
        <v>0</v>
      </c>
      <c r="E4" s="466">
        <v>0</v>
      </c>
      <c r="F4" s="466">
        <v>0</v>
      </c>
      <c r="G4" s="466">
        <v>0</v>
      </c>
      <c r="H4" s="466">
        <v>0</v>
      </c>
      <c r="I4" s="466">
        <v>0</v>
      </c>
      <c r="J4" s="467">
        <v>0</v>
      </c>
      <c r="K4" s="466">
        <v>0</v>
      </c>
      <c r="L4" s="466"/>
      <c r="M4" s="468"/>
      <c r="N4" s="469"/>
    </row>
    <row r="5" spans="1:14" x14ac:dyDescent="0.2">
      <c r="A5" s="463" t="s">
        <v>992</v>
      </c>
      <c r="B5" s="470">
        <v>120</v>
      </c>
      <c r="C5" s="465">
        <v>1112</v>
      </c>
      <c r="D5" s="466">
        <v>0</v>
      </c>
      <c r="E5" s="466">
        <v>0</v>
      </c>
      <c r="F5" s="466">
        <v>0</v>
      </c>
      <c r="G5" s="466">
        <v>0</v>
      </c>
      <c r="H5" s="466">
        <v>0</v>
      </c>
      <c r="I5" s="466">
        <v>0</v>
      </c>
      <c r="J5" s="467">
        <v>0</v>
      </c>
      <c r="K5" s="471">
        <v>0</v>
      </c>
      <c r="L5" s="472"/>
      <c r="M5" s="468"/>
      <c r="N5" s="469"/>
    </row>
    <row r="6" spans="1:14" ht="13.7"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7"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7"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7"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7"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7"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7"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7" customHeight="1" thickBot="1" x14ac:dyDescent="0.25">
      <c r="A13" s="1729" t="s">
        <v>644</v>
      </c>
      <c r="B13" s="1702"/>
      <c r="C13" s="1730">
        <f>SUM(C4:C12)</f>
        <v>2302996</v>
      </c>
      <c r="D13" s="1730">
        <f t="shared" ref="D13:L13" si="0">SUM(D4:D12)</f>
        <v>0</v>
      </c>
      <c r="E13" s="1730">
        <f t="shared" si="0"/>
        <v>0</v>
      </c>
      <c r="F13" s="1730">
        <f t="shared" si="0"/>
        <v>0</v>
      </c>
      <c r="G13" s="1730">
        <f t="shared" si="0"/>
        <v>0</v>
      </c>
      <c r="H13" s="1730">
        <f t="shared" si="0"/>
        <v>0</v>
      </c>
      <c r="I13" s="1730">
        <f t="shared" si="0"/>
        <v>0</v>
      </c>
      <c r="J13" s="1730">
        <f t="shared" si="0"/>
        <v>0</v>
      </c>
      <c r="K13" s="1730">
        <f t="shared" si="0"/>
        <v>0</v>
      </c>
      <c r="L13" s="1730">
        <f t="shared" si="0"/>
        <v>0</v>
      </c>
      <c r="M13" s="468"/>
      <c r="N13" s="469"/>
    </row>
    <row r="14" spans="1:14" ht="18" customHeight="1" thickTop="1" x14ac:dyDescent="0.2">
      <c r="A14" s="2129" t="s">
        <v>147</v>
      </c>
      <c r="B14" s="2130"/>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455343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295456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7" customHeight="1" thickBot="1" x14ac:dyDescent="0.25">
      <c r="A23" s="1729" t="s">
        <v>643</v>
      </c>
      <c r="B23" s="1734"/>
      <c r="C23" s="468"/>
      <c r="D23" s="468"/>
      <c r="E23" s="468"/>
      <c r="F23" s="468"/>
      <c r="G23" s="468"/>
      <c r="H23" s="468"/>
      <c r="I23" s="468"/>
      <c r="J23" s="468"/>
      <c r="K23" s="468"/>
      <c r="L23" s="468"/>
      <c r="M23" s="1681">
        <f>SUM(M15:M22)</f>
        <v>750799</v>
      </c>
      <c r="N23" s="1681">
        <f>SUM(N21:N22)</f>
        <v>0</v>
      </c>
    </row>
    <row r="24" spans="1:14" ht="18" customHeight="1" thickTop="1" x14ac:dyDescent="0.2">
      <c r="A24" s="2131" t="s">
        <v>598</v>
      </c>
      <c r="B24" s="2132"/>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7"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7"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7"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7"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7" customHeight="1" x14ac:dyDescent="0.2">
      <c r="A31" s="473" t="s">
        <v>651</v>
      </c>
      <c r="B31" s="470">
        <v>480</v>
      </c>
      <c r="C31" s="466">
        <v>6133</v>
      </c>
      <c r="D31" s="467">
        <v>0</v>
      </c>
      <c r="E31" s="467">
        <v>0</v>
      </c>
      <c r="F31" s="466">
        <v>0</v>
      </c>
      <c r="G31" s="467">
        <v>0</v>
      </c>
      <c r="H31" s="467">
        <v>0</v>
      </c>
      <c r="I31" s="467">
        <v>0</v>
      </c>
      <c r="J31" s="467">
        <v>0</v>
      </c>
      <c r="K31" s="467">
        <v>0</v>
      </c>
      <c r="L31" s="468"/>
      <c r="M31" s="468"/>
      <c r="N31" s="468"/>
    </row>
    <row r="32" spans="1:14" ht="13.7"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7" customHeight="1" x14ac:dyDescent="0.2">
      <c r="A33" s="493" t="s">
        <v>303</v>
      </c>
      <c r="B33" s="491">
        <v>493</v>
      </c>
      <c r="C33" s="467">
        <v>0</v>
      </c>
      <c r="D33" s="467">
        <v>0</v>
      </c>
      <c r="E33" s="467">
        <v>0</v>
      </c>
      <c r="F33" s="467">
        <v>0</v>
      </c>
      <c r="G33" s="467">
        <v>0</v>
      </c>
      <c r="H33" s="467">
        <v>0</v>
      </c>
      <c r="I33" s="467">
        <v>0</v>
      </c>
      <c r="J33" s="467">
        <v>0</v>
      </c>
      <c r="K33" s="467">
        <v>0</v>
      </c>
      <c r="L33" s="467"/>
      <c r="M33" s="468"/>
      <c r="N33" s="469"/>
    </row>
    <row r="34" spans="1:14" ht="13.7" customHeight="1" thickBot="1" x14ac:dyDescent="0.25">
      <c r="A34" s="1731" t="s">
        <v>654</v>
      </c>
      <c r="B34" s="1732"/>
      <c r="C34" s="1733">
        <f>SUM(C25:C33)</f>
        <v>6133</v>
      </c>
      <c r="D34" s="1733">
        <f t="shared" ref="D34:K34" si="1">SUM(D25:D33)</f>
        <v>0</v>
      </c>
      <c r="E34" s="1733">
        <f t="shared" si="1"/>
        <v>0</v>
      </c>
      <c r="F34" s="1733">
        <f t="shared" si="1"/>
        <v>0</v>
      </c>
      <c r="G34" s="1733">
        <f t="shared" si="1"/>
        <v>0</v>
      </c>
      <c r="H34" s="1733">
        <f t="shared" si="1"/>
        <v>0</v>
      </c>
      <c r="I34" s="1733">
        <f t="shared" si="1"/>
        <v>0</v>
      </c>
      <c r="J34" s="1733">
        <f t="shared" si="1"/>
        <v>0</v>
      </c>
      <c r="K34" s="1733">
        <f t="shared" si="1"/>
        <v>0</v>
      </c>
      <c r="L34" s="1714">
        <f>SUM(L33)</f>
        <v>0</v>
      </c>
      <c r="M34" s="468"/>
      <c r="N34" s="480"/>
    </row>
    <row r="35" spans="1:14" ht="18" customHeight="1" thickTop="1" x14ac:dyDescent="0.2">
      <c r="A35" s="2133" t="s">
        <v>529</v>
      </c>
      <c r="B35" s="2134"/>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29" t="s">
        <v>653</v>
      </c>
      <c r="B37" s="1734"/>
      <c r="C37" s="477"/>
      <c r="D37" s="477"/>
      <c r="E37" s="477"/>
      <c r="F37" s="477"/>
      <c r="G37" s="477"/>
      <c r="H37" s="477"/>
      <c r="I37" s="477"/>
      <c r="J37" s="477"/>
      <c r="K37" s="477"/>
      <c r="L37" s="480"/>
      <c r="M37" s="468"/>
      <c r="N37" s="1681">
        <f>SUM(N36:N36)</f>
        <v>0</v>
      </c>
    </row>
    <row r="38" spans="1:14" s="329" customFormat="1" ht="13.7" customHeight="1" thickTop="1" x14ac:dyDescent="0.2">
      <c r="A38" s="496" t="s">
        <v>420</v>
      </c>
      <c r="B38" s="483">
        <v>714</v>
      </c>
      <c r="C38" s="466"/>
      <c r="D38" s="466"/>
      <c r="E38" s="466"/>
      <c r="F38" s="466"/>
      <c r="G38" s="466"/>
      <c r="H38" s="466"/>
      <c r="I38" s="466"/>
      <c r="J38" s="467"/>
      <c r="K38" s="466"/>
      <c r="L38" s="568"/>
      <c r="M38" s="497"/>
      <c r="N38" s="497"/>
    </row>
    <row r="39" spans="1:14" s="329" customFormat="1" ht="13.7" customHeight="1" x14ac:dyDescent="0.2">
      <c r="A39" s="496" t="s">
        <v>342</v>
      </c>
      <c r="B39" s="483">
        <v>730</v>
      </c>
      <c r="C39" s="466">
        <v>2296863</v>
      </c>
      <c r="D39" s="466"/>
      <c r="E39" s="466"/>
      <c r="F39" s="466"/>
      <c r="G39" s="466"/>
      <c r="H39" s="466"/>
      <c r="I39" s="466"/>
      <c r="J39" s="467"/>
      <c r="K39" s="466"/>
      <c r="L39" s="466"/>
      <c r="M39" s="497"/>
      <c r="N39" s="497"/>
    </row>
    <row r="40" spans="1:14" s="329" customFormat="1" ht="13.7" customHeight="1" x14ac:dyDescent="0.2">
      <c r="A40" s="498" t="s">
        <v>148</v>
      </c>
      <c r="B40" s="499"/>
      <c r="C40" s="500"/>
      <c r="D40" s="500"/>
      <c r="E40" s="500"/>
      <c r="F40" s="500"/>
      <c r="G40" s="500"/>
      <c r="H40" s="500"/>
      <c r="I40" s="500"/>
      <c r="J40" s="500"/>
      <c r="K40" s="500"/>
      <c r="L40" s="500"/>
      <c r="M40" s="467">
        <v>750799</v>
      </c>
      <c r="N40" s="497"/>
    </row>
    <row r="41" spans="1:14" ht="13.7" customHeight="1" thickBot="1" x14ac:dyDescent="0.25">
      <c r="A41" s="1729" t="s">
        <v>655</v>
      </c>
      <c r="B41" s="1699"/>
      <c r="C41" s="1681">
        <f>(SUM(C34,C37,C38,C39))</f>
        <v>2302996</v>
      </c>
      <c r="D41" s="1681">
        <f t="shared" ref="D41:L41" si="2">SUM(D34,D37,D38:D39)</f>
        <v>0</v>
      </c>
      <c r="E41" s="1681">
        <f t="shared" si="2"/>
        <v>0</v>
      </c>
      <c r="F41" s="1681">
        <f t="shared" si="2"/>
        <v>0</v>
      </c>
      <c r="G41" s="1681">
        <f t="shared" si="2"/>
        <v>0</v>
      </c>
      <c r="H41" s="1681">
        <f t="shared" si="2"/>
        <v>0</v>
      </c>
      <c r="I41" s="1681">
        <f t="shared" si="2"/>
        <v>0</v>
      </c>
      <c r="J41" s="1681">
        <f t="shared" si="2"/>
        <v>0</v>
      </c>
      <c r="K41" s="1681">
        <f t="shared" si="2"/>
        <v>0</v>
      </c>
      <c r="L41" s="1681">
        <f t="shared" si="2"/>
        <v>0</v>
      </c>
      <c r="M41" s="1681">
        <f>SUM(M40)</f>
        <v>750799</v>
      </c>
      <c r="N41" s="1681">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5" t="s">
        <v>1175</v>
      </c>
      <c r="B3" s="2156"/>
      <c r="C3" s="1570"/>
      <c r="D3" s="1571"/>
      <c r="E3" s="1571"/>
      <c r="F3" s="1571"/>
      <c r="G3" s="1571"/>
      <c r="H3" s="1571"/>
      <c r="I3" s="1571"/>
      <c r="J3" s="1571"/>
      <c r="K3" s="1572"/>
      <c r="L3" s="506"/>
    </row>
    <row r="4" spans="1:13" ht="15.75" customHeight="1" x14ac:dyDescent="0.2">
      <c r="A4" s="1920" t="s">
        <v>1499</v>
      </c>
      <c r="B4" s="1921">
        <v>1000</v>
      </c>
      <c r="C4" s="1735">
        <f>'Revenues 9-14'!C109</f>
        <v>11140095</v>
      </c>
      <c r="D4" s="1735">
        <f>'Revenues 9-14'!D109</f>
        <v>0</v>
      </c>
      <c r="E4" s="1735">
        <f>'Revenues 9-14'!E109</f>
        <v>0</v>
      </c>
      <c r="F4" s="1735">
        <f>'Revenues 9-14'!F109</f>
        <v>0</v>
      </c>
      <c r="G4" s="1735">
        <f>'Revenues 9-14'!G109</f>
        <v>0</v>
      </c>
      <c r="H4" s="1735">
        <f>'Revenues 9-14'!H109</f>
        <v>0</v>
      </c>
      <c r="I4" s="1735">
        <f>'Revenues 9-14'!I109</f>
        <v>0</v>
      </c>
      <c r="J4" s="1735">
        <f>'Revenues 9-14'!J109</f>
        <v>0</v>
      </c>
      <c r="K4" s="1735">
        <f>'Revenues 9-14'!K109</f>
        <v>0</v>
      </c>
      <c r="L4" s="347"/>
    </row>
    <row r="5" spans="1:13" ht="15.75" customHeight="1" x14ac:dyDescent="0.2">
      <c r="A5" s="1573" t="s">
        <v>1500</v>
      </c>
      <c r="B5" s="1574">
        <v>2000</v>
      </c>
      <c r="C5" s="1736">
        <f>'Revenues 9-14'!C114</f>
        <v>2726317</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0</v>
      </c>
      <c r="D6" s="1736">
        <f>'Revenues 9-14'!D170</f>
        <v>0</v>
      </c>
      <c r="E6" s="1736">
        <f>'Revenues 9-14'!E170</f>
        <v>0</v>
      </c>
      <c r="F6" s="1736">
        <f>'Revenues 9-14'!F170</f>
        <v>0</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3201298</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17067710</v>
      </c>
      <c r="D8" s="1681">
        <f t="shared" ref="D8:K8" si="0">SUM(D4:D7)</f>
        <v>0</v>
      </c>
      <c r="E8" s="1681">
        <f t="shared" si="0"/>
        <v>0</v>
      </c>
      <c r="F8" s="1681">
        <f t="shared" si="0"/>
        <v>0</v>
      </c>
      <c r="G8" s="1681">
        <f t="shared" si="0"/>
        <v>0</v>
      </c>
      <c r="H8" s="1681">
        <f t="shared" si="0"/>
        <v>0</v>
      </c>
      <c r="I8" s="1681">
        <f t="shared" si="0"/>
        <v>0</v>
      </c>
      <c r="J8" s="1681">
        <f t="shared" si="0"/>
        <v>0</v>
      </c>
      <c r="K8" s="1681">
        <f t="shared" si="0"/>
        <v>0</v>
      </c>
      <c r="L8" s="347"/>
    </row>
    <row r="9" spans="1:13" ht="15.75" thickTop="1" x14ac:dyDescent="0.2">
      <c r="A9" s="514" t="s">
        <v>1653</v>
      </c>
      <c r="B9" s="515">
        <v>3998</v>
      </c>
      <c r="C9" s="568">
        <v>5801243</v>
      </c>
      <c r="D9" s="516"/>
      <c r="E9" s="481"/>
      <c r="F9" s="481"/>
      <c r="G9" s="517"/>
      <c r="H9" s="481"/>
      <c r="I9" s="509" t="s">
        <v>1169</v>
      </c>
      <c r="J9" s="478"/>
      <c r="K9" s="481"/>
      <c r="L9" s="347"/>
    </row>
    <row r="10" spans="1:13" s="519" customFormat="1" ht="13.5" thickBot="1" x14ac:dyDescent="0.25">
      <c r="A10" s="1729" t="s">
        <v>1173</v>
      </c>
      <c r="B10" s="1702"/>
      <c r="C10" s="1681">
        <f>SUM(C8:C9)</f>
        <v>22868953</v>
      </c>
      <c r="D10" s="1681">
        <f t="shared" ref="D10:K10" si="1">SUM(D8:D9)</f>
        <v>0</v>
      </c>
      <c r="E10" s="1681">
        <f t="shared" si="1"/>
        <v>0</v>
      </c>
      <c r="F10" s="1681">
        <f t="shared" si="1"/>
        <v>0</v>
      </c>
      <c r="G10" s="1681">
        <f t="shared" si="1"/>
        <v>0</v>
      </c>
      <c r="H10" s="1681">
        <f t="shared" si="1"/>
        <v>0</v>
      </c>
      <c r="I10" s="1681">
        <f t="shared" si="1"/>
        <v>0</v>
      </c>
      <c r="J10" s="1681">
        <f t="shared" si="1"/>
        <v>0</v>
      </c>
      <c r="K10" s="1681">
        <f t="shared" si="1"/>
        <v>0</v>
      </c>
      <c r="L10" s="518"/>
    </row>
    <row r="11" spans="1:13" s="519" customFormat="1" ht="16.7" customHeight="1" thickTop="1" x14ac:dyDescent="0.2">
      <c r="A11" s="2129" t="s">
        <v>1176</v>
      </c>
      <c r="B11" s="2130"/>
      <c r="C11" s="1567"/>
      <c r="D11" s="1568"/>
      <c r="E11" s="1568"/>
      <c r="F11" s="1568"/>
      <c r="G11" s="1568"/>
      <c r="H11" s="1568"/>
      <c r="I11" s="1568"/>
      <c r="J11" s="1568"/>
      <c r="K11" s="1569"/>
      <c r="L11" s="518"/>
    </row>
    <row r="12" spans="1:13" ht="15.75" customHeight="1" x14ac:dyDescent="0.2">
      <c r="A12" s="1573" t="s">
        <v>456</v>
      </c>
      <c r="B12" s="1575">
        <v>1000</v>
      </c>
      <c r="C12" s="1735">
        <f>'Expenditures 15-22'!K33</f>
        <v>9365851</v>
      </c>
      <c r="D12" s="520" t="s">
        <v>1169</v>
      </c>
      <c r="E12" s="468" t="s">
        <v>1169</v>
      </c>
      <c r="F12" s="468" t="s">
        <v>1169</v>
      </c>
      <c r="G12" s="1735">
        <f>'Expenditures 15-22'!K229</f>
        <v>0</v>
      </c>
      <c r="H12" s="521"/>
      <c r="I12" s="468" t="s">
        <v>1169</v>
      </c>
      <c r="J12" s="468" t="s">
        <v>1169</v>
      </c>
      <c r="K12" s="521" t="s">
        <v>1169</v>
      </c>
      <c r="L12" s="347"/>
    </row>
    <row r="13" spans="1:13" ht="15.75" customHeight="1" x14ac:dyDescent="0.2">
      <c r="A13" s="1573" t="s">
        <v>457</v>
      </c>
      <c r="B13" s="1575">
        <v>2000</v>
      </c>
      <c r="C13" s="1736">
        <f>'Expenditures 15-22'!K74</f>
        <v>4696120</v>
      </c>
      <c r="D13" s="1736">
        <f>'Expenditures 15-22'!K129</f>
        <v>0</v>
      </c>
      <c r="E13" s="469" t="s">
        <v>1169</v>
      </c>
      <c r="F13" s="1736">
        <f>'Expenditures 15-22'!K184</f>
        <v>0</v>
      </c>
      <c r="G13" s="1736">
        <f>'Expenditures 15-22'!K279</f>
        <v>0</v>
      </c>
      <c r="H13" s="1736">
        <f>'Expenditures 15-22'!K303</f>
        <v>0</v>
      </c>
      <c r="I13" s="468" t="s">
        <v>1169</v>
      </c>
      <c r="J13" s="1736">
        <f>'Expenditures 15-22'!K330</f>
        <v>0</v>
      </c>
      <c r="K13" s="1740">
        <f>'Expenditures 15-22'!K352</f>
        <v>0</v>
      </c>
      <c r="L13" s="347"/>
    </row>
    <row r="14" spans="1:13" ht="15.75" customHeight="1" x14ac:dyDescent="0.2">
      <c r="A14" s="1573" t="s">
        <v>449</v>
      </c>
      <c r="B14" s="1575">
        <v>3000</v>
      </c>
      <c r="C14" s="1736">
        <f>'Expenditures 15-22'!K75</f>
        <v>0</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3" t="s">
        <v>107</v>
      </c>
      <c r="B15" s="1575">
        <v>4000</v>
      </c>
      <c r="C15" s="1736">
        <f>'Expenditures 15-22'!K102</f>
        <v>2786777</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0</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16848748</v>
      </c>
      <c r="D17" s="1681">
        <f t="shared" si="2"/>
        <v>0</v>
      </c>
      <c r="E17" s="1681">
        <f t="shared" si="2"/>
        <v>0</v>
      </c>
      <c r="F17" s="1681">
        <f t="shared" si="2"/>
        <v>0</v>
      </c>
      <c r="G17" s="1681">
        <f t="shared" si="2"/>
        <v>0</v>
      </c>
      <c r="H17" s="1681">
        <f t="shared" si="2"/>
        <v>0</v>
      </c>
      <c r="I17" s="468"/>
      <c r="J17" s="1681">
        <f>SUM(J12:J16)</f>
        <v>0</v>
      </c>
      <c r="K17" s="1681">
        <f>SUM(K12:K16)</f>
        <v>0</v>
      </c>
      <c r="L17" s="347"/>
    </row>
    <row r="18" spans="1:12" ht="15" customHeight="1" thickTop="1" x14ac:dyDescent="0.2">
      <c r="A18" s="1737" t="s">
        <v>1654</v>
      </c>
      <c r="B18" s="1738">
        <v>4180</v>
      </c>
      <c r="C18" s="1735">
        <f t="shared" ref="C18:H18" si="3">C9</f>
        <v>5801243</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22649991</v>
      </c>
      <c r="D19" s="1681">
        <f t="shared" si="4"/>
        <v>0</v>
      </c>
      <c r="E19" s="1681">
        <f t="shared" si="4"/>
        <v>0</v>
      </c>
      <c r="F19" s="1681">
        <f t="shared" si="4"/>
        <v>0</v>
      </c>
      <c r="G19" s="1681">
        <f t="shared" si="4"/>
        <v>0</v>
      </c>
      <c r="H19" s="1681">
        <f t="shared" si="4"/>
        <v>0</v>
      </c>
      <c r="I19" s="468"/>
      <c r="J19" s="1681">
        <f>SUM(J17:J18)</f>
        <v>0</v>
      </c>
      <c r="K19" s="1681">
        <f>SUM(K17:K18)</f>
        <v>0</v>
      </c>
      <c r="L19" s="347"/>
    </row>
    <row r="20" spans="1:12" ht="16.5" thickTop="1" thickBot="1" x14ac:dyDescent="0.25">
      <c r="A20" s="2145" t="s">
        <v>1655</v>
      </c>
      <c r="B20" s="2146"/>
      <c r="C20" s="1739">
        <f>C8-C17</f>
        <v>218962</v>
      </c>
      <c r="D20" s="1739">
        <f t="shared" ref="D20:K20" si="5">D8-D17</f>
        <v>0</v>
      </c>
      <c r="E20" s="1739">
        <f t="shared" si="5"/>
        <v>0</v>
      </c>
      <c r="F20" s="1739">
        <f t="shared" si="5"/>
        <v>0</v>
      </c>
      <c r="G20" s="1739">
        <f t="shared" si="5"/>
        <v>0</v>
      </c>
      <c r="H20" s="1739">
        <f t="shared" si="5"/>
        <v>0</v>
      </c>
      <c r="I20" s="1739">
        <f t="shared" si="5"/>
        <v>0</v>
      </c>
      <c r="J20" s="1739">
        <f t="shared" si="5"/>
        <v>0</v>
      </c>
      <c r="K20" s="1739">
        <f t="shared" si="5"/>
        <v>0</v>
      </c>
      <c r="L20" s="347"/>
    </row>
    <row r="21" spans="1:12" ht="16.7" customHeight="1" thickTop="1" x14ac:dyDescent="0.2">
      <c r="A21" s="2157" t="s">
        <v>595</v>
      </c>
      <c r="B21" s="2158"/>
      <c r="C21" s="1567"/>
      <c r="D21" s="1568"/>
      <c r="E21" s="1568"/>
      <c r="F21" s="1568"/>
      <c r="G21" s="1568"/>
      <c r="H21" s="1568"/>
      <c r="I21" s="1568"/>
      <c r="J21" s="1568"/>
      <c r="K21" s="1569"/>
      <c r="L21" s="524"/>
    </row>
    <row r="22" spans="1:12" ht="15.75" customHeight="1" collapsed="1" x14ac:dyDescent="0.2">
      <c r="A22" s="2153" t="s">
        <v>596</v>
      </c>
      <c r="B22" s="2154"/>
      <c r="C22" s="477"/>
      <c r="D22" s="477"/>
      <c r="E22" s="477"/>
      <c r="F22" s="477"/>
      <c r="G22" s="477"/>
      <c r="H22" s="477"/>
      <c r="I22" s="477"/>
      <c r="J22" s="477"/>
      <c r="K22" s="477"/>
      <c r="L22" s="347"/>
    </row>
    <row r="23" spans="1:12" s="485" customFormat="1" ht="15.75" customHeight="1" x14ac:dyDescent="0.2">
      <c r="A23" s="2149" t="s">
        <v>293</v>
      </c>
      <c r="B23" s="2150"/>
      <c r="C23" s="480"/>
      <c r="D23" s="477"/>
      <c r="E23" s="477"/>
      <c r="F23" s="477"/>
      <c r="G23" s="477"/>
      <c r="H23" s="477"/>
      <c r="I23" s="477"/>
      <c r="J23" s="477"/>
      <c r="K23" s="477"/>
      <c r="L23" s="524"/>
    </row>
    <row r="24" spans="1:12" s="485" customFormat="1" ht="13.7" customHeight="1" x14ac:dyDescent="0.2">
      <c r="A24" s="1486" t="s">
        <v>1656</v>
      </c>
      <c r="B24" s="525">
        <v>7110</v>
      </c>
      <c r="C24" s="467">
        <v>0</v>
      </c>
      <c r="D24" s="477"/>
      <c r="E24" s="477"/>
      <c r="F24" s="477"/>
      <c r="G24" s="477"/>
      <c r="H24" s="477"/>
      <c r="I24" s="477"/>
      <c r="J24" s="477"/>
      <c r="K24" s="477"/>
      <c r="L24" s="524"/>
    </row>
    <row r="25" spans="1:12" s="485" customFormat="1" ht="13.7" customHeight="1" x14ac:dyDescent="0.2">
      <c r="A25" s="1486" t="s">
        <v>1657</v>
      </c>
      <c r="B25" s="525">
        <v>7110</v>
      </c>
      <c r="C25" s="467">
        <v>0</v>
      </c>
      <c r="D25" s="467" t="s">
        <v>1169</v>
      </c>
      <c r="E25" s="467" t="s">
        <v>1169</v>
      </c>
      <c r="F25" s="467" t="s">
        <v>1169</v>
      </c>
      <c r="G25" s="467" t="s">
        <v>1169</v>
      </c>
      <c r="H25" s="467" t="s">
        <v>1169</v>
      </c>
      <c r="I25" s="477"/>
      <c r="J25" s="467" t="s">
        <v>1169</v>
      </c>
      <c r="K25" s="467" t="s">
        <v>1169</v>
      </c>
      <c r="L25" s="524"/>
    </row>
    <row r="26" spans="1:12" s="485" customFormat="1" ht="13.7"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7" customHeight="1" x14ac:dyDescent="0.2">
      <c r="A27" s="1486" t="s">
        <v>185</v>
      </c>
      <c r="B27" s="483">
        <v>7130</v>
      </c>
      <c r="C27" s="467">
        <v>0</v>
      </c>
      <c r="D27" s="467">
        <v>0</v>
      </c>
      <c r="E27" s="526"/>
      <c r="F27" s="467">
        <v>0</v>
      </c>
      <c r="G27" s="480"/>
      <c r="H27" s="480"/>
      <c r="I27" s="480"/>
      <c r="J27" s="480"/>
      <c r="K27" s="480"/>
      <c r="L27" s="524"/>
    </row>
    <row r="28" spans="1:12" s="485" customFormat="1" ht="13.7"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7"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1790</v>
      </c>
      <c r="B30" s="527">
        <v>7160</v>
      </c>
      <c r="C30" s="477"/>
      <c r="D30" s="467">
        <v>0</v>
      </c>
      <c r="E30" s="477"/>
      <c r="F30" s="477"/>
      <c r="G30" s="477"/>
      <c r="H30" s="477"/>
      <c r="I30" s="477"/>
      <c r="J30" s="477"/>
      <c r="K30" s="477"/>
      <c r="L30" s="524"/>
    </row>
    <row r="31" spans="1:12" s="485" customFormat="1" ht="26.25" x14ac:dyDescent="0.2">
      <c r="A31" s="1486" t="s">
        <v>1794</v>
      </c>
      <c r="B31" s="527">
        <v>7170</v>
      </c>
      <c r="C31" s="477"/>
      <c r="D31" s="477"/>
      <c r="E31" s="474">
        <v>0</v>
      </c>
      <c r="F31" s="477"/>
      <c r="G31" s="477"/>
      <c r="H31" s="477"/>
      <c r="I31" s="477"/>
      <c r="J31" s="477"/>
      <c r="K31" s="477"/>
      <c r="L31" s="524"/>
    </row>
    <row r="32" spans="1:12" s="485" customFormat="1" ht="15.75" customHeight="1" x14ac:dyDescent="0.2">
      <c r="A32" s="2151" t="s">
        <v>981</v>
      </c>
      <c r="B32" s="2152"/>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6">
        <f>SUM(C54:D57,H54:H57)</f>
        <v>0</v>
      </c>
      <c r="F37" s="475"/>
      <c r="G37" s="475"/>
      <c r="H37" s="475"/>
      <c r="I37" s="477"/>
      <c r="J37" s="475"/>
      <c r="K37" s="475"/>
      <c r="L37" s="524"/>
    </row>
    <row r="38" spans="1:12" s="485" customFormat="1" x14ac:dyDescent="0.2">
      <c r="A38" s="1486" t="s">
        <v>442</v>
      </c>
      <c r="B38" s="525">
        <v>7500</v>
      </c>
      <c r="C38" s="477"/>
      <c r="D38" s="477"/>
      <c r="E38" s="1736">
        <f>SUM(C58:D61,H58:H61)</f>
        <v>0</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7" customHeight="1" x14ac:dyDescent="0.2">
      <c r="A40" s="1486" t="s">
        <v>642</v>
      </c>
      <c r="B40" s="483">
        <v>7700</v>
      </c>
      <c r="C40" s="477"/>
      <c r="D40" s="477"/>
      <c r="E40" s="1736">
        <f>SUM(C66:D69)</f>
        <v>0</v>
      </c>
      <c r="F40" s="477"/>
      <c r="G40" s="477"/>
      <c r="H40" s="480"/>
      <c r="I40" s="477"/>
      <c r="J40" s="477"/>
      <c r="K40" s="477"/>
      <c r="L40" s="524"/>
    </row>
    <row r="41" spans="1:12" s="485" customFormat="1" ht="13.7" customHeight="1" x14ac:dyDescent="0.2">
      <c r="A41" s="1486" t="s">
        <v>640</v>
      </c>
      <c r="B41" s="483">
        <v>7800</v>
      </c>
      <c r="C41" s="480"/>
      <c r="D41" s="480"/>
      <c r="E41" s="526"/>
      <c r="F41" s="480"/>
      <c r="G41" s="480"/>
      <c r="H41" s="1736">
        <f>SUM(C70:D73)</f>
        <v>0</v>
      </c>
      <c r="I41" s="477"/>
      <c r="J41" s="477"/>
      <c r="K41" s="480"/>
      <c r="L41" s="524"/>
    </row>
    <row r="42" spans="1:12" s="485" customFormat="1" ht="13.7"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7" customHeight="1" x14ac:dyDescent="0.2">
      <c r="A43" s="1486" t="s">
        <v>373</v>
      </c>
      <c r="B43" s="483">
        <v>7990</v>
      </c>
      <c r="C43" s="467">
        <v>0</v>
      </c>
      <c r="D43" s="467">
        <v>0</v>
      </c>
      <c r="E43" s="467">
        <v>0</v>
      </c>
      <c r="F43" s="467">
        <v>0</v>
      </c>
      <c r="G43" s="467">
        <v>0</v>
      </c>
      <c r="H43" s="467">
        <v>0</v>
      </c>
      <c r="I43" s="467">
        <v>0</v>
      </c>
      <c r="J43" s="467">
        <v>0</v>
      </c>
      <c r="K43" s="467">
        <v>0</v>
      </c>
      <c r="L43" s="524"/>
    </row>
    <row r="44" spans="1:12" s="485" customFormat="1" ht="13.7" customHeight="1" thickBot="1" x14ac:dyDescent="0.25">
      <c r="A44" s="2159" t="s">
        <v>374</v>
      </c>
      <c r="B44" s="2160"/>
      <c r="C44" s="1696">
        <f>SUM(C24:C43)</f>
        <v>0</v>
      </c>
      <c r="D44" s="1696">
        <f t="shared" ref="D44:K44" si="6">SUM(D24:D43)</f>
        <v>0</v>
      </c>
      <c r="E44" s="1696">
        <f t="shared" si="6"/>
        <v>0</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53" t="s">
        <v>108</v>
      </c>
      <c r="B45" s="2154"/>
      <c r="C45" s="528"/>
      <c r="D45" s="528"/>
      <c r="E45" s="528"/>
      <c r="F45" s="528"/>
      <c r="G45" s="528"/>
      <c r="H45" s="528"/>
      <c r="I45" s="528"/>
      <c r="J45" s="528"/>
      <c r="K45" s="528"/>
      <c r="L45" s="347"/>
    </row>
    <row r="46" spans="1:12" s="485" customFormat="1" ht="15.75" customHeight="1" x14ac:dyDescent="0.2">
      <c r="A46" s="2161" t="s">
        <v>109</v>
      </c>
      <c r="B46" s="2162"/>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0</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6">
        <f>D30</f>
        <v>0</v>
      </c>
      <c r="L52" s="524"/>
    </row>
    <row r="53" spans="1:12" s="485" customFormat="1" ht="26.25" x14ac:dyDescent="0.2">
      <c r="A53" s="1487" t="s">
        <v>1792</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0</v>
      </c>
      <c r="D54" s="530" t="s">
        <v>1169</v>
      </c>
      <c r="E54" s="477"/>
      <c r="F54" s="477"/>
      <c r="G54" s="477"/>
      <c r="H54" s="530" t="s">
        <v>1169</v>
      </c>
      <c r="I54" s="477"/>
      <c r="J54" s="477"/>
      <c r="K54" s="475"/>
      <c r="L54" s="524"/>
    </row>
    <row r="55" spans="1:12" s="485" customFormat="1" ht="14.25" thickTop="1" thickBot="1" x14ac:dyDescent="0.25">
      <c r="A55" s="1488" t="s">
        <v>693</v>
      </c>
      <c r="B55" s="483">
        <v>8420</v>
      </c>
      <c r="C55" s="531">
        <v>0</v>
      </c>
      <c r="D55" s="531" t="s">
        <v>1169</v>
      </c>
      <c r="E55" s="477"/>
      <c r="F55" s="477"/>
      <c r="G55" s="477"/>
      <c r="H55" s="530" t="s">
        <v>1169</v>
      </c>
      <c r="I55" s="477"/>
      <c r="J55" s="477"/>
      <c r="K55" s="477"/>
      <c r="L55" s="524"/>
    </row>
    <row r="56" spans="1:12" s="485" customFormat="1" ht="14.25" thickTop="1" thickBot="1" x14ac:dyDescent="0.25">
      <c r="A56" s="1487" t="s">
        <v>581</v>
      </c>
      <c r="B56" s="483">
        <v>8430</v>
      </c>
      <c r="C56" s="531">
        <v>0</v>
      </c>
      <c r="D56" s="531" t="s">
        <v>1169</v>
      </c>
      <c r="E56" s="477"/>
      <c r="F56" s="477"/>
      <c r="G56" s="477"/>
      <c r="H56" s="530" t="s">
        <v>1169</v>
      </c>
      <c r="I56" s="477"/>
      <c r="J56" s="477"/>
      <c r="K56" s="477"/>
      <c r="L56" s="524"/>
    </row>
    <row r="57" spans="1:12" s="485" customFormat="1" ht="14.25" thickTop="1" thickBot="1" x14ac:dyDescent="0.25">
      <c r="A57" s="1488" t="s">
        <v>578</v>
      </c>
      <c r="B57" s="483">
        <v>8440</v>
      </c>
      <c r="C57" s="531">
        <v>0</v>
      </c>
      <c r="D57" s="531" t="s">
        <v>1169</v>
      </c>
      <c r="E57" s="477"/>
      <c r="F57" s="477"/>
      <c r="G57" s="477"/>
      <c r="H57" s="530" t="s">
        <v>1169</v>
      </c>
      <c r="I57" s="477"/>
      <c r="J57" s="477"/>
      <c r="K57" s="477"/>
      <c r="L57" s="524"/>
    </row>
    <row r="58" spans="1:12" s="485" customFormat="1" ht="14.25" thickTop="1" thickBot="1" x14ac:dyDescent="0.25">
      <c r="A58" s="1487" t="s">
        <v>579</v>
      </c>
      <c r="B58" s="483">
        <v>8510</v>
      </c>
      <c r="C58" s="531">
        <v>0</v>
      </c>
      <c r="D58" s="531" t="s">
        <v>1169</v>
      </c>
      <c r="E58" s="477"/>
      <c r="F58" s="477"/>
      <c r="G58" s="477"/>
      <c r="H58" s="530" t="s">
        <v>1169</v>
      </c>
      <c r="I58" s="477"/>
      <c r="J58" s="477"/>
      <c r="K58" s="477"/>
      <c r="L58" s="524"/>
    </row>
    <row r="59" spans="1:12" s="485" customFormat="1" ht="14.25" thickTop="1" thickBot="1" x14ac:dyDescent="0.25">
      <c r="A59" s="1489" t="s">
        <v>694</v>
      </c>
      <c r="B59" s="483">
        <v>8520</v>
      </c>
      <c r="C59" s="531">
        <v>0</v>
      </c>
      <c r="D59" s="531" t="s">
        <v>1169</v>
      </c>
      <c r="E59" s="477"/>
      <c r="F59" s="477"/>
      <c r="G59" s="477"/>
      <c r="H59" s="530" t="s">
        <v>1169</v>
      </c>
      <c r="I59" s="477"/>
      <c r="J59" s="477"/>
      <c r="K59" s="477"/>
      <c r="L59" s="524"/>
    </row>
    <row r="60" spans="1:12" s="485" customFormat="1" ht="14.25" thickTop="1" thickBot="1" x14ac:dyDescent="0.25">
      <c r="A60" s="1487" t="s">
        <v>580</v>
      </c>
      <c r="B60" s="483">
        <v>8530</v>
      </c>
      <c r="C60" s="531">
        <v>0</v>
      </c>
      <c r="D60" s="531" t="s">
        <v>1169</v>
      </c>
      <c r="E60" s="477"/>
      <c r="F60" s="477"/>
      <c r="G60" s="477"/>
      <c r="H60" s="530" t="s">
        <v>1169</v>
      </c>
      <c r="I60" s="477"/>
      <c r="J60" s="477"/>
      <c r="K60" s="477"/>
      <c r="L60" s="524"/>
    </row>
    <row r="61" spans="1:12" s="485" customFormat="1" ht="14.25" thickTop="1" thickBot="1" x14ac:dyDescent="0.25">
      <c r="A61" s="1488" t="s">
        <v>743</v>
      </c>
      <c r="B61" s="483">
        <v>8540</v>
      </c>
      <c r="C61" s="531">
        <v>0</v>
      </c>
      <c r="D61" s="531" t="s">
        <v>1169</v>
      </c>
      <c r="E61" s="477"/>
      <c r="F61" s="477"/>
      <c r="G61" s="477"/>
      <c r="H61" s="530" t="s">
        <v>1169</v>
      </c>
      <c r="I61" s="477"/>
      <c r="J61" s="477"/>
      <c r="K61" s="477"/>
      <c r="L61" s="524"/>
    </row>
    <row r="62" spans="1:12" s="485" customFormat="1" ht="13.7" customHeight="1" thickTop="1" thickBot="1" x14ac:dyDescent="0.25">
      <c r="A62" s="1487" t="s">
        <v>744</v>
      </c>
      <c r="B62" s="483">
        <v>8610</v>
      </c>
      <c r="C62" s="531">
        <v>0</v>
      </c>
      <c r="D62" s="531" t="s">
        <v>1169</v>
      </c>
      <c r="E62" s="477"/>
      <c r="F62" s="477"/>
      <c r="G62" s="477"/>
      <c r="H62" s="477"/>
      <c r="I62" s="477"/>
      <c r="J62" s="477"/>
      <c r="K62" s="477"/>
      <c r="L62" s="524"/>
    </row>
    <row r="63" spans="1:12" s="485" customFormat="1" ht="14.25" thickTop="1" thickBot="1" x14ac:dyDescent="0.25">
      <c r="A63" s="1488" t="s">
        <v>695</v>
      </c>
      <c r="B63" s="483">
        <v>8620</v>
      </c>
      <c r="C63" s="531">
        <v>0</v>
      </c>
      <c r="D63" s="531" t="s">
        <v>1169</v>
      </c>
      <c r="E63" s="477"/>
      <c r="F63" s="477"/>
      <c r="G63" s="477"/>
      <c r="H63" s="477"/>
      <c r="I63" s="477"/>
      <c r="J63" s="477"/>
      <c r="K63" s="477"/>
      <c r="L63" s="524"/>
    </row>
    <row r="64" spans="1:12" s="485" customFormat="1" ht="13.7" customHeight="1" thickTop="1" thickBot="1" x14ac:dyDescent="0.25">
      <c r="A64" s="1487" t="s">
        <v>745</v>
      </c>
      <c r="B64" s="483">
        <v>8630</v>
      </c>
      <c r="C64" s="531">
        <v>0</v>
      </c>
      <c r="D64" s="531" t="s">
        <v>1169</v>
      </c>
      <c r="E64" s="477"/>
      <c r="F64" s="477"/>
      <c r="G64" s="477"/>
      <c r="H64" s="477"/>
      <c r="I64" s="477"/>
      <c r="J64" s="477"/>
      <c r="K64" s="477"/>
      <c r="L64" s="524"/>
    </row>
    <row r="65" spans="1:12" s="485" customFormat="1" ht="14.25" thickTop="1" thickBot="1" x14ac:dyDescent="0.25">
      <c r="A65" s="1488" t="s">
        <v>746</v>
      </c>
      <c r="B65" s="483">
        <v>8640</v>
      </c>
      <c r="C65" s="531">
        <v>0</v>
      </c>
      <c r="D65" s="531" t="s">
        <v>1169</v>
      </c>
      <c r="E65" s="477"/>
      <c r="F65" s="477"/>
      <c r="G65" s="477"/>
      <c r="H65" s="477"/>
      <c r="I65" s="477"/>
      <c r="J65" s="477"/>
      <c r="K65" s="477"/>
      <c r="L65" s="524"/>
    </row>
    <row r="66" spans="1:12" s="485" customFormat="1" ht="14.25" thickTop="1" thickBot="1" x14ac:dyDescent="0.25">
      <c r="A66" s="1487" t="s">
        <v>747</v>
      </c>
      <c r="B66" s="483">
        <v>8710</v>
      </c>
      <c r="C66" s="531">
        <v>0</v>
      </c>
      <c r="D66" s="531" t="s">
        <v>1169</v>
      </c>
      <c r="E66" s="477"/>
      <c r="F66" s="477"/>
      <c r="G66" s="477"/>
      <c r="H66" s="477"/>
      <c r="I66" s="477"/>
      <c r="J66" s="477"/>
      <c r="K66" s="477"/>
      <c r="L66" s="524"/>
    </row>
    <row r="67" spans="1:12" s="485" customFormat="1" ht="14.25" thickTop="1" thickBot="1" x14ac:dyDescent="0.25">
      <c r="A67" s="1488" t="s">
        <v>696</v>
      </c>
      <c r="B67" s="483">
        <v>8720</v>
      </c>
      <c r="C67" s="531">
        <v>0</v>
      </c>
      <c r="D67" s="531" t="s">
        <v>1169</v>
      </c>
      <c r="E67" s="477"/>
      <c r="F67" s="477"/>
      <c r="G67" s="477"/>
      <c r="H67" s="477"/>
      <c r="I67" s="477"/>
      <c r="J67" s="477"/>
      <c r="K67" s="477"/>
      <c r="L67" s="524"/>
    </row>
    <row r="68" spans="1:12" s="485" customFormat="1" ht="14.25" thickTop="1" thickBot="1" x14ac:dyDescent="0.25">
      <c r="A68" s="1489" t="s">
        <v>748</v>
      </c>
      <c r="B68" s="483">
        <v>8730</v>
      </c>
      <c r="C68" s="531">
        <v>0</v>
      </c>
      <c r="D68" s="531" t="s">
        <v>1169</v>
      </c>
      <c r="E68" s="477"/>
      <c r="F68" s="477"/>
      <c r="G68" s="477"/>
      <c r="H68" s="477"/>
      <c r="I68" s="477"/>
      <c r="J68" s="477"/>
      <c r="K68" s="477"/>
      <c r="L68" s="524"/>
    </row>
    <row r="69" spans="1:12" s="485" customFormat="1" ht="14.25" thickTop="1" thickBot="1" x14ac:dyDescent="0.25">
      <c r="A69" s="1488" t="s">
        <v>749</v>
      </c>
      <c r="B69" s="483">
        <v>8740</v>
      </c>
      <c r="C69" s="531">
        <v>0</v>
      </c>
      <c r="D69" s="531" t="s">
        <v>1169</v>
      </c>
      <c r="E69" s="477"/>
      <c r="F69" s="477"/>
      <c r="G69" s="477"/>
      <c r="H69" s="477"/>
      <c r="I69" s="477"/>
      <c r="J69" s="477"/>
      <c r="K69" s="477"/>
      <c r="L69" s="524"/>
    </row>
    <row r="70" spans="1:12" s="485" customFormat="1" ht="14.25" thickTop="1" thickBot="1" x14ac:dyDescent="0.25">
      <c r="A70" s="1487" t="s">
        <v>750</v>
      </c>
      <c r="B70" s="483">
        <v>8810</v>
      </c>
      <c r="C70" s="531">
        <v>0</v>
      </c>
      <c r="D70" s="531" t="s">
        <v>1169</v>
      </c>
      <c r="E70" s="477"/>
      <c r="F70" s="477"/>
      <c r="G70" s="477"/>
      <c r="H70" s="477"/>
      <c r="I70" s="477"/>
      <c r="J70" s="477"/>
      <c r="K70" s="477"/>
      <c r="L70" s="524"/>
    </row>
    <row r="71" spans="1:12" s="485" customFormat="1" ht="14.25" thickTop="1" thickBot="1" x14ac:dyDescent="0.25">
      <c r="A71" s="1487" t="s">
        <v>754</v>
      </c>
      <c r="B71" s="483">
        <v>8820</v>
      </c>
      <c r="C71" s="531">
        <v>0</v>
      </c>
      <c r="D71" s="531" t="s">
        <v>1169</v>
      </c>
      <c r="E71" s="477"/>
      <c r="F71" s="477"/>
      <c r="G71" s="477"/>
      <c r="H71" s="477"/>
      <c r="I71" s="477"/>
      <c r="J71" s="477"/>
      <c r="K71" s="477"/>
      <c r="L71" s="524"/>
    </row>
    <row r="72" spans="1:12" s="485" customFormat="1" ht="14.25" thickTop="1" thickBot="1" x14ac:dyDescent="0.25">
      <c r="A72" s="1487" t="s">
        <v>751</v>
      </c>
      <c r="B72" s="483">
        <v>8830</v>
      </c>
      <c r="C72" s="531">
        <v>0</v>
      </c>
      <c r="D72" s="531" t="s">
        <v>1169</v>
      </c>
      <c r="E72" s="477"/>
      <c r="F72" s="477"/>
      <c r="G72" s="477"/>
      <c r="H72" s="477"/>
      <c r="I72" s="477"/>
      <c r="J72" s="477"/>
      <c r="K72" s="477"/>
      <c r="L72" s="524"/>
    </row>
    <row r="73" spans="1:12" s="485" customFormat="1" ht="14.25" thickTop="1" thickBot="1" x14ac:dyDescent="0.25">
      <c r="A73" s="1487" t="s">
        <v>752</v>
      </c>
      <c r="B73" s="483">
        <v>8840</v>
      </c>
      <c r="C73" s="531">
        <v>0</v>
      </c>
      <c r="D73" s="531" t="s">
        <v>1169</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5" t="s">
        <v>440</v>
      </c>
      <c r="B76" s="2136"/>
      <c r="C76" s="1696">
        <f t="shared" ref="C76:K76" si="7">SUM(C47:C75)</f>
        <v>0</v>
      </c>
      <c r="D76" s="1696">
        <f t="shared" si="7"/>
        <v>0</v>
      </c>
      <c r="E76" s="1696">
        <f t="shared" si="7"/>
        <v>0</v>
      </c>
      <c r="F76" s="1696">
        <f t="shared" si="7"/>
        <v>0</v>
      </c>
      <c r="G76" s="1696">
        <f t="shared" si="7"/>
        <v>0</v>
      </c>
      <c r="H76" s="1696">
        <f t="shared" si="7"/>
        <v>0</v>
      </c>
      <c r="I76" s="1696">
        <f t="shared" si="7"/>
        <v>0</v>
      </c>
      <c r="J76" s="1696">
        <f t="shared" si="7"/>
        <v>0</v>
      </c>
      <c r="K76" s="1696">
        <f t="shared" si="7"/>
        <v>0</v>
      </c>
      <c r="L76" s="524"/>
    </row>
    <row r="77" spans="1:12" ht="14.25" thickTop="1" thickBot="1" x14ac:dyDescent="0.25">
      <c r="A77" s="2137" t="s">
        <v>1177</v>
      </c>
      <c r="B77" s="2138"/>
      <c r="C77" s="1696">
        <f t="shared" ref="C77:K77" si="8">C44-C76</f>
        <v>0</v>
      </c>
      <c r="D77" s="1696">
        <f t="shared" si="8"/>
        <v>0</v>
      </c>
      <c r="E77" s="1696">
        <f t="shared" si="8"/>
        <v>0</v>
      </c>
      <c r="F77" s="1696">
        <f t="shared" si="8"/>
        <v>0</v>
      </c>
      <c r="G77" s="1696">
        <f t="shared" si="8"/>
        <v>0</v>
      </c>
      <c r="H77" s="1696">
        <f t="shared" si="8"/>
        <v>0</v>
      </c>
      <c r="I77" s="1696">
        <f t="shared" si="8"/>
        <v>0</v>
      </c>
      <c r="J77" s="1696">
        <f t="shared" si="8"/>
        <v>0</v>
      </c>
      <c r="K77" s="1696">
        <f t="shared" si="8"/>
        <v>0</v>
      </c>
      <c r="L77" s="347"/>
    </row>
    <row r="78" spans="1:12" ht="21.75" customHeight="1" thickTop="1" thickBot="1" x14ac:dyDescent="0.25">
      <c r="A78" s="2141" t="s">
        <v>597</v>
      </c>
      <c r="B78" s="2142"/>
      <c r="C78" s="1695">
        <f t="shared" ref="C78:K78" si="9">C20+C77</f>
        <v>218962</v>
      </c>
      <c r="D78" s="1695">
        <f t="shared" si="9"/>
        <v>0</v>
      </c>
      <c r="E78" s="1695">
        <f t="shared" si="9"/>
        <v>0</v>
      </c>
      <c r="F78" s="1695">
        <f t="shared" si="9"/>
        <v>0</v>
      </c>
      <c r="G78" s="1695">
        <f t="shared" si="9"/>
        <v>0</v>
      </c>
      <c r="H78" s="1695">
        <f t="shared" si="9"/>
        <v>0</v>
      </c>
      <c r="I78" s="1695">
        <f t="shared" si="9"/>
        <v>0</v>
      </c>
      <c r="J78" s="1695">
        <f t="shared" si="9"/>
        <v>0</v>
      </c>
      <c r="K78" s="1695">
        <f t="shared" si="9"/>
        <v>0</v>
      </c>
      <c r="L78" s="533"/>
    </row>
    <row r="79" spans="1:12" ht="13.5" thickTop="1" x14ac:dyDescent="0.2">
      <c r="A79" s="1491" t="s">
        <v>1943</v>
      </c>
      <c r="B79" s="534"/>
      <c r="C79" s="639">
        <v>2077901</v>
      </c>
      <c r="D79" s="535"/>
      <c r="E79" s="535"/>
      <c r="F79" s="535"/>
      <c r="G79" s="535"/>
      <c r="H79" s="535"/>
      <c r="I79" s="535"/>
      <c r="J79" s="535"/>
      <c r="K79" s="535"/>
      <c r="L79" s="347"/>
    </row>
    <row r="80" spans="1:12" x14ac:dyDescent="0.2">
      <c r="A80" s="2147" t="s">
        <v>1791</v>
      </c>
      <c r="B80" s="2148"/>
      <c r="C80" s="467"/>
      <c r="D80" s="467"/>
      <c r="E80" s="467"/>
      <c r="F80" s="467"/>
      <c r="G80" s="467"/>
      <c r="H80" s="467"/>
      <c r="I80" s="467"/>
      <c r="J80" s="467"/>
      <c r="K80" s="467"/>
      <c r="L80" s="347"/>
    </row>
    <row r="81" spans="1:12" ht="13.5" thickBot="1" x14ac:dyDescent="0.25">
      <c r="A81" s="2139" t="s">
        <v>1944</v>
      </c>
      <c r="B81" s="2140"/>
      <c r="C81" s="1681">
        <f>(SUM(C78:C80))</f>
        <v>2296863</v>
      </c>
      <c r="D81" s="1681">
        <f>SUM(D78:D80)</f>
        <v>0</v>
      </c>
      <c r="E81" s="1681">
        <f t="shared" ref="E81:K81" si="10">SUM(E78:E80)</f>
        <v>0</v>
      </c>
      <c r="F81" s="1681">
        <f t="shared" si="10"/>
        <v>0</v>
      </c>
      <c r="G81" s="1681">
        <f t="shared" si="10"/>
        <v>0</v>
      </c>
      <c r="H81" s="1681">
        <f t="shared" si="10"/>
        <v>0</v>
      </c>
      <c r="I81" s="1681">
        <f t="shared" si="10"/>
        <v>0</v>
      </c>
      <c r="J81" s="1681">
        <f t="shared" si="10"/>
        <v>0</v>
      </c>
      <c r="K81" s="1681">
        <f t="shared" si="10"/>
        <v>0</v>
      </c>
      <c r="L81" s="347"/>
    </row>
    <row r="82" spans="1:12" ht="0.95" customHeight="1" thickTop="1" thickBot="1" x14ac:dyDescent="0.25">
      <c r="A82" s="536" t="s">
        <v>343</v>
      </c>
      <c r="B82" s="537"/>
      <c r="C82" s="538">
        <f>(C81-C79)</f>
        <v>218962</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9.5330892613098822E-2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3" activePane="bottomLeft" state="frozen"/>
      <selection pane="bottomLeft" activeCell="C107" sqref="C107"/>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3" t="s">
        <v>1798</v>
      </c>
      <c r="B1" s="452"/>
      <c r="C1" s="453" t="s">
        <v>425</v>
      </c>
      <c r="D1" s="453" t="s">
        <v>426</v>
      </c>
      <c r="E1" s="453" t="s">
        <v>427</v>
      </c>
      <c r="F1" s="453" t="s">
        <v>428</v>
      </c>
      <c r="G1" s="453" t="s">
        <v>429</v>
      </c>
      <c r="H1" s="453" t="s">
        <v>430</v>
      </c>
      <c r="I1" s="453" t="s">
        <v>431</v>
      </c>
      <c r="J1" s="453" t="s">
        <v>432</v>
      </c>
      <c r="K1" s="453" t="s">
        <v>756</v>
      </c>
    </row>
    <row r="2" spans="1:12" ht="36" x14ac:dyDescent="0.2">
      <c r="A2" s="214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0</v>
      </c>
      <c r="D5" s="568">
        <v>0</v>
      </c>
      <c r="E5" s="466">
        <v>0</v>
      </c>
      <c r="F5" s="548">
        <v>0</v>
      </c>
      <c r="G5" s="466">
        <v>0</v>
      </c>
      <c r="H5" s="466">
        <v>0</v>
      </c>
      <c r="I5" s="466">
        <v>0</v>
      </c>
      <c r="J5" s="467" t="s">
        <v>1169</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413</v>
      </c>
      <c r="B8" s="470">
        <v>1150</v>
      </c>
      <c r="C8" s="475"/>
      <c r="D8" s="475"/>
      <c r="E8" s="477"/>
      <c r="F8" s="477"/>
      <c r="G8" s="568">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0</v>
      </c>
      <c r="D12" s="1700">
        <f t="shared" si="0"/>
        <v>0</v>
      </c>
      <c r="E12" s="1700">
        <f t="shared" si="0"/>
        <v>0</v>
      </c>
      <c r="F12" s="1700">
        <f t="shared" si="0"/>
        <v>0</v>
      </c>
      <c r="G12" s="1700">
        <f t="shared" si="0"/>
        <v>0</v>
      </c>
      <c r="H12" s="1700">
        <f t="shared" si="0"/>
        <v>0</v>
      </c>
      <c r="I12" s="1700">
        <f t="shared" si="0"/>
        <v>0</v>
      </c>
      <c r="J12" s="1700">
        <f t="shared" si="0"/>
        <v>0</v>
      </c>
      <c r="K12" s="1681">
        <f t="shared" si="0"/>
        <v>0</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0</v>
      </c>
      <c r="D18" s="1703">
        <f t="shared" ref="D18:K18" si="1">SUM(D14:D17)</f>
        <v>0</v>
      </c>
      <c r="E18" s="1703">
        <f t="shared" si="1"/>
        <v>0</v>
      </c>
      <c r="F18" s="1703">
        <f t="shared" si="1"/>
        <v>0</v>
      </c>
      <c r="G18" s="1703">
        <f t="shared" si="1"/>
        <v>0</v>
      </c>
      <c r="H18" s="1703">
        <f t="shared" si="1"/>
        <v>0</v>
      </c>
      <c r="I18" s="1703">
        <f t="shared" si="1"/>
        <v>0</v>
      </c>
      <c r="J18" s="1703">
        <f t="shared" si="1"/>
        <v>0</v>
      </c>
      <c r="K18" s="1704">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10920159</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10920159</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f>-1+16902</f>
        <v>16901</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16901</v>
      </c>
      <c r="D67" s="1681">
        <f t="shared" ref="D67:K67" si="2">SUM(D65:D66)</f>
        <v>0</v>
      </c>
      <c r="E67" s="1681">
        <f t="shared" si="2"/>
        <v>0</v>
      </c>
      <c r="F67" s="1681">
        <f t="shared" si="2"/>
        <v>0</v>
      </c>
      <c r="G67" s="1681">
        <f t="shared" si="2"/>
        <v>0</v>
      </c>
      <c r="H67" s="1681">
        <f t="shared" si="2"/>
        <v>0</v>
      </c>
      <c r="I67" s="1681">
        <f t="shared" si="2"/>
        <v>0</v>
      </c>
      <c r="J67" s="1681">
        <f t="shared" si="2"/>
        <v>0</v>
      </c>
      <c r="K67" s="1681">
        <f t="shared" si="2"/>
        <v>0</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548</v>
      </c>
      <c r="B75" s="1702"/>
      <c r="C75" s="1681">
        <f>SUM(C69:C74)</f>
        <v>0</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0</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0</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1661</v>
      </c>
      <c r="D96" s="551">
        <v>0</v>
      </c>
      <c r="E96" s="479">
        <v>0</v>
      </c>
      <c r="F96" s="639">
        <v>0</v>
      </c>
      <c r="G96" s="639">
        <v>0</v>
      </c>
      <c r="H96" s="639">
        <v>0</v>
      </c>
      <c r="I96" s="639">
        <v>0</v>
      </c>
      <c r="J96" s="639">
        <v>0</v>
      </c>
      <c r="K96" s="639">
        <v>0</v>
      </c>
    </row>
    <row r="97" spans="1:12" ht="12.75" customHeight="1" x14ac:dyDescent="0.2">
      <c r="A97" s="1492"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6296</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t="s">
        <v>1169</v>
      </c>
      <c r="F103" s="468"/>
      <c r="G103" s="468"/>
      <c r="H103" s="489" t="s">
        <v>1169</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195078</v>
      </c>
      <c r="D107" s="466">
        <v>0</v>
      </c>
      <c r="E107" s="466">
        <v>0</v>
      </c>
      <c r="F107" s="466">
        <v>0</v>
      </c>
      <c r="G107" s="466">
        <v>0</v>
      </c>
      <c r="H107" s="466">
        <v>0</v>
      </c>
      <c r="I107" s="466">
        <v>0</v>
      </c>
      <c r="J107" s="467">
        <v>0</v>
      </c>
      <c r="K107" s="466">
        <v>0</v>
      </c>
    </row>
    <row r="108" spans="1:12" ht="12.75" customHeight="1" thickBot="1" x14ac:dyDescent="0.25">
      <c r="A108" s="1701" t="s">
        <v>487</v>
      </c>
      <c r="B108" s="1705"/>
      <c r="C108" s="1700">
        <f>SUM(C95:C107)</f>
        <v>203035</v>
      </c>
      <c r="D108" s="1700">
        <f t="shared" ref="D108:K108" si="3">SUM(D95:D107)</f>
        <v>0</v>
      </c>
      <c r="E108" s="1700">
        <f t="shared" si="3"/>
        <v>0</v>
      </c>
      <c r="F108" s="1700">
        <f t="shared" si="3"/>
        <v>0</v>
      </c>
      <c r="G108" s="1700">
        <f t="shared" si="3"/>
        <v>0</v>
      </c>
      <c r="H108" s="1700">
        <f t="shared" si="3"/>
        <v>0</v>
      </c>
      <c r="I108" s="1700">
        <f t="shared" si="3"/>
        <v>0</v>
      </c>
      <c r="J108" s="1700">
        <f t="shared" si="3"/>
        <v>0</v>
      </c>
      <c r="K108" s="1681">
        <f t="shared" si="3"/>
        <v>0</v>
      </c>
    </row>
    <row r="109" spans="1:12" ht="14.25" thickTop="1" thickBot="1" x14ac:dyDescent="0.25">
      <c r="A109" s="1706" t="s">
        <v>248</v>
      </c>
      <c r="B109" s="1707" t="s">
        <v>570</v>
      </c>
      <c r="C109" s="1708">
        <f t="shared" ref="C109:K109" si="4">SUM(C12,C18,C40,C63,C67,C75,C82,C93,C108,)</f>
        <v>11140095</v>
      </c>
      <c r="D109" s="1708">
        <f t="shared" si="4"/>
        <v>0</v>
      </c>
      <c r="E109" s="1708">
        <f t="shared" si="4"/>
        <v>0</v>
      </c>
      <c r="F109" s="1708">
        <f t="shared" si="4"/>
        <v>0</v>
      </c>
      <c r="G109" s="1708">
        <f t="shared" si="4"/>
        <v>0</v>
      </c>
      <c r="H109" s="1708">
        <f t="shared" si="4"/>
        <v>0</v>
      </c>
      <c r="I109" s="1708">
        <f t="shared" si="4"/>
        <v>0</v>
      </c>
      <c r="J109" s="1708">
        <f t="shared" si="4"/>
        <v>0</v>
      </c>
      <c r="K109" s="1695">
        <f t="shared" si="4"/>
        <v>0</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1831035</v>
      </c>
      <c r="D111" s="568">
        <v>0</v>
      </c>
      <c r="E111" s="560"/>
      <c r="F111" s="568">
        <v>0</v>
      </c>
      <c r="G111" s="568">
        <v>0</v>
      </c>
      <c r="H111" s="560"/>
      <c r="I111" s="468"/>
      <c r="J111" s="468"/>
      <c r="K111" s="468"/>
    </row>
    <row r="112" spans="1:12" ht="12.75" customHeight="1" x14ac:dyDescent="0.2">
      <c r="A112" s="463" t="s">
        <v>824</v>
      </c>
      <c r="B112" s="470">
        <v>2200</v>
      </c>
      <c r="C112" s="551">
        <v>895282</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2726317</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0</v>
      </c>
      <c r="D117" s="568">
        <v>0</v>
      </c>
      <c r="E117" s="466">
        <v>0</v>
      </c>
      <c r="F117" s="568">
        <v>0</v>
      </c>
      <c r="G117" s="568">
        <v>0</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2" t="s">
        <v>1930</v>
      </c>
      <c r="B120" s="561">
        <v>3030</v>
      </c>
      <c r="C120" s="551">
        <v>0</v>
      </c>
      <c r="D120" s="466" t="s">
        <v>1169</v>
      </c>
      <c r="E120" s="466" t="s">
        <v>1169</v>
      </c>
      <c r="F120" s="466" t="s">
        <v>1169</v>
      </c>
      <c r="G120" s="466" t="s">
        <v>1169</v>
      </c>
      <c r="H120" s="466" t="s">
        <v>1169</v>
      </c>
      <c r="I120" s="468"/>
      <c r="J120" s="467" t="s">
        <v>1169</v>
      </c>
      <c r="K120" s="466" t="s">
        <v>1169</v>
      </c>
    </row>
    <row r="121" spans="1:11" x14ac:dyDescent="0.2">
      <c r="A121" s="1493"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0</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0</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0</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0</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0</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0</v>
      </c>
      <c r="G152" s="467">
        <v>0</v>
      </c>
      <c r="H152" s="468"/>
      <c r="I152" s="468"/>
      <c r="J152" s="468"/>
      <c r="K152" s="468"/>
    </row>
    <row r="153" spans="1:11" ht="12.75" customHeight="1" x14ac:dyDescent="0.2">
      <c r="A153" s="463" t="s">
        <v>1057</v>
      </c>
      <c r="B153" s="561">
        <v>3510</v>
      </c>
      <c r="C153" s="551">
        <v>0</v>
      </c>
      <c r="D153" s="466">
        <v>0</v>
      </c>
      <c r="E153" s="560"/>
      <c r="F153" s="466">
        <v>0</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0</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0</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t="s">
        <v>1169</v>
      </c>
      <c r="I167" s="468"/>
      <c r="J167" s="468"/>
      <c r="K167" s="530">
        <v>0</v>
      </c>
    </row>
    <row r="168" spans="1:11" ht="14.25" thickTop="1" thickBot="1" x14ac:dyDescent="0.25">
      <c r="A168" s="1497"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163" t="s">
        <v>398</v>
      </c>
      <c r="B169" s="2164"/>
      <c r="C169" s="1715">
        <f t="shared" ref="C169:K169" si="6">SUM(C132,C141,C145,C146:C150,C155,C156:C167,C168)</f>
        <v>0</v>
      </c>
      <c r="D169" s="1715">
        <f t="shared" si="6"/>
        <v>0</v>
      </c>
      <c r="E169" s="1715">
        <f t="shared" si="6"/>
        <v>0</v>
      </c>
      <c r="F169" s="1715">
        <f t="shared" si="6"/>
        <v>0</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0</v>
      </c>
      <c r="D170" s="1708">
        <f t="shared" si="7"/>
        <v>0</v>
      </c>
      <c r="E170" s="1708">
        <f t="shared" si="7"/>
        <v>0</v>
      </c>
      <c r="F170" s="1708">
        <f t="shared" si="7"/>
        <v>0</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5" t="s">
        <v>1492</v>
      </c>
      <c r="B172" s="2166"/>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69" t="s">
        <v>1665</v>
      </c>
      <c r="B175" s="2170"/>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3" t="s">
        <v>1664</v>
      </c>
      <c r="B176" s="2174"/>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71" t="s">
        <v>785</v>
      </c>
      <c r="B181" s="2172"/>
      <c r="C181" s="1700">
        <f>SUM(C177:C180)</f>
        <v>0</v>
      </c>
      <c r="D181" s="1700">
        <f>SUM(D177:D180)</f>
        <v>0</v>
      </c>
      <c r="E181" s="468"/>
      <c r="F181" s="1700">
        <f>SUM(F177:F180)</f>
        <v>0</v>
      </c>
      <c r="G181" s="1700">
        <f>SUM(G177:G180)</f>
        <v>0</v>
      </c>
      <c r="H181" s="1700">
        <f>SUM(H177:H180)</f>
        <v>0</v>
      </c>
      <c r="I181" s="468"/>
      <c r="J181" s="468"/>
      <c r="K181" s="1681">
        <f>SUM(K177:K180)</f>
        <v>0</v>
      </c>
    </row>
    <row r="182" spans="1:11" ht="22.7" customHeight="1" thickTop="1" x14ac:dyDescent="0.2">
      <c r="A182" s="2167" t="s">
        <v>1799</v>
      </c>
      <c r="B182" s="2168"/>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0</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0</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0</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400</v>
      </c>
      <c r="B204" s="1702"/>
      <c r="C204" s="1700">
        <f>SUM(C200:C203)</f>
        <v>0</v>
      </c>
      <c r="D204" s="1700">
        <f>SUM(D200:D203)</f>
        <v>0</v>
      </c>
      <c r="E204" s="468"/>
      <c r="F204" s="1700">
        <f>SUM(F200:F203)</f>
        <v>0</v>
      </c>
      <c r="G204" s="1700">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0</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121872</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2853628</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2975500</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1931</v>
      </c>
      <c r="B261" s="470">
        <v>4981</v>
      </c>
      <c r="C261" s="574">
        <v>0</v>
      </c>
      <c r="D261" s="575" t="s">
        <v>1169</v>
      </c>
      <c r="E261" s="468"/>
      <c r="F261" s="575" t="s">
        <v>1169</v>
      </c>
      <c r="G261" s="575" t="s">
        <v>1169</v>
      </c>
      <c r="H261" s="468"/>
      <c r="I261" s="468"/>
      <c r="J261" s="468"/>
      <c r="K261" s="468"/>
    </row>
    <row r="262" spans="1:11" ht="12.75" customHeight="1" thickTop="1" thickBot="1" x14ac:dyDescent="0.25">
      <c r="A262" s="1923" t="s">
        <v>1932</v>
      </c>
      <c r="B262" s="470">
        <v>4982</v>
      </c>
      <c r="C262" s="574">
        <v>0</v>
      </c>
      <c r="D262" s="575" t="s">
        <v>1169</v>
      </c>
      <c r="E262" s="468"/>
      <c r="F262" s="575" t="s">
        <v>1169</v>
      </c>
      <c r="G262" s="575" t="s">
        <v>1169</v>
      </c>
      <c r="H262" s="468"/>
      <c r="I262" s="468"/>
      <c r="J262" s="468"/>
      <c r="K262" s="468"/>
    </row>
    <row r="263" spans="1:11" ht="12.75" customHeight="1" thickTop="1" thickBot="1" x14ac:dyDescent="0.25">
      <c r="A263" s="463" t="s">
        <v>568</v>
      </c>
      <c r="B263" s="470">
        <v>4991</v>
      </c>
      <c r="C263" s="574">
        <v>148457</v>
      </c>
      <c r="D263" s="575">
        <v>0</v>
      </c>
      <c r="E263" s="468"/>
      <c r="F263" s="575">
        <v>0</v>
      </c>
      <c r="G263" s="575">
        <v>0</v>
      </c>
      <c r="H263" s="468"/>
      <c r="I263" s="468"/>
      <c r="J263" s="468"/>
      <c r="K263" s="468"/>
    </row>
    <row r="264" spans="1:11" ht="12.75" customHeight="1" thickTop="1" thickBot="1" x14ac:dyDescent="0.25">
      <c r="A264" s="463" t="s">
        <v>377</v>
      </c>
      <c r="B264" s="470">
        <v>4992</v>
      </c>
      <c r="C264" s="574">
        <v>77341</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3201298</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3201298</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17067710</v>
      </c>
      <c r="D268" s="1708">
        <f t="shared" si="12"/>
        <v>0</v>
      </c>
      <c r="E268" s="1708">
        <f t="shared" si="12"/>
        <v>0</v>
      </c>
      <c r="F268" s="1708">
        <f t="shared" si="12"/>
        <v>0</v>
      </c>
      <c r="G268" s="1708">
        <f t="shared" si="12"/>
        <v>0</v>
      </c>
      <c r="H268" s="1708">
        <f t="shared" si="12"/>
        <v>0</v>
      </c>
      <c r="I268" s="1708">
        <f t="shared" si="12"/>
        <v>0</v>
      </c>
      <c r="J268" s="1708">
        <f t="shared" si="12"/>
        <v>0</v>
      </c>
      <c r="K268" s="1695">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8" activePane="bottomLeft" state="frozen"/>
      <selection pane="bottomLeft" activeCell="H95" sqref="H95"/>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43" t="s">
        <v>1798</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75"/>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81" t="s">
        <v>297</v>
      </c>
      <c r="B3" s="2182"/>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0</v>
      </c>
      <c r="D5" s="466">
        <v>0</v>
      </c>
      <c r="E5" s="466">
        <v>0</v>
      </c>
      <c r="F5" s="466">
        <v>0</v>
      </c>
      <c r="G5" s="466">
        <v>0</v>
      </c>
      <c r="H5" s="466">
        <v>0</v>
      </c>
      <c r="I5" s="466">
        <v>0</v>
      </c>
      <c r="J5" s="466">
        <v>0</v>
      </c>
      <c r="K5" s="1664">
        <f>SUM(C5:J5)</f>
        <v>0</v>
      </c>
      <c r="L5" s="466"/>
    </row>
    <row r="6" spans="1:14" x14ac:dyDescent="0.2">
      <c r="A6" s="1501" t="s">
        <v>1433</v>
      </c>
      <c r="B6" s="613" t="s">
        <v>1431</v>
      </c>
      <c r="C6" s="477"/>
      <c r="D6" s="477"/>
      <c r="E6" s="466" t="s">
        <v>1169</v>
      </c>
      <c r="F6" s="477"/>
      <c r="G6" s="477"/>
      <c r="H6" s="477"/>
      <c r="I6" s="477"/>
      <c r="J6" s="477"/>
      <c r="K6" s="1664">
        <f>SUM(C6,E6)</f>
        <v>0</v>
      </c>
      <c r="L6" s="466"/>
    </row>
    <row r="7" spans="1:14" x14ac:dyDescent="0.2">
      <c r="A7" s="1501" t="s">
        <v>163</v>
      </c>
      <c r="B7" s="613" t="s">
        <v>967</v>
      </c>
      <c r="C7" s="466">
        <v>0</v>
      </c>
      <c r="D7" s="466">
        <v>0</v>
      </c>
      <c r="E7" s="466">
        <v>0</v>
      </c>
      <c r="F7" s="466">
        <v>0</v>
      </c>
      <c r="G7" s="466">
        <v>0</v>
      </c>
      <c r="H7" s="466">
        <v>0</v>
      </c>
      <c r="I7" s="466">
        <v>0</v>
      </c>
      <c r="J7" s="466">
        <v>0</v>
      </c>
      <c r="K7" s="1664">
        <f t="shared" ref="K7:K32" si="0">SUM(C7:J7)</f>
        <v>0</v>
      </c>
      <c r="L7" s="466"/>
    </row>
    <row r="8" spans="1:14" x14ac:dyDescent="0.2">
      <c r="A8" s="1501" t="s">
        <v>164</v>
      </c>
      <c r="B8" s="613">
        <v>1200</v>
      </c>
      <c r="C8" s="466">
        <v>6611685</v>
      </c>
      <c r="D8" s="466">
        <v>1835201</v>
      </c>
      <c r="E8" s="466">
        <v>59050</v>
      </c>
      <c r="F8" s="466">
        <v>40998</v>
      </c>
      <c r="G8" s="466">
        <v>0</v>
      </c>
      <c r="H8" s="466">
        <v>0</v>
      </c>
      <c r="I8" s="466">
        <v>0</v>
      </c>
      <c r="J8" s="466">
        <v>0</v>
      </c>
      <c r="K8" s="1664">
        <f t="shared" si="0"/>
        <v>8546934</v>
      </c>
      <c r="L8" s="466">
        <v>10761403</v>
      </c>
    </row>
    <row r="9" spans="1:14" x14ac:dyDescent="0.2">
      <c r="A9" s="1501" t="s">
        <v>721</v>
      </c>
      <c r="B9" s="613" t="s">
        <v>968</v>
      </c>
      <c r="C9" s="466">
        <v>438700</v>
      </c>
      <c r="D9" s="466">
        <v>124394</v>
      </c>
      <c r="E9" s="466">
        <v>583</v>
      </c>
      <c r="F9" s="466">
        <v>0</v>
      </c>
      <c r="G9" s="466">
        <v>0</v>
      </c>
      <c r="H9" s="466">
        <v>0</v>
      </c>
      <c r="I9" s="466">
        <v>0</v>
      </c>
      <c r="J9" s="466">
        <v>0</v>
      </c>
      <c r="K9" s="1664">
        <f t="shared" si="0"/>
        <v>563677</v>
      </c>
      <c r="L9" s="466">
        <v>573126</v>
      </c>
    </row>
    <row r="10" spans="1:14" x14ac:dyDescent="0.2">
      <c r="A10" s="1501" t="s">
        <v>722</v>
      </c>
      <c r="B10" s="613">
        <v>1250</v>
      </c>
      <c r="C10" s="466">
        <v>0</v>
      </c>
      <c r="D10" s="466">
        <v>0</v>
      </c>
      <c r="E10" s="466">
        <v>0</v>
      </c>
      <c r="F10" s="466">
        <v>0</v>
      </c>
      <c r="G10" s="466">
        <v>0</v>
      </c>
      <c r="H10" s="466">
        <v>0</v>
      </c>
      <c r="I10" s="466">
        <v>0</v>
      </c>
      <c r="J10" s="466">
        <v>0</v>
      </c>
      <c r="K10" s="1664">
        <f t="shared" si="0"/>
        <v>0</v>
      </c>
      <c r="L10" s="466"/>
    </row>
    <row r="11" spans="1:14" x14ac:dyDescent="0.2">
      <c r="A11" s="1501" t="s">
        <v>1130</v>
      </c>
      <c r="B11" s="613" t="s">
        <v>161</v>
      </c>
      <c r="C11" s="466">
        <v>0</v>
      </c>
      <c r="D11" s="466">
        <v>0</v>
      </c>
      <c r="E11" s="466">
        <v>0</v>
      </c>
      <c r="F11" s="466">
        <v>0</v>
      </c>
      <c r="G11" s="466">
        <v>0</v>
      </c>
      <c r="H11" s="466">
        <v>0</v>
      </c>
      <c r="I11" s="466">
        <v>0</v>
      </c>
      <c r="J11" s="466">
        <v>0</v>
      </c>
      <c r="K11" s="1664">
        <f t="shared" si="0"/>
        <v>0</v>
      </c>
      <c r="L11" s="466"/>
    </row>
    <row r="12" spans="1:14" x14ac:dyDescent="0.2">
      <c r="A12" s="1501" t="s">
        <v>962</v>
      </c>
      <c r="B12" s="613">
        <v>1300</v>
      </c>
      <c r="C12" s="466">
        <v>0</v>
      </c>
      <c r="D12" s="466">
        <v>0</v>
      </c>
      <c r="E12" s="466">
        <v>0</v>
      </c>
      <c r="F12" s="466">
        <v>0</v>
      </c>
      <c r="G12" s="466">
        <v>0</v>
      </c>
      <c r="H12" s="466">
        <v>0</v>
      </c>
      <c r="I12" s="466">
        <v>0</v>
      </c>
      <c r="J12" s="466">
        <v>0</v>
      </c>
      <c r="K12" s="1664">
        <f t="shared" si="0"/>
        <v>0</v>
      </c>
      <c r="L12" s="466"/>
    </row>
    <row r="13" spans="1:14" x14ac:dyDescent="0.2">
      <c r="A13" s="1501" t="s">
        <v>723</v>
      </c>
      <c r="B13" s="613">
        <v>1400</v>
      </c>
      <c r="C13" s="466">
        <v>174924</v>
      </c>
      <c r="D13" s="466">
        <v>35539</v>
      </c>
      <c r="E13" s="466">
        <v>9513</v>
      </c>
      <c r="F13" s="466">
        <v>21897</v>
      </c>
      <c r="G13" s="466">
        <v>0</v>
      </c>
      <c r="H13" s="466">
        <v>0</v>
      </c>
      <c r="I13" s="466">
        <v>0</v>
      </c>
      <c r="J13" s="466">
        <v>0</v>
      </c>
      <c r="K13" s="1664">
        <f t="shared" si="0"/>
        <v>241873</v>
      </c>
      <c r="L13" s="466">
        <v>248145</v>
      </c>
    </row>
    <row r="14" spans="1:14" x14ac:dyDescent="0.2">
      <c r="A14" s="1501" t="s">
        <v>963</v>
      </c>
      <c r="B14" s="613">
        <v>1500</v>
      </c>
      <c r="C14" s="466">
        <v>0</v>
      </c>
      <c r="D14" s="466">
        <v>0</v>
      </c>
      <c r="E14" s="466">
        <v>0</v>
      </c>
      <c r="F14" s="466">
        <v>0</v>
      </c>
      <c r="G14" s="466">
        <v>0</v>
      </c>
      <c r="H14" s="466">
        <v>0</v>
      </c>
      <c r="I14" s="466">
        <v>0</v>
      </c>
      <c r="J14" s="466">
        <v>0</v>
      </c>
      <c r="K14" s="1664">
        <f t="shared" si="0"/>
        <v>0</v>
      </c>
      <c r="L14" s="466"/>
    </row>
    <row r="15" spans="1:14" x14ac:dyDescent="0.2">
      <c r="A15" s="1501" t="s">
        <v>964</v>
      </c>
      <c r="B15" s="613">
        <v>1600</v>
      </c>
      <c r="C15" s="466">
        <v>10439</v>
      </c>
      <c r="D15" s="466">
        <v>1229</v>
      </c>
      <c r="E15" s="466">
        <v>1507</v>
      </c>
      <c r="F15" s="466">
        <v>192</v>
      </c>
      <c r="G15" s="466">
        <v>0</v>
      </c>
      <c r="H15" s="466">
        <v>0</v>
      </c>
      <c r="I15" s="466">
        <v>0</v>
      </c>
      <c r="J15" s="466">
        <v>0</v>
      </c>
      <c r="K15" s="1664">
        <f t="shared" si="0"/>
        <v>13367</v>
      </c>
      <c r="L15" s="466">
        <v>21079</v>
      </c>
    </row>
    <row r="16" spans="1:14" x14ac:dyDescent="0.2">
      <c r="A16" s="1501" t="s">
        <v>987</v>
      </c>
      <c r="B16" s="613" t="s">
        <v>424</v>
      </c>
      <c r="C16" s="466">
        <v>0</v>
      </c>
      <c r="D16" s="466">
        <v>0</v>
      </c>
      <c r="E16" s="466">
        <v>0</v>
      </c>
      <c r="F16" s="466">
        <v>0</v>
      </c>
      <c r="G16" s="466">
        <v>0</v>
      </c>
      <c r="H16" s="466">
        <v>0</v>
      </c>
      <c r="I16" s="466">
        <v>0</v>
      </c>
      <c r="J16" s="466">
        <v>0</v>
      </c>
      <c r="K16" s="1664">
        <f t="shared" si="0"/>
        <v>0</v>
      </c>
      <c r="L16" s="466"/>
    </row>
    <row r="17" spans="1:12" x14ac:dyDescent="0.2">
      <c r="A17" s="1501" t="s">
        <v>724</v>
      </c>
      <c r="B17" s="613" t="s">
        <v>162</v>
      </c>
      <c r="C17" s="466">
        <v>0</v>
      </c>
      <c r="D17" s="466">
        <v>0</v>
      </c>
      <c r="E17" s="466">
        <v>0</v>
      </c>
      <c r="F17" s="466">
        <v>0</v>
      </c>
      <c r="G17" s="466">
        <v>0</v>
      </c>
      <c r="H17" s="466">
        <v>0</v>
      </c>
      <c r="I17" s="466">
        <v>0</v>
      </c>
      <c r="J17" s="466">
        <v>0</v>
      </c>
      <c r="K17" s="1664">
        <f t="shared" si="0"/>
        <v>0</v>
      </c>
      <c r="L17" s="466"/>
    </row>
    <row r="18" spans="1:12" x14ac:dyDescent="0.2">
      <c r="A18" s="1501" t="s">
        <v>1087</v>
      </c>
      <c r="B18" s="613">
        <v>1800</v>
      </c>
      <c r="C18" s="466">
        <v>0</v>
      </c>
      <c r="D18" s="466">
        <v>0</v>
      </c>
      <c r="E18" s="466">
        <v>0</v>
      </c>
      <c r="F18" s="466">
        <v>0</v>
      </c>
      <c r="G18" s="466">
        <v>0</v>
      </c>
      <c r="H18" s="466">
        <v>0</v>
      </c>
      <c r="I18" s="466">
        <v>0</v>
      </c>
      <c r="J18" s="466">
        <v>0</v>
      </c>
      <c r="K18" s="1664">
        <f t="shared" si="0"/>
        <v>0</v>
      </c>
      <c r="L18" s="466"/>
    </row>
    <row r="19" spans="1:12" x14ac:dyDescent="0.2">
      <c r="A19" s="1501" t="s">
        <v>134</v>
      </c>
      <c r="B19" s="613">
        <v>1900</v>
      </c>
      <c r="C19" s="466">
        <v>0</v>
      </c>
      <c r="D19" s="466">
        <v>0</v>
      </c>
      <c r="E19" s="466">
        <v>0</v>
      </c>
      <c r="F19" s="466">
        <v>0</v>
      </c>
      <c r="G19" s="466">
        <v>0</v>
      </c>
      <c r="H19" s="466">
        <v>0</v>
      </c>
      <c r="I19" s="466">
        <v>0</v>
      </c>
      <c r="J19" s="466">
        <v>0</v>
      </c>
      <c r="K19" s="1664">
        <f t="shared" si="0"/>
        <v>0</v>
      </c>
      <c r="L19" s="466"/>
    </row>
    <row r="20" spans="1:12" x14ac:dyDescent="0.2">
      <c r="A20" s="1502" t="s">
        <v>738</v>
      </c>
      <c r="B20" s="601" t="s">
        <v>725</v>
      </c>
      <c r="C20" s="477"/>
      <c r="D20" s="477"/>
      <c r="E20" s="477"/>
      <c r="F20" s="477"/>
      <c r="G20" s="477"/>
      <c r="H20" s="466">
        <v>0</v>
      </c>
      <c r="I20" s="615"/>
      <c r="J20" s="475"/>
      <c r="K20" s="1664">
        <f t="shared" si="0"/>
        <v>0</v>
      </c>
      <c r="L20" s="471"/>
    </row>
    <row r="21" spans="1:12" x14ac:dyDescent="0.2">
      <c r="A21" s="1502" t="s">
        <v>739</v>
      </c>
      <c r="B21" s="601" t="s">
        <v>726</v>
      </c>
      <c r="C21" s="477"/>
      <c r="D21" s="477"/>
      <c r="E21" s="477"/>
      <c r="F21" s="477"/>
      <c r="G21" s="477"/>
      <c r="H21" s="466">
        <v>0</v>
      </c>
      <c r="I21" s="615"/>
      <c r="J21" s="477"/>
      <c r="K21" s="1664">
        <f t="shared" si="0"/>
        <v>0</v>
      </c>
      <c r="L21" s="471"/>
    </row>
    <row r="22" spans="1:12" x14ac:dyDescent="0.2">
      <c r="A22" s="1502" t="s">
        <v>740</v>
      </c>
      <c r="B22" s="601" t="s">
        <v>727</v>
      </c>
      <c r="C22" s="477"/>
      <c r="D22" s="477"/>
      <c r="E22" s="477"/>
      <c r="F22" s="477"/>
      <c r="G22" s="477"/>
      <c r="H22" s="466">
        <v>0</v>
      </c>
      <c r="I22" s="615"/>
      <c r="J22" s="477"/>
      <c r="K22" s="1664">
        <f t="shared" si="0"/>
        <v>0</v>
      </c>
      <c r="L22" s="471"/>
    </row>
    <row r="23" spans="1:12" x14ac:dyDescent="0.2">
      <c r="A23" s="1502" t="s">
        <v>741</v>
      </c>
      <c r="B23" s="601" t="s">
        <v>728</v>
      </c>
      <c r="C23" s="477"/>
      <c r="D23" s="477"/>
      <c r="E23" s="477"/>
      <c r="F23" s="477"/>
      <c r="G23" s="477"/>
      <c r="H23" s="466">
        <v>0</v>
      </c>
      <c r="I23" s="615"/>
      <c r="J23" s="477"/>
      <c r="K23" s="1664">
        <f t="shared" si="0"/>
        <v>0</v>
      </c>
      <c r="L23" s="471"/>
    </row>
    <row r="24" spans="1:12" ht="12.75" customHeight="1" x14ac:dyDescent="0.2">
      <c r="A24" s="1502" t="s">
        <v>742</v>
      </c>
      <c r="B24" s="601" t="s">
        <v>729</v>
      </c>
      <c r="C24" s="477"/>
      <c r="D24" s="477"/>
      <c r="E24" s="477"/>
      <c r="F24" s="477"/>
      <c r="G24" s="477"/>
      <c r="H24" s="466">
        <v>0</v>
      </c>
      <c r="I24" s="615"/>
      <c r="J24" s="477"/>
      <c r="K24" s="1664">
        <f t="shared" si="0"/>
        <v>0</v>
      </c>
      <c r="L24" s="471"/>
    </row>
    <row r="25" spans="1:12" ht="12.75" customHeight="1" x14ac:dyDescent="0.2">
      <c r="A25" s="1502" t="s">
        <v>802</v>
      </c>
      <c r="B25" s="601" t="s">
        <v>730</v>
      </c>
      <c r="C25" s="477"/>
      <c r="D25" s="477"/>
      <c r="E25" s="477"/>
      <c r="F25" s="477"/>
      <c r="G25" s="477"/>
      <c r="H25" s="466">
        <v>0</v>
      </c>
      <c r="I25" s="615"/>
      <c r="J25" s="477"/>
      <c r="K25" s="1664">
        <f t="shared" si="0"/>
        <v>0</v>
      </c>
      <c r="L25" s="471"/>
    </row>
    <row r="26" spans="1:12" x14ac:dyDescent="0.2">
      <c r="A26" s="1502" t="s">
        <v>622</v>
      </c>
      <c r="B26" s="601" t="s">
        <v>731</v>
      </c>
      <c r="C26" s="477"/>
      <c r="D26" s="477"/>
      <c r="E26" s="477"/>
      <c r="F26" s="477"/>
      <c r="G26" s="477"/>
      <c r="H26" s="466">
        <v>0</v>
      </c>
      <c r="I26" s="615"/>
      <c r="J26" s="477"/>
      <c r="K26" s="1664">
        <f t="shared" si="0"/>
        <v>0</v>
      </c>
      <c r="L26" s="471"/>
    </row>
    <row r="27" spans="1:12" x14ac:dyDescent="0.2">
      <c r="A27" s="1502" t="s">
        <v>623</v>
      </c>
      <c r="B27" s="601" t="s">
        <v>732</v>
      </c>
      <c r="C27" s="477"/>
      <c r="D27" s="477"/>
      <c r="E27" s="477"/>
      <c r="F27" s="477"/>
      <c r="G27" s="477"/>
      <c r="H27" s="466">
        <v>0</v>
      </c>
      <c r="I27" s="615"/>
      <c r="J27" s="477"/>
      <c r="K27" s="1664">
        <f t="shared" si="0"/>
        <v>0</v>
      </c>
      <c r="L27" s="471"/>
    </row>
    <row r="28" spans="1:12" x14ac:dyDescent="0.2">
      <c r="A28" s="1502" t="s">
        <v>150</v>
      </c>
      <c r="B28" s="601" t="s">
        <v>733</v>
      </c>
      <c r="C28" s="477"/>
      <c r="D28" s="477"/>
      <c r="E28" s="477"/>
      <c r="F28" s="477"/>
      <c r="G28" s="477"/>
      <c r="H28" s="466">
        <v>0</v>
      </c>
      <c r="I28" s="615"/>
      <c r="J28" s="477"/>
      <c r="K28" s="1664">
        <f t="shared" si="0"/>
        <v>0</v>
      </c>
      <c r="L28" s="471"/>
    </row>
    <row r="29" spans="1:12" x14ac:dyDescent="0.2">
      <c r="A29" s="1502" t="s">
        <v>151</v>
      </c>
      <c r="B29" s="601" t="s">
        <v>734</v>
      </c>
      <c r="C29" s="477"/>
      <c r="D29" s="477"/>
      <c r="E29" s="477"/>
      <c r="F29" s="477"/>
      <c r="G29" s="477"/>
      <c r="H29" s="466">
        <v>0</v>
      </c>
      <c r="I29" s="615"/>
      <c r="J29" s="477"/>
      <c r="K29" s="1664">
        <f t="shared" si="0"/>
        <v>0</v>
      </c>
      <c r="L29" s="471"/>
    </row>
    <row r="30" spans="1:12" x14ac:dyDescent="0.2">
      <c r="A30" s="1502" t="s">
        <v>152</v>
      </c>
      <c r="B30" s="601" t="s">
        <v>735</v>
      </c>
      <c r="C30" s="477"/>
      <c r="D30" s="477"/>
      <c r="E30" s="477"/>
      <c r="F30" s="477"/>
      <c r="G30" s="477"/>
      <c r="H30" s="466">
        <v>0</v>
      </c>
      <c r="I30" s="615"/>
      <c r="J30" s="477"/>
      <c r="K30" s="1664">
        <f t="shared" si="0"/>
        <v>0</v>
      </c>
      <c r="L30" s="471"/>
    </row>
    <row r="31" spans="1:12" x14ac:dyDescent="0.2">
      <c r="A31" s="1502" t="s">
        <v>153</v>
      </c>
      <c r="B31" s="601" t="s">
        <v>736</v>
      </c>
      <c r="C31" s="477"/>
      <c r="D31" s="477"/>
      <c r="E31" s="477"/>
      <c r="F31" s="477"/>
      <c r="G31" s="477"/>
      <c r="H31" s="466">
        <v>0</v>
      </c>
      <c r="I31" s="615"/>
      <c r="J31" s="477"/>
      <c r="K31" s="1664">
        <f t="shared" si="0"/>
        <v>0</v>
      </c>
      <c r="L31" s="471"/>
    </row>
    <row r="32" spans="1:12" x14ac:dyDescent="0.2">
      <c r="A32" s="1503" t="s">
        <v>1129</v>
      </c>
      <c r="B32" s="613" t="s">
        <v>737</v>
      </c>
      <c r="C32" s="477"/>
      <c r="D32" s="477"/>
      <c r="E32" s="477"/>
      <c r="F32" s="477"/>
      <c r="G32" s="477"/>
      <c r="H32" s="466">
        <v>0</v>
      </c>
      <c r="I32" s="615"/>
      <c r="J32" s="480"/>
      <c r="K32" s="1664">
        <f t="shared" si="0"/>
        <v>0</v>
      </c>
      <c r="L32" s="471"/>
    </row>
    <row r="33" spans="1:14" ht="12.75" customHeight="1" thickBot="1" x14ac:dyDescent="0.25">
      <c r="A33" s="1661" t="s">
        <v>1668</v>
      </c>
      <c r="B33" s="1662" t="s">
        <v>570</v>
      </c>
      <c r="C33" s="1663">
        <f>SUM(C5:C32)</f>
        <v>7235748</v>
      </c>
      <c r="D33" s="1663">
        <f t="shared" ref="D33:L33" si="1">SUM(D5:D32)</f>
        <v>1996363</v>
      </c>
      <c r="E33" s="1663">
        <f t="shared" si="1"/>
        <v>70653</v>
      </c>
      <c r="F33" s="1663">
        <f t="shared" si="1"/>
        <v>63087</v>
      </c>
      <c r="G33" s="1663">
        <f t="shared" si="1"/>
        <v>0</v>
      </c>
      <c r="H33" s="1663">
        <f t="shared" si="1"/>
        <v>0</v>
      </c>
      <c r="I33" s="1663">
        <f t="shared" si="1"/>
        <v>0</v>
      </c>
      <c r="J33" s="1663">
        <f t="shared" si="1"/>
        <v>0</v>
      </c>
      <c r="K33" s="1663">
        <f t="shared" si="1"/>
        <v>9365851</v>
      </c>
      <c r="L33" s="1663">
        <f t="shared" si="1"/>
        <v>11603753</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697705</v>
      </c>
      <c r="D36" s="466">
        <v>141689</v>
      </c>
      <c r="E36" s="466">
        <v>16372</v>
      </c>
      <c r="F36" s="466">
        <v>11981</v>
      </c>
      <c r="G36" s="466">
        <v>0</v>
      </c>
      <c r="H36" s="466">
        <v>0</v>
      </c>
      <c r="I36" s="466">
        <v>0</v>
      </c>
      <c r="J36" s="466">
        <v>0</v>
      </c>
      <c r="K36" s="1664">
        <f t="shared" ref="K36:K41" si="2">SUM(C36:J36)</f>
        <v>867747</v>
      </c>
      <c r="L36" s="466">
        <v>785373</v>
      </c>
    </row>
    <row r="37" spans="1:14" x14ac:dyDescent="0.2">
      <c r="A37" s="1501" t="s">
        <v>1090</v>
      </c>
      <c r="B37" s="613">
        <v>2120</v>
      </c>
      <c r="C37" s="466">
        <v>0</v>
      </c>
      <c r="D37" s="466">
        <v>0</v>
      </c>
      <c r="E37" s="466">
        <v>0</v>
      </c>
      <c r="F37" s="466">
        <v>0</v>
      </c>
      <c r="G37" s="466">
        <v>0</v>
      </c>
      <c r="H37" s="466">
        <v>0</v>
      </c>
      <c r="I37" s="466">
        <v>0</v>
      </c>
      <c r="J37" s="466">
        <v>0</v>
      </c>
      <c r="K37" s="1664">
        <f t="shared" si="2"/>
        <v>0</v>
      </c>
      <c r="L37" s="466"/>
    </row>
    <row r="38" spans="1:14" x14ac:dyDescent="0.2">
      <c r="A38" s="1501" t="s">
        <v>198</v>
      </c>
      <c r="B38" s="613">
        <v>2130</v>
      </c>
      <c r="C38" s="466">
        <v>118983</v>
      </c>
      <c r="D38" s="466">
        <v>24724</v>
      </c>
      <c r="E38" s="466">
        <v>461607</v>
      </c>
      <c r="F38" s="466">
        <v>3400</v>
      </c>
      <c r="G38" s="466">
        <v>0</v>
      </c>
      <c r="H38" s="466">
        <v>0</v>
      </c>
      <c r="I38" s="466">
        <v>0</v>
      </c>
      <c r="J38" s="466">
        <v>0</v>
      </c>
      <c r="K38" s="1664">
        <f t="shared" si="2"/>
        <v>608714</v>
      </c>
      <c r="L38" s="466">
        <v>667284</v>
      </c>
    </row>
    <row r="39" spans="1:14" x14ac:dyDescent="0.2">
      <c r="A39" s="1501" t="s">
        <v>199</v>
      </c>
      <c r="B39" s="613">
        <v>2140</v>
      </c>
      <c r="C39" s="466">
        <v>565594</v>
      </c>
      <c r="D39" s="466">
        <v>84814</v>
      </c>
      <c r="E39" s="466">
        <v>17832</v>
      </c>
      <c r="F39" s="466">
        <v>18915</v>
      </c>
      <c r="G39" s="466">
        <v>0</v>
      </c>
      <c r="H39" s="466">
        <v>0</v>
      </c>
      <c r="I39" s="466">
        <v>0</v>
      </c>
      <c r="J39" s="466">
        <v>0</v>
      </c>
      <c r="K39" s="1664">
        <f t="shared" si="2"/>
        <v>687155</v>
      </c>
      <c r="L39" s="466">
        <v>829211</v>
      </c>
    </row>
    <row r="40" spans="1:14" x14ac:dyDescent="0.2">
      <c r="A40" s="1501" t="s">
        <v>200</v>
      </c>
      <c r="B40" s="613">
        <v>2150</v>
      </c>
      <c r="C40" s="466">
        <v>822017</v>
      </c>
      <c r="D40" s="466">
        <v>194281</v>
      </c>
      <c r="E40" s="466">
        <v>1516</v>
      </c>
      <c r="F40" s="466">
        <v>0</v>
      </c>
      <c r="G40" s="466">
        <v>0</v>
      </c>
      <c r="H40" s="466">
        <v>9316</v>
      </c>
      <c r="I40" s="466">
        <v>0</v>
      </c>
      <c r="J40" s="466">
        <v>0</v>
      </c>
      <c r="K40" s="1664">
        <f t="shared" si="2"/>
        <v>1027130</v>
      </c>
      <c r="L40" s="466">
        <v>1060754</v>
      </c>
    </row>
    <row r="41" spans="1:14" x14ac:dyDescent="0.2">
      <c r="A41" s="1501" t="s">
        <v>1669</v>
      </c>
      <c r="B41" s="613">
        <v>2190</v>
      </c>
      <c r="C41" s="466">
        <v>0</v>
      </c>
      <c r="D41" s="466">
        <v>0</v>
      </c>
      <c r="E41" s="466">
        <v>0</v>
      </c>
      <c r="F41" s="466">
        <v>0</v>
      </c>
      <c r="G41" s="466">
        <v>0</v>
      </c>
      <c r="H41" s="466">
        <v>0</v>
      </c>
      <c r="I41" s="466">
        <v>0</v>
      </c>
      <c r="J41" s="466">
        <v>0</v>
      </c>
      <c r="K41" s="1664">
        <f t="shared" si="2"/>
        <v>0</v>
      </c>
      <c r="L41" s="466"/>
    </row>
    <row r="42" spans="1:14" ht="12.75" customHeight="1" thickBot="1" x14ac:dyDescent="0.25">
      <c r="A42" s="1661" t="s">
        <v>560</v>
      </c>
      <c r="B42" s="1662" t="s">
        <v>716</v>
      </c>
      <c r="C42" s="1663">
        <f>SUM(C36:C41)</f>
        <v>2204299</v>
      </c>
      <c r="D42" s="1663">
        <f t="shared" ref="D42:L42" si="3">SUM(D36:D41)</f>
        <v>445508</v>
      </c>
      <c r="E42" s="1663">
        <f t="shared" si="3"/>
        <v>497327</v>
      </c>
      <c r="F42" s="1663">
        <f t="shared" si="3"/>
        <v>34296</v>
      </c>
      <c r="G42" s="1663">
        <f t="shared" si="3"/>
        <v>0</v>
      </c>
      <c r="H42" s="1663">
        <f t="shared" si="3"/>
        <v>9316</v>
      </c>
      <c r="I42" s="1663">
        <f t="shared" si="3"/>
        <v>0</v>
      </c>
      <c r="J42" s="1663">
        <f t="shared" si="3"/>
        <v>0</v>
      </c>
      <c r="K42" s="1663">
        <f t="shared" si="3"/>
        <v>3190746</v>
      </c>
      <c r="L42" s="1663">
        <f t="shared" si="3"/>
        <v>3342622</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0</v>
      </c>
      <c r="D44" s="466">
        <v>0</v>
      </c>
      <c r="E44" s="466">
        <v>79156</v>
      </c>
      <c r="F44" s="466">
        <v>26157</v>
      </c>
      <c r="G44" s="466">
        <v>0</v>
      </c>
      <c r="H44" s="466">
        <v>3156</v>
      </c>
      <c r="I44" s="466">
        <v>0</v>
      </c>
      <c r="J44" s="466">
        <v>0</v>
      </c>
      <c r="K44" s="1665">
        <f>SUM(C44:J44)</f>
        <v>108469</v>
      </c>
      <c r="L44" s="568">
        <v>194172</v>
      </c>
    </row>
    <row r="45" spans="1:14" x14ac:dyDescent="0.2">
      <c r="A45" s="1501" t="s">
        <v>815</v>
      </c>
      <c r="B45" s="613">
        <v>2220</v>
      </c>
      <c r="C45" s="466">
        <v>0</v>
      </c>
      <c r="D45" s="466">
        <v>0</v>
      </c>
      <c r="E45" s="466">
        <v>0</v>
      </c>
      <c r="F45" s="466">
        <v>0</v>
      </c>
      <c r="G45" s="466">
        <v>0</v>
      </c>
      <c r="H45" s="466">
        <v>0</v>
      </c>
      <c r="I45" s="466">
        <v>0</v>
      </c>
      <c r="J45" s="466">
        <v>0</v>
      </c>
      <c r="K45" s="1665">
        <f>SUM(C45:J45)</f>
        <v>0</v>
      </c>
      <c r="L45" s="466"/>
    </row>
    <row r="46" spans="1:14" x14ac:dyDescent="0.2">
      <c r="A46" s="1501" t="s">
        <v>816</v>
      </c>
      <c r="B46" s="613">
        <v>2230</v>
      </c>
      <c r="C46" s="466">
        <v>0</v>
      </c>
      <c r="D46" s="466">
        <v>0</v>
      </c>
      <c r="E46" s="466">
        <v>0</v>
      </c>
      <c r="F46" s="466">
        <v>0</v>
      </c>
      <c r="G46" s="466">
        <v>0</v>
      </c>
      <c r="H46" s="466">
        <v>0</v>
      </c>
      <c r="I46" s="466">
        <v>0</v>
      </c>
      <c r="J46" s="466">
        <v>0</v>
      </c>
      <c r="K46" s="1665">
        <f>SUM(C46:J46)</f>
        <v>0</v>
      </c>
      <c r="L46" s="466"/>
    </row>
    <row r="47" spans="1:14" ht="12.75" customHeight="1" thickBot="1" x14ac:dyDescent="0.25">
      <c r="A47" s="1661" t="s">
        <v>561</v>
      </c>
      <c r="B47" s="1662" t="s">
        <v>32</v>
      </c>
      <c r="C47" s="1663">
        <f>SUM(C44:C46)</f>
        <v>0</v>
      </c>
      <c r="D47" s="1663">
        <f t="shared" ref="D47:K47" si="4">SUM(D44:D46)</f>
        <v>0</v>
      </c>
      <c r="E47" s="1663">
        <f t="shared" si="4"/>
        <v>79156</v>
      </c>
      <c r="F47" s="1663">
        <f t="shared" si="4"/>
        <v>26157</v>
      </c>
      <c r="G47" s="1663">
        <f t="shared" si="4"/>
        <v>0</v>
      </c>
      <c r="H47" s="1663">
        <f t="shared" si="4"/>
        <v>3156</v>
      </c>
      <c r="I47" s="1663">
        <f t="shared" si="4"/>
        <v>0</v>
      </c>
      <c r="J47" s="1663">
        <f t="shared" si="4"/>
        <v>0</v>
      </c>
      <c r="K47" s="1663">
        <f t="shared" si="4"/>
        <v>108469</v>
      </c>
      <c r="L47" s="1663">
        <f>SUM(L44:L46)</f>
        <v>194172</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0</v>
      </c>
      <c r="D49" s="466">
        <v>0</v>
      </c>
      <c r="E49" s="466">
        <v>0</v>
      </c>
      <c r="F49" s="466">
        <v>0</v>
      </c>
      <c r="G49" s="466">
        <v>0</v>
      </c>
      <c r="H49" s="466">
        <v>0</v>
      </c>
      <c r="I49" s="466">
        <v>0</v>
      </c>
      <c r="J49" s="466">
        <v>0</v>
      </c>
      <c r="K49" s="1665">
        <f>SUM(C49:J49)</f>
        <v>0</v>
      </c>
      <c r="L49" s="568"/>
    </row>
    <row r="50" spans="1:14" x14ac:dyDescent="0.2">
      <c r="A50" s="1501" t="s">
        <v>818</v>
      </c>
      <c r="B50" s="613">
        <v>2320</v>
      </c>
      <c r="C50" s="466">
        <v>744094</v>
      </c>
      <c r="D50" s="466">
        <v>129079</v>
      </c>
      <c r="E50" s="466">
        <v>337864</v>
      </c>
      <c r="F50" s="466">
        <v>20324</v>
      </c>
      <c r="G50" s="466">
        <v>0</v>
      </c>
      <c r="H50" s="466">
        <v>0</v>
      </c>
      <c r="I50" s="466">
        <v>0</v>
      </c>
      <c r="J50" s="466">
        <v>0</v>
      </c>
      <c r="K50" s="1665">
        <f>SUM(C50:J50)</f>
        <v>1231361</v>
      </c>
      <c r="L50" s="466">
        <v>1370846</v>
      </c>
    </row>
    <row r="51" spans="1:14" x14ac:dyDescent="0.2">
      <c r="A51" s="1501" t="s">
        <v>42</v>
      </c>
      <c r="B51" s="613">
        <v>2330</v>
      </c>
      <c r="C51" s="466">
        <v>0</v>
      </c>
      <c r="D51" s="466">
        <v>0</v>
      </c>
      <c r="E51" s="466">
        <v>0</v>
      </c>
      <c r="F51" s="466">
        <v>0</v>
      </c>
      <c r="G51" s="466">
        <v>0</v>
      </c>
      <c r="H51" s="466">
        <v>0</v>
      </c>
      <c r="I51" s="466" t="s">
        <v>1169</v>
      </c>
      <c r="J51" s="466">
        <v>0</v>
      </c>
      <c r="K51" s="1665">
        <f>SUM(C51:J51)</f>
        <v>0</v>
      </c>
      <c r="L51" s="466"/>
    </row>
    <row r="52" spans="1:14" ht="22.5" x14ac:dyDescent="0.2">
      <c r="A52" s="1502" t="s">
        <v>298</v>
      </c>
      <c r="B52" s="626" t="s">
        <v>366</v>
      </c>
      <c r="C52" s="466">
        <v>0</v>
      </c>
      <c r="D52" s="466">
        <v>0</v>
      </c>
      <c r="E52" s="466">
        <v>0</v>
      </c>
      <c r="F52" s="466">
        <v>0</v>
      </c>
      <c r="G52" s="466">
        <v>0</v>
      </c>
      <c r="H52" s="466">
        <v>0</v>
      </c>
      <c r="I52" s="466">
        <v>0</v>
      </c>
      <c r="J52" s="466">
        <v>0</v>
      </c>
      <c r="K52" s="1665">
        <f>SUM(C52:J52)</f>
        <v>0</v>
      </c>
      <c r="L52" s="474"/>
    </row>
    <row r="53" spans="1:14" ht="12.75" customHeight="1" thickBot="1" x14ac:dyDescent="0.25">
      <c r="A53" s="1661" t="s">
        <v>717</v>
      </c>
      <c r="B53" s="1662" t="s">
        <v>33</v>
      </c>
      <c r="C53" s="1663">
        <f>SUM(C49:C52)</f>
        <v>744094</v>
      </c>
      <c r="D53" s="1663">
        <f t="shared" ref="D53:L53" si="5">SUM(D49:D52)</f>
        <v>129079</v>
      </c>
      <c r="E53" s="1663">
        <f t="shared" si="5"/>
        <v>337864</v>
      </c>
      <c r="F53" s="1663">
        <f t="shared" si="5"/>
        <v>20324</v>
      </c>
      <c r="G53" s="1663">
        <f t="shared" si="5"/>
        <v>0</v>
      </c>
      <c r="H53" s="1663">
        <f t="shared" si="5"/>
        <v>0</v>
      </c>
      <c r="I53" s="1663">
        <f t="shared" si="5"/>
        <v>0</v>
      </c>
      <c r="J53" s="1663">
        <f t="shared" si="5"/>
        <v>0</v>
      </c>
      <c r="K53" s="1663">
        <f t="shared" si="5"/>
        <v>1231361</v>
      </c>
      <c r="L53" s="1663">
        <f t="shared" si="5"/>
        <v>1370846</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0</v>
      </c>
      <c r="D55" s="466">
        <v>0</v>
      </c>
      <c r="E55" s="466">
        <v>0</v>
      </c>
      <c r="F55" s="466">
        <v>0</v>
      </c>
      <c r="G55" s="466">
        <v>0</v>
      </c>
      <c r="H55" s="466">
        <v>0</v>
      </c>
      <c r="I55" s="466">
        <v>0</v>
      </c>
      <c r="J55" s="466">
        <v>0</v>
      </c>
      <c r="K55" s="1665">
        <f>SUM(C55:J55)</f>
        <v>0</v>
      </c>
      <c r="L55" s="568"/>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row>
    <row r="57" spans="1:14" s="343" customFormat="1" ht="12.75" customHeight="1" thickBot="1" x14ac:dyDescent="0.25">
      <c r="A57" s="1661" t="s">
        <v>263</v>
      </c>
      <c r="B57" s="1666" t="s">
        <v>34</v>
      </c>
      <c r="C57" s="1667">
        <f>SUM(C55:C56)</f>
        <v>0</v>
      </c>
      <c r="D57" s="1667">
        <f t="shared" ref="D57:K57" si="6">SUM(D55:D56)</f>
        <v>0</v>
      </c>
      <c r="E57" s="1667">
        <f t="shared" si="6"/>
        <v>0</v>
      </c>
      <c r="F57" s="1667">
        <f t="shared" si="6"/>
        <v>0</v>
      </c>
      <c r="G57" s="1667">
        <f t="shared" si="6"/>
        <v>0</v>
      </c>
      <c r="H57" s="1667">
        <f t="shared" si="6"/>
        <v>0</v>
      </c>
      <c r="I57" s="1667">
        <f t="shared" si="6"/>
        <v>0</v>
      </c>
      <c r="J57" s="1667">
        <f t="shared" si="6"/>
        <v>0</v>
      </c>
      <c r="K57" s="1667">
        <f t="shared" si="6"/>
        <v>0</v>
      </c>
      <c r="L57" s="1663">
        <f>SUM(L55:L56)</f>
        <v>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5">
        <f t="shared" ref="K59:K64" si="7">SUM(C59:J59)</f>
        <v>0</v>
      </c>
      <c r="L59" s="568"/>
      <c r="M59" s="608"/>
      <c r="N59" s="608"/>
    </row>
    <row r="60" spans="1:14" s="343" customFormat="1" x14ac:dyDescent="0.2">
      <c r="A60" s="1501" t="s">
        <v>463</v>
      </c>
      <c r="B60" s="613">
        <v>2520</v>
      </c>
      <c r="C60" s="466">
        <v>79398</v>
      </c>
      <c r="D60" s="466">
        <v>15269</v>
      </c>
      <c r="E60" s="466">
        <v>16746</v>
      </c>
      <c r="F60" s="466">
        <v>0</v>
      </c>
      <c r="G60" s="466">
        <v>0</v>
      </c>
      <c r="H60" s="466">
        <v>0</v>
      </c>
      <c r="I60" s="466">
        <v>0</v>
      </c>
      <c r="J60" s="466">
        <v>0</v>
      </c>
      <c r="K60" s="1665">
        <f t="shared" si="7"/>
        <v>111413</v>
      </c>
      <c r="L60" s="466">
        <v>119908</v>
      </c>
      <c r="M60" s="608"/>
      <c r="N60" s="608"/>
    </row>
    <row r="61" spans="1:14" s="343" customFormat="1" x14ac:dyDescent="0.2">
      <c r="A61" s="1501" t="s">
        <v>197</v>
      </c>
      <c r="B61" s="613">
        <v>2540</v>
      </c>
      <c r="C61" s="466">
        <v>0</v>
      </c>
      <c r="D61" s="466">
        <v>0</v>
      </c>
      <c r="E61" s="466">
        <v>9673</v>
      </c>
      <c r="F61" s="466">
        <v>10301</v>
      </c>
      <c r="G61" s="466">
        <v>0</v>
      </c>
      <c r="H61" s="466">
        <v>0</v>
      </c>
      <c r="I61" s="466">
        <v>0</v>
      </c>
      <c r="J61" s="466">
        <v>0</v>
      </c>
      <c r="K61" s="1665">
        <f t="shared" si="7"/>
        <v>19974</v>
      </c>
      <c r="L61" s="466">
        <v>26720</v>
      </c>
      <c r="M61" s="608"/>
      <c r="N61" s="608"/>
    </row>
    <row r="62" spans="1:14" s="343" customFormat="1" x14ac:dyDescent="0.2">
      <c r="A62" s="1501" t="s">
        <v>953</v>
      </c>
      <c r="B62" s="613">
        <v>2550</v>
      </c>
      <c r="C62" s="466">
        <v>0</v>
      </c>
      <c r="D62" s="466">
        <v>0</v>
      </c>
      <c r="E62" s="466">
        <v>120</v>
      </c>
      <c r="F62" s="466">
        <v>0</v>
      </c>
      <c r="G62" s="466">
        <v>0</v>
      </c>
      <c r="H62" s="466">
        <v>0</v>
      </c>
      <c r="I62" s="466">
        <v>0</v>
      </c>
      <c r="J62" s="466">
        <v>0</v>
      </c>
      <c r="K62" s="1665">
        <f t="shared" si="7"/>
        <v>120</v>
      </c>
      <c r="L62" s="466">
        <v>3500</v>
      </c>
      <c r="M62" s="608"/>
      <c r="N62" s="608"/>
    </row>
    <row r="63" spans="1:14" s="608" customFormat="1" x14ac:dyDescent="0.2">
      <c r="A63" s="1501" t="s">
        <v>100</v>
      </c>
      <c r="B63" s="613">
        <v>2560</v>
      </c>
      <c r="C63" s="466">
        <v>0</v>
      </c>
      <c r="D63" s="466">
        <v>0</v>
      </c>
      <c r="E63" s="466">
        <v>0</v>
      </c>
      <c r="F63" s="466">
        <v>0</v>
      </c>
      <c r="G63" s="466">
        <v>0</v>
      </c>
      <c r="H63" s="466">
        <v>0</v>
      </c>
      <c r="I63" s="466">
        <v>0</v>
      </c>
      <c r="J63" s="466">
        <v>0</v>
      </c>
      <c r="K63" s="1665">
        <f t="shared" si="7"/>
        <v>0</v>
      </c>
      <c r="L63" s="466"/>
    </row>
    <row r="64" spans="1:14" s="608" customFormat="1" x14ac:dyDescent="0.2">
      <c r="A64" s="1506" t="s">
        <v>101</v>
      </c>
      <c r="B64" s="629">
        <v>2570</v>
      </c>
      <c r="C64" s="466">
        <v>0</v>
      </c>
      <c r="D64" s="466">
        <v>0</v>
      </c>
      <c r="E64" s="466">
        <v>0</v>
      </c>
      <c r="F64" s="466">
        <v>2355</v>
      </c>
      <c r="G64" s="466">
        <v>0</v>
      </c>
      <c r="H64" s="466">
        <v>0</v>
      </c>
      <c r="I64" s="466">
        <v>0</v>
      </c>
      <c r="J64" s="466">
        <v>0</v>
      </c>
      <c r="K64" s="1665">
        <f t="shared" si="7"/>
        <v>2355</v>
      </c>
      <c r="L64" s="568">
        <v>14500</v>
      </c>
    </row>
    <row r="65" spans="1:14" s="343" customFormat="1" ht="12.75" customHeight="1" thickBot="1" x14ac:dyDescent="0.25">
      <c r="A65" s="1661" t="s">
        <v>719</v>
      </c>
      <c r="B65" s="1662" t="s">
        <v>35</v>
      </c>
      <c r="C65" s="1663">
        <f>SUM(C59:C64)</f>
        <v>79398</v>
      </c>
      <c r="D65" s="1663">
        <f t="shared" ref="D65:L65" si="8">SUM(D59:D64)</f>
        <v>15269</v>
      </c>
      <c r="E65" s="1663">
        <f t="shared" si="8"/>
        <v>26539</v>
      </c>
      <c r="F65" s="1663">
        <f t="shared" si="8"/>
        <v>12656</v>
      </c>
      <c r="G65" s="1663">
        <f t="shared" si="8"/>
        <v>0</v>
      </c>
      <c r="H65" s="1663">
        <f t="shared" si="8"/>
        <v>0</v>
      </c>
      <c r="I65" s="1663">
        <f t="shared" si="8"/>
        <v>0</v>
      </c>
      <c r="J65" s="1663">
        <f t="shared" si="8"/>
        <v>0</v>
      </c>
      <c r="K65" s="1663">
        <f t="shared" si="8"/>
        <v>133862</v>
      </c>
      <c r="L65" s="1663">
        <f t="shared" si="8"/>
        <v>164628</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c r="M70" s="608"/>
      <c r="N70" s="608"/>
    </row>
    <row r="71" spans="1:14" s="343" customFormat="1" x14ac:dyDescent="0.2">
      <c r="A71" s="1501" t="s">
        <v>404</v>
      </c>
      <c r="B71" s="613">
        <v>2660</v>
      </c>
      <c r="C71" s="466">
        <v>0</v>
      </c>
      <c r="D71" s="466">
        <v>0</v>
      </c>
      <c r="E71" s="466">
        <v>31682</v>
      </c>
      <c r="F71" s="466">
        <v>0</v>
      </c>
      <c r="G71" s="466">
        <v>0</v>
      </c>
      <c r="H71" s="466">
        <v>0</v>
      </c>
      <c r="I71" s="466">
        <v>0</v>
      </c>
      <c r="J71" s="466">
        <v>0</v>
      </c>
      <c r="K71" s="1665">
        <f>SUM(C71:J71)</f>
        <v>31682</v>
      </c>
      <c r="L71" s="466">
        <v>32864</v>
      </c>
      <c r="M71" s="608"/>
      <c r="N71" s="608"/>
    </row>
    <row r="72" spans="1:14" s="343" customFormat="1" ht="12.75" customHeight="1" thickBot="1" x14ac:dyDescent="0.25">
      <c r="A72" s="1661" t="s">
        <v>37</v>
      </c>
      <c r="B72" s="1668" t="s">
        <v>36</v>
      </c>
      <c r="C72" s="1663">
        <f>SUM(C67:C71)</f>
        <v>0</v>
      </c>
      <c r="D72" s="1663">
        <f t="shared" ref="D72:K72" si="9">SUM(D67:D71)</f>
        <v>0</v>
      </c>
      <c r="E72" s="1663">
        <f t="shared" si="9"/>
        <v>31682</v>
      </c>
      <c r="F72" s="1663">
        <f t="shared" si="9"/>
        <v>0</v>
      </c>
      <c r="G72" s="1663">
        <f t="shared" si="9"/>
        <v>0</v>
      </c>
      <c r="H72" s="1663">
        <f t="shared" si="9"/>
        <v>0</v>
      </c>
      <c r="I72" s="1663">
        <f t="shared" si="9"/>
        <v>0</v>
      </c>
      <c r="J72" s="1663">
        <f t="shared" si="9"/>
        <v>0</v>
      </c>
      <c r="K72" s="1663">
        <f t="shared" si="9"/>
        <v>31682</v>
      </c>
      <c r="L72" s="1663">
        <f>SUM(L67:L71)</f>
        <v>32864</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3">
        <f>SUM(C73:J73)</f>
        <v>0</v>
      </c>
      <c r="L73" s="575"/>
      <c r="M73" s="608"/>
      <c r="N73" s="608"/>
    </row>
    <row r="74" spans="1:14" ht="12.75" customHeight="1" thickTop="1" thickBot="1" x14ac:dyDescent="0.25">
      <c r="A74" s="1661" t="s">
        <v>811</v>
      </c>
      <c r="B74" s="1669">
        <v>2000</v>
      </c>
      <c r="C74" s="1670">
        <f>SUM(C42,C47,C53,C57,C65,C72,C73)</f>
        <v>3027791</v>
      </c>
      <c r="D74" s="1670">
        <f t="shared" ref="D74:K74" si="10">SUM(D42,D47,D53,D57,D65,D72,D73)</f>
        <v>589856</v>
      </c>
      <c r="E74" s="1670">
        <f t="shared" si="10"/>
        <v>972568</v>
      </c>
      <c r="F74" s="1670">
        <f t="shared" si="10"/>
        <v>93433</v>
      </c>
      <c r="G74" s="1670">
        <f t="shared" si="10"/>
        <v>0</v>
      </c>
      <c r="H74" s="1670">
        <f t="shared" si="10"/>
        <v>12472</v>
      </c>
      <c r="I74" s="1670">
        <f t="shared" si="10"/>
        <v>0</v>
      </c>
      <c r="J74" s="1670">
        <f t="shared" si="10"/>
        <v>0</v>
      </c>
      <c r="K74" s="1670">
        <f t="shared" si="10"/>
        <v>4696120</v>
      </c>
      <c r="L74" s="1670">
        <f>SUM(L42,L47,L53,L57,L65,L72,L73)</f>
        <v>5105132</v>
      </c>
    </row>
    <row r="75" spans="1:14" s="259" customFormat="1" ht="15.75" customHeight="1" thickTop="1" thickBot="1" x14ac:dyDescent="0.25">
      <c r="A75" s="1607" t="s">
        <v>47</v>
      </c>
      <c r="B75" s="1608" t="s">
        <v>575</v>
      </c>
      <c r="C75" s="466">
        <v>0</v>
      </c>
      <c r="D75" s="466">
        <v>0</v>
      </c>
      <c r="E75" s="466">
        <v>0</v>
      </c>
      <c r="F75" s="466">
        <v>0</v>
      </c>
      <c r="G75" s="466">
        <v>0</v>
      </c>
      <c r="H75" s="466">
        <v>0</v>
      </c>
      <c r="I75" s="466">
        <v>0</v>
      </c>
      <c r="J75" s="466">
        <v>0</v>
      </c>
      <c r="K75" s="1663">
        <f>SUM(C75:J75)</f>
        <v>0</v>
      </c>
      <c r="L75" s="575"/>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4">
        <f t="shared" ref="K78:K83" si="11">SUM(C78:J78)</f>
        <v>0</v>
      </c>
      <c r="L78" s="568"/>
    </row>
    <row r="79" spans="1:14" x14ac:dyDescent="0.2">
      <c r="A79" s="1501" t="s">
        <v>304</v>
      </c>
      <c r="B79" s="613">
        <v>4120</v>
      </c>
      <c r="C79" s="615"/>
      <c r="D79" s="615"/>
      <c r="E79" s="466">
        <v>0</v>
      </c>
      <c r="F79" s="615"/>
      <c r="G79" s="615"/>
      <c r="H79" s="466">
        <v>0</v>
      </c>
      <c r="I79" s="477"/>
      <c r="J79" s="477"/>
      <c r="K79" s="1664">
        <f t="shared" si="11"/>
        <v>0</v>
      </c>
      <c r="L79" s="466"/>
    </row>
    <row r="80" spans="1:14" x14ac:dyDescent="0.2">
      <c r="A80" s="1501" t="s">
        <v>305</v>
      </c>
      <c r="B80" s="613">
        <v>4130</v>
      </c>
      <c r="C80" s="615"/>
      <c r="D80" s="615"/>
      <c r="E80" s="466">
        <v>0</v>
      </c>
      <c r="F80" s="615"/>
      <c r="G80" s="615"/>
      <c r="H80" s="466">
        <v>0</v>
      </c>
      <c r="I80" s="477"/>
      <c r="J80" s="477"/>
      <c r="K80" s="1664">
        <f t="shared" si="11"/>
        <v>0</v>
      </c>
      <c r="L80" s="466"/>
    </row>
    <row r="81" spans="1:12" x14ac:dyDescent="0.2">
      <c r="A81" s="1501" t="s">
        <v>697</v>
      </c>
      <c r="B81" s="613">
        <v>4140</v>
      </c>
      <c r="C81" s="615"/>
      <c r="D81" s="615"/>
      <c r="E81" s="466">
        <v>0</v>
      </c>
      <c r="F81" s="615"/>
      <c r="G81" s="615"/>
      <c r="H81" s="466">
        <v>0</v>
      </c>
      <c r="I81" s="477"/>
      <c r="J81" s="477"/>
      <c r="K81" s="1664">
        <f t="shared" si="11"/>
        <v>0</v>
      </c>
      <c r="L81" s="466"/>
    </row>
    <row r="82" spans="1:12" x14ac:dyDescent="0.2">
      <c r="A82" s="1501" t="s">
        <v>86</v>
      </c>
      <c r="B82" s="613">
        <v>4170</v>
      </c>
      <c r="C82" s="615"/>
      <c r="D82" s="615"/>
      <c r="E82" s="466">
        <v>0</v>
      </c>
      <c r="F82" s="615"/>
      <c r="G82" s="615"/>
      <c r="H82" s="466">
        <v>0</v>
      </c>
      <c r="I82" s="477"/>
      <c r="J82" s="477"/>
      <c r="K82" s="1664">
        <f t="shared" si="11"/>
        <v>0</v>
      </c>
      <c r="L82" s="466"/>
    </row>
    <row r="83" spans="1:12" x14ac:dyDescent="0.2">
      <c r="A83" s="1505" t="s">
        <v>698</v>
      </c>
      <c r="B83" s="627">
        <v>4190</v>
      </c>
      <c r="C83" s="615"/>
      <c r="D83" s="615"/>
      <c r="E83" s="466">
        <v>0</v>
      </c>
      <c r="F83" s="615"/>
      <c r="G83" s="615"/>
      <c r="H83" s="466">
        <v>0</v>
      </c>
      <c r="I83" s="477"/>
      <c r="J83" s="477"/>
      <c r="K83" s="1664">
        <f t="shared" si="11"/>
        <v>0</v>
      </c>
      <c r="L83" s="466"/>
    </row>
    <row r="84" spans="1:12" ht="13.5" thickBot="1" x14ac:dyDescent="0.25">
      <c r="A84" s="1661" t="s">
        <v>1485</v>
      </c>
      <c r="B84" s="1671">
        <v>4100</v>
      </c>
      <c r="C84" s="615"/>
      <c r="D84" s="615"/>
      <c r="E84" s="1663">
        <f>SUM(E78:E83)</f>
        <v>0</v>
      </c>
      <c r="F84" s="615"/>
      <c r="G84" s="615"/>
      <c r="H84" s="1663">
        <f>SUM(H78:H83)</f>
        <v>0</v>
      </c>
      <c r="I84" s="477"/>
      <c r="J84" s="477"/>
      <c r="K84" s="1663">
        <f>SUM(K78:K83)</f>
        <v>0</v>
      </c>
      <c r="L84" s="1663">
        <f>SUM(L78:L83)</f>
        <v>0</v>
      </c>
    </row>
    <row r="85" spans="1:12" ht="12.75" customHeight="1" thickTop="1" thickBot="1" x14ac:dyDescent="0.25">
      <c r="A85" s="1508" t="s">
        <v>255</v>
      </c>
      <c r="B85" s="633">
        <v>4210</v>
      </c>
      <c r="C85" s="615"/>
      <c r="D85" s="615"/>
      <c r="E85" s="634"/>
      <c r="F85" s="615"/>
      <c r="G85" s="615"/>
      <c r="H85" s="466">
        <v>0</v>
      </c>
      <c r="I85" s="477"/>
      <c r="J85" s="477"/>
      <c r="K85" s="1670">
        <f>H85</f>
        <v>0</v>
      </c>
      <c r="L85" s="530"/>
    </row>
    <row r="86" spans="1:12" ht="12.75" customHeight="1" thickTop="1" thickBot="1" x14ac:dyDescent="0.25">
      <c r="A86" s="1509" t="s">
        <v>699</v>
      </c>
      <c r="B86" s="635">
        <v>4220</v>
      </c>
      <c r="C86" s="615"/>
      <c r="D86" s="615"/>
      <c r="E86" s="636"/>
      <c r="F86" s="615"/>
      <c r="G86" s="615"/>
      <c r="H86" s="466">
        <v>60460</v>
      </c>
      <c r="I86" s="477"/>
      <c r="J86" s="477"/>
      <c r="K86" s="1670">
        <f t="shared" ref="K86:K98" si="12">H86</f>
        <v>60460</v>
      </c>
      <c r="L86" s="530">
        <v>91739</v>
      </c>
    </row>
    <row r="87" spans="1:12" ht="14.25" thickTop="1" thickBot="1" x14ac:dyDescent="0.25">
      <c r="A87" s="1510" t="s">
        <v>700</v>
      </c>
      <c r="B87" s="637">
        <v>4230</v>
      </c>
      <c r="C87" s="615"/>
      <c r="D87" s="615"/>
      <c r="E87" s="636"/>
      <c r="F87" s="615"/>
      <c r="G87" s="615"/>
      <c r="H87" s="466">
        <v>0</v>
      </c>
      <c r="I87" s="477"/>
      <c r="J87" s="477"/>
      <c r="K87" s="1670">
        <f t="shared" si="12"/>
        <v>0</v>
      </c>
      <c r="L87" s="530">
        <v>3103926</v>
      </c>
    </row>
    <row r="88" spans="1:12" ht="12.75" customHeight="1" thickTop="1" thickBot="1" x14ac:dyDescent="0.25">
      <c r="A88" s="1510" t="s">
        <v>765</v>
      </c>
      <c r="B88" s="637">
        <v>4240</v>
      </c>
      <c r="C88" s="615"/>
      <c r="D88" s="615"/>
      <c r="E88" s="636"/>
      <c r="F88" s="615"/>
      <c r="G88" s="615"/>
      <c r="H88" s="466">
        <v>0</v>
      </c>
      <c r="I88" s="477"/>
      <c r="J88" s="477"/>
      <c r="K88" s="1670">
        <f t="shared" si="12"/>
        <v>0</v>
      </c>
      <c r="L88" s="530"/>
    </row>
    <row r="89" spans="1:12" ht="12.75" customHeight="1" thickTop="1" thickBot="1" x14ac:dyDescent="0.25">
      <c r="A89" s="1510" t="s">
        <v>701</v>
      </c>
      <c r="B89" s="637">
        <v>4270</v>
      </c>
      <c r="C89" s="615"/>
      <c r="D89" s="615"/>
      <c r="E89" s="636"/>
      <c r="F89" s="615"/>
      <c r="G89" s="615"/>
      <c r="H89" s="466">
        <v>0</v>
      </c>
      <c r="I89" s="477"/>
      <c r="J89" s="477"/>
      <c r="K89" s="1670">
        <f t="shared" si="12"/>
        <v>0</v>
      </c>
      <c r="L89" s="530"/>
    </row>
    <row r="90" spans="1:12" ht="12.75" customHeight="1" thickTop="1" thickBot="1" x14ac:dyDescent="0.25">
      <c r="A90" s="1510" t="s">
        <v>686</v>
      </c>
      <c r="B90" s="637">
        <v>4280</v>
      </c>
      <c r="C90" s="615"/>
      <c r="D90" s="615"/>
      <c r="E90" s="636"/>
      <c r="F90" s="615"/>
      <c r="G90" s="615"/>
      <c r="H90" s="466">
        <v>0</v>
      </c>
      <c r="I90" s="477"/>
      <c r="J90" s="477"/>
      <c r="K90" s="1670">
        <f t="shared" si="12"/>
        <v>0</v>
      </c>
      <c r="L90" s="530"/>
    </row>
    <row r="91" spans="1:12" ht="12.75" customHeight="1" thickTop="1" thickBot="1" x14ac:dyDescent="0.25">
      <c r="A91" s="1510" t="s">
        <v>687</v>
      </c>
      <c r="B91" s="637">
        <v>4290</v>
      </c>
      <c r="C91" s="615"/>
      <c r="D91" s="615"/>
      <c r="E91" s="636"/>
      <c r="F91" s="615"/>
      <c r="G91" s="615"/>
      <c r="H91" s="466">
        <v>0</v>
      </c>
      <c r="I91" s="477"/>
      <c r="J91" s="477"/>
      <c r="K91" s="1670">
        <f t="shared" si="12"/>
        <v>0</v>
      </c>
      <c r="L91" s="530"/>
    </row>
    <row r="92" spans="1:12" ht="14.25" thickTop="1" thickBot="1" x14ac:dyDescent="0.25">
      <c r="A92" s="1673" t="s">
        <v>1560</v>
      </c>
      <c r="B92" s="1671">
        <v>4200</v>
      </c>
      <c r="C92" s="615"/>
      <c r="D92" s="615"/>
      <c r="E92" s="636"/>
      <c r="F92" s="615"/>
      <c r="G92" s="615"/>
      <c r="H92" s="1663">
        <f>SUM(H85:H91)</f>
        <v>60460</v>
      </c>
      <c r="I92" s="477"/>
      <c r="J92" s="477"/>
      <c r="K92" s="1670">
        <f t="shared" si="12"/>
        <v>60460</v>
      </c>
      <c r="L92" s="1663">
        <f>SUM(L85:L91)</f>
        <v>3195665</v>
      </c>
    </row>
    <row r="93" spans="1:12" ht="14.25" thickTop="1" thickBot="1" x14ac:dyDescent="0.25">
      <c r="A93" s="1509" t="s">
        <v>688</v>
      </c>
      <c r="B93" s="638">
        <v>4310</v>
      </c>
      <c r="C93" s="615"/>
      <c r="D93" s="615"/>
      <c r="E93" s="636"/>
      <c r="F93" s="615"/>
      <c r="G93" s="615"/>
      <c r="H93" s="466">
        <v>1831035</v>
      </c>
      <c r="I93" s="477"/>
      <c r="J93" s="477"/>
      <c r="K93" s="1670">
        <f t="shared" si="12"/>
        <v>1831035</v>
      </c>
      <c r="L93" s="532"/>
    </row>
    <row r="94" spans="1:12" ht="12.75" customHeight="1" thickTop="1" thickBot="1" x14ac:dyDescent="0.25">
      <c r="A94" s="1510" t="s">
        <v>689</v>
      </c>
      <c r="B94" s="637">
        <v>4320</v>
      </c>
      <c r="C94" s="615"/>
      <c r="D94" s="615"/>
      <c r="E94" s="636"/>
      <c r="F94" s="615"/>
      <c r="G94" s="615"/>
      <c r="H94" s="466">
        <v>895282</v>
      </c>
      <c r="I94" s="477"/>
      <c r="J94" s="477"/>
      <c r="K94" s="1670">
        <f t="shared" si="12"/>
        <v>895282</v>
      </c>
      <c r="L94" s="530"/>
    </row>
    <row r="95" spans="1:12" ht="15" customHeight="1" thickTop="1" thickBot="1" x14ac:dyDescent="0.25">
      <c r="A95" s="1510" t="s">
        <v>1488</v>
      </c>
      <c r="B95" s="637">
        <v>4330</v>
      </c>
      <c r="C95" s="615"/>
      <c r="D95" s="615"/>
      <c r="E95" s="636"/>
      <c r="F95" s="615"/>
      <c r="G95" s="615"/>
      <c r="H95" s="466">
        <v>0</v>
      </c>
      <c r="I95" s="477"/>
      <c r="J95" s="477"/>
      <c r="K95" s="1670">
        <f t="shared" si="12"/>
        <v>0</v>
      </c>
      <c r="L95" s="530"/>
    </row>
    <row r="96" spans="1:12" ht="14.25" thickTop="1" thickBot="1" x14ac:dyDescent="0.25">
      <c r="A96" s="1510" t="s">
        <v>690</v>
      </c>
      <c r="B96" s="637">
        <v>4340</v>
      </c>
      <c r="C96" s="615"/>
      <c r="D96" s="615"/>
      <c r="E96" s="636"/>
      <c r="F96" s="615"/>
      <c r="G96" s="615"/>
      <c r="H96" s="466">
        <v>0</v>
      </c>
      <c r="I96" s="477"/>
      <c r="J96" s="477"/>
      <c r="K96" s="1670">
        <f t="shared" si="12"/>
        <v>0</v>
      </c>
      <c r="L96" s="530"/>
    </row>
    <row r="97" spans="1:14" ht="12.75" customHeight="1" thickTop="1" thickBot="1" x14ac:dyDescent="0.25">
      <c r="A97" s="1510" t="s">
        <v>763</v>
      </c>
      <c r="B97" s="637">
        <v>4370</v>
      </c>
      <c r="C97" s="615"/>
      <c r="D97" s="615"/>
      <c r="E97" s="636"/>
      <c r="F97" s="615"/>
      <c r="G97" s="615"/>
      <c r="H97" s="466">
        <v>0</v>
      </c>
      <c r="I97" s="477"/>
      <c r="J97" s="477"/>
      <c r="K97" s="1670">
        <f t="shared" si="12"/>
        <v>0</v>
      </c>
      <c r="L97" s="530"/>
    </row>
    <row r="98" spans="1:14" ht="14.25" thickTop="1" thickBot="1" x14ac:dyDescent="0.25">
      <c r="A98" s="1510" t="s">
        <v>764</v>
      </c>
      <c r="B98" s="637">
        <v>4380</v>
      </c>
      <c r="C98" s="615"/>
      <c r="D98" s="615"/>
      <c r="E98" s="640"/>
      <c r="F98" s="615"/>
      <c r="G98" s="615"/>
      <c r="H98" s="466">
        <v>0</v>
      </c>
      <c r="I98" s="477"/>
      <c r="J98" s="477"/>
      <c r="K98" s="1670">
        <f t="shared" si="12"/>
        <v>0</v>
      </c>
      <c r="L98" s="530"/>
    </row>
    <row r="99" spans="1:14" ht="14.25" thickTop="1" thickBot="1" x14ac:dyDescent="0.25">
      <c r="A99" s="1510" t="s">
        <v>367</v>
      </c>
      <c r="B99" s="637">
        <v>4390</v>
      </c>
      <c r="C99" s="615"/>
      <c r="D99" s="615"/>
      <c r="E99" s="466">
        <v>0</v>
      </c>
      <c r="F99" s="615"/>
      <c r="G99" s="615"/>
      <c r="H99" s="466">
        <v>0</v>
      </c>
      <c r="I99" s="477"/>
      <c r="J99" s="477"/>
      <c r="K99" s="1670">
        <f>SUM(E99,H99)</f>
        <v>0</v>
      </c>
      <c r="L99" s="530"/>
    </row>
    <row r="100" spans="1:14" ht="14.25" thickTop="1" thickBot="1" x14ac:dyDescent="0.25">
      <c r="A100" s="1673" t="s">
        <v>1486</v>
      </c>
      <c r="B100" s="1674">
        <v>4300</v>
      </c>
      <c r="C100" s="615"/>
      <c r="D100" s="615"/>
      <c r="E100" s="1670">
        <f>SUM(E93:E99)</f>
        <v>0</v>
      </c>
      <c r="F100" s="615"/>
      <c r="G100" s="615"/>
      <c r="H100" s="1670">
        <f>SUM(H93:H99)</f>
        <v>2726317</v>
      </c>
      <c r="I100" s="477"/>
      <c r="J100" s="477"/>
      <c r="K100" s="1670">
        <f>SUM(K93:K99)</f>
        <v>2726317</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row>
    <row r="102" spans="1:14" ht="12.75" customHeight="1" thickTop="1" thickBot="1" x14ac:dyDescent="0.25">
      <c r="A102" s="1661" t="s">
        <v>1487</v>
      </c>
      <c r="B102" s="1671">
        <v>4000</v>
      </c>
      <c r="C102" s="615"/>
      <c r="D102" s="615"/>
      <c r="E102" s="1670">
        <f>SUM(E84,E92,E100,E101)</f>
        <v>0</v>
      </c>
      <c r="F102" s="615"/>
      <c r="G102" s="615"/>
      <c r="H102" s="1670">
        <f>SUM(H84,H92,H100,H101)</f>
        <v>2786777</v>
      </c>
      <c r="I102" s="477"/>
      <c r="J102" s="477"/>
      <c r="K102" s="1670">
        <f>SUM(K84,K92,K100,K101)</f>
        <v>2786777</v>
      </c>
      <c r="L102" s="1670">
        <f>SUM(L84,L92,L100,L101)</f>
        <v>3195665</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c r="M113" s="612"/>
      <c r="N113" s="612"/>
    </row>
    <row r="114" spans="1:14" ht="12.75" customHeight="1" thickTop="1" thickBot="1" x14ac:dyDescent="0.25">
      <c r="A114" s="1661" t="s">
        <v>48</v>
      </c>
      <c r="B114" s="1675"/>
      <c r="C114" s="1663">
        <f>SUM(C33,C74,C75,C102,C112,C113)</f>
        <v>10263539</v>
      </c>
      <c r="D114" s="1663">
        <f t="shared" ref="D114:K114" si="13">SUM(D33,D74,D75,D102,D112,D113)</f>
        <v>2586219</v>
      </c>
      <c r="E114" s="1663">
        <f t="shared" si="13"/>
        <v>1043221</v>
      </c>
      <c r="F114" s="1663">
        <f t="shared" si="13"/>
        <v>156520</v>
      </c>
      <c r="G114" s="1663">
        <f t="shared" si="13"/>
        <v>0</v>
      </c>
      <c r="H114" s="1663">
        <f>SUM(H33,H74,H75,H102,H112,H113)</f>
        <v>2799249</v>
      </c>
      <c r="I114" s="1663">
        <f t="shared" si="13"/>
        <v>0</v>
      </c>
      <c r="J114" s="1663">
        <f t="shared" si="13"/>
        <v>0</v>
      </c>
      <c r="K114" s="1663">
        <f t="shared" si="13"/>
        <v>16848748</v>
      </c>
      <c r="L114" s="1663">
        <f>SUM(L33,L74,L75,L102,L112,L113)</f>
        <v>19904550</v>
      </c>
    </row>
    <row r="115" spans="1:14" ht="13.5" thickTop="1" x14ac:dyDescent="0.2">
      <c r="A115" s="2200" t="s">
        <v>996</v>
      </c>
      <c r="B115" s="2201"/>
      <c r="C115" s="617"/>
      <c r="D115" s="617"/>
      <c r="E115" s="617"/>
      <c r="F115" s="617"/>
      <c r="G115" s="617"/>
      <c r="H115" s="617"/>
      <c r="I115" s="617"/>
      <c r="J115" s="617"/>
      <c r="K115" s="1677">
        <f>'Revenues 9-14'!C268-'Expenditures 15-22'!K114</f>
        <v>218962</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8" t="s">
        <v>296</v>
      </c>
      <c r="B117" s="2179"/>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2054</v>
      </c>
      <c r="B120" s="627" t="s">
        <v>716</v>
      </c>
      <c r="C120" s="466">
        <v>0</v>
      </c>
      <c r="D120" s="466">
        <v>0</v>
      </c>
      <c r="E120" s="466">
        <v>0</v>
      </c>
      <c r="F120" s="466">
        <v>0</v>
      </c>
      <c r="G120" s="466">
        <v>0</v>
      </c>
      <c r="H120" s="466">
        <v>0</v>
      </c>
      <c r="I120" s="466">
        <v>0</v>
      </c>
      <c r="J120" s="466">
        <v>0</v>
      </c>
      <c r="K120" s="1664">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row>
    <row r="124" spans="1:14" ht="14.25" thickTop="1" thickBot="1" x14ac:dyDescent="0.25">
      <c r="A124" s="1501" t="s">
        <v>197</v>
      </c>
      <c r="B124" s="613">
        <v>2540</v>
      </c>
      <c r="C124" s="466">
        <v>0</v>
      </c>
      <c r="D124" s="466">
        <v>0</v>
      </c>
      <c r="E124" s="466">
        <v>0</v>
      </c>
      <c r="F124" s="466">
        <v>0</v>
      </c>
      <c r="G124" s="466">
        <v>0</v>
      </c>
      <c r="H124" s="466">
        <v>0</v>
      </c>
      <c r="I124" s="466">
        <v>0</v>
      </c>
      <c r="J124" s="466">
        <v>0</v>
      </c>
      <c r="K124" s="1663">
        <f>SUM(C124:J124)</f>
        <v>0</v>
      </c>
      <c r="L124" s="466"/>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row>
    <row r="126" spans="1:14" ht="14.25" thickTop="1" thickBot="1" x14ac:dyDescent="0.25">
      <c r="A126" s="1501" t="s">
        <v>100</v>
      </c>
      <c r="B126" s="613">
        <v>2560</v>
      </c>
      <c r="C126" s="652"/>
      <c r="D126" s="652"/>
      <c r="E126" s="652"/>
      <c r="F126" s="652"/>
      <c r="G126" s="466">
        <v>0</v>
      </c>
      <c r="H126" s="652"/>
      <c r="I126" s="466">
        <v>0</v>
      </c>
      <c r="J126" s="615"/>
      <c r="K126" s="1663">
        <f>SUM(C126:J126)</f>
        <v>0</v>
      </c>
      <c r="L126" s="466"/>
    </row>
    <row r="127" spans="1:14" ht="12.75" customHeight="1" thickTop="1" thickBot="1" x14ac:dyDescent="0.25">
      <c r="A127" s="1661" t="s">
        <v>719</v>
      </c>
      <c r="B127" s="1662" t="s">
        <v>35</v>
      </c>
      <c r="C127" s="1663">
        <f>SUM(C122:C126)</f>
        <v>0</v>
      </c>
      <c r="D127" s="1663">
        <f t="shared" ref="D127:L127" si="14">SUM(D122:D126)</f>
        <v>0</v>
      </c>
      <c r="E127" s="1663">
        <f t="shared" si="14"/>
        <v>0</v>
      </c>
      <c r="F127" s="1663">
        <f t="shared" si="14"/>
        <v>0</v>
      </c>
      <c r="G127" s="1663">
        <f t="shared" si="14"/>
        <v>0</v>
      </c>
      <c r="H127" s="1663">
        <f t="shared" si="14"/>
        <v>0</v>
      </c>
      <c r="I127" s="1663">
        <f t="shared" si="14"/>
        <v>0</v>
      </c>
      <c r="J127" s="1663">
        <f t="shared" si="14"/>
        <v>0</v>
      </c>
      <c r="K127" s="1663">
        <f t="shared" si="14"/>
        <v>0</v>
      </c>
      <c r="L127" s="1663">
        <f t="shared" si="14"/>
        <v>0</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row>
    <row r="129" spans="1:14" ht="12.75" customHeight="1" thickBot="1" x14ac:dyDescent="0.25">
      <c r="A129" s="1679" t="s">
        <v>811</v>
      </c>
      <c r="B129" s="1680" t="s">
        <v>569</v>
      </c>
      <c r="C129" s="1670">
        <f>SUM(C120,C127,C128)</f>
        <v>0</v>
      </c>
      <c r="D129" s="1670">
        <f t="shared" ref="D129:L129" si="15">SUM(D120,D127,D128)</f>
        <v>0</v>
      </c>
      <c r="E129" s="1670">
        <f t="shared" si="15"/>
        <v>0</v>
      </c>
      <c r="F129" s="1670">
        <f t="shared" si="15"/>
        <v>0</v>
      </c>
      <c r="G129" s="1670">
        <f t="shared" si="15"/>
        <v>0</v>
      </c>
      <c r="H129" s="1670">
        <f t="shared" si="15"/>
        <v>0</v>
      </c>
      <c r="I129" s="1670">
        <f t="shared" si="15"/>
        <v>0</v>
      </c>
      <c r="J129" s="1670">
        <f t="shared" si="15"/>
        <v>0</v>
      </c>
      <c r="K129" s="1670">
        <f t="shared" si="15"/>
        <v>0</v>
      </c>
      <c r="L129" s="1670">
        <f t="shared" si="15"/>
        <v>0</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7" customHeight="1" x14ac:dyDescent="0.2">
      <c r="A132" s="655" t="s">
        <v>614</v>
      </c>
      <c r="B132" s="656"/>
      <c r="C132" s="468"/>
      <c r="D132" s="468"/>
      <c r="E132" s="521"/>
      <c r="F132" s="468"/>
      <c r="G132" s="468"/>
      <c r="H132" s="521"/>
      <c r="I132" s="468"/>
      <c r="J132" s="468"/>
      <c r="K132" s="521"/>
      <c r="L132" s="521"/>
      <c r="M132" s="206"/>
      <c r="N132" s="206"/>
    </row>
    <row r="133" spans="1:14" s="384" customFormat="1" ht="13.7" customHeight="1" x14ac:dyDescent="0.2">
      <c r="A133" s="1487" t="s">
        <v>496</v>
      </c>
      <c r="B133" s="1833" t="s">
        <v>1840</v>
      </c>
      <c r="C133" s="468"/>
      <c r="D133" s="468"/>
      <c r="E133" s="466" t="s">
        <v>1169</v>
      </c>
      <c r="F133" s="468"/>
      <c r="G133" s="468"/>
      <c r="H133" s="466" t="s">
        <v>1169</v>
      </c>
      <c r="I133" s="468"/>
      <c r="J133" s="468"/>
      <c r="K133" s="1814">
        <f>SUM(E133,H133)</f>
        <v>0</v>
      </c>
      <c r="L133" s="639"/>
      <c r="M133" s="206"/>
      <c r="N133" s="206"/>
    </row>
    <row r="134" spans="1:14" x14ac:dyDescent="0.2">
      <c r="A134" s="1501" t="s">
        <v>304</v>
      </c>
      <c r="B134" s="613">
        <v>4120</v>
      </c>
      <c r="C134" s="615"/>
      <c r="D134" s="615"/>
      <c r="E134" s="466">
        <v>0</v>
      </c>
      <c r="F134" s="615"/>
      <c r="G134" s="615"/>
      <c r="H134" s="466">
        <v>0</v>
      </c>
      <c r="I134" s="477"/>
      <c r="J134" s="615"/>
      <c r="K134" s="1665">
        <f>SUM(E134,H134)</f>
        <v>0</v>
      </c>
      <c r="L134" s="568"/>
    </row>
    <row r="135" spans="1:14" x14ac:dyDescent="0.2">
      <c r="A135" s="1501" t="s">
        <v>697</v>
      </c>
      <c r="B135" s="613">
        <v>4140</v>
      </c>
      <c r="C135" s="615"/>
      <c r="D135" s="615"/>
      <c r="E135" s="466">
        <v>0</v>
      </c>
      <c r="F135" s="615"/>
      <c r="G135" s="615"/>
      <c r="H135" s="466">
        <v>0</v>
      </c>
      <c r="I135" s="477"/>
      <c r="J135" s="615"/>
      <c r="K135" s="1665">
        <f>SUM(E135,H135)</f>
        <v>0</v>
      </c>
      <c r="L135" s="466"/>
    </row>
    <row r="136" spans="1:14" x14ac:dyDescent="0.2">
      <c r="A136" s="1505" t="s">
        <v>698</v>
      </c>
      <c r="B136" s="627">
        <v>4190</v>
      </c>
      <c r="C136" s="615"/>
      <c r="D136" s="615"/>
      <c r="E136" s="466">
        <v>0</v>
      </c>
      <c r="F136" s="615"/>
      <c r="G136" s="615"/>
      <c r="H136" s="466">
        <v>0</v>
      </c>
      <c r="I136" s="477"/>
      <c r="J136" s="615"/>
      <c r="K136" s="1665">
        <f>SUM(E136,H136)</f>
        <v>0</v>
      </c>
      <c r="L136" s="466"/>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row>
    <row r="143" spans="1:14" x14ac:dyDescent="0.2">
      <c r="A143" s="1501" t="s">
        <v>88</v>
      </c>
      <c r="B143" s="613">
        <v>5120</v>
      </c>
      <c r="C143" s="615"/>
      <c r="D143" s="615"/>
      <c r="E143" s="615"/>
      <c r="F143" s="615"/>
      <c r="G143" s="615"/>
      <c r="H143" s="466">
        <v>0</v>
      </c>
      <c r="I143" s="468"/>
      <c r="J143" s="615"/>
      <c r="K143" s="1665">
        <f>SUM(H143)</f>
        <v>0</v>
      </c>
      <c r="L143" s="466"/>
    </row>
    <row r="144" spans="1:14" ht="12.75" customHeight="1" x14ac:dyDescent="0.2">
      <c r="A144" s="1501" t="s">
        <v>1170</v>
      </c>
      <c r="B144" s="627" t="s">
        <v>617</v>
      </c>
      <c r="C144" s="615"/>
      <c r="D144" s="615"/>
      <c r="E144" s="615"/>
      <c r="F144" s="615"/>
      <c r="G144" s="615"/>
      <c r="H144" s="466">
        <v>0</v>
      </c>
      <c r="I144" s="468"/>
      <c r="J144" s="615"/>
      <c r="K144" s="1665">
        <f>SUM(H144)</f>
        <v>0</v>
      </c>
      <c r="L144" s="466"/>
    </row>
    <row r="145" spans="1:14" x14ac:dyDescent="0.2">
      <c r="A145" s="1501" t="s">
        <v>89</v>
      </c>
      <c r="B145" s="613" t="s">
        <v>589</v>
      </c>
      <c r="C145" s="615"/>
      <c r="D145" s="615"/>
      <c r="E145" s="615"/>
      <c r="F145" s="615"/>
      <c r="G145" s="615"/>
      <c r="H145" s="466">
        <v>0</v>
      </c>
      <c r="I145" s="468"/>
      <c r="J145" s="615"/>
      <c r="K145" s="1665">
        <f>SUM(H145)</f>
        <v>0</v>
      </c>
      <c r="L145" s="466"/>
    </row>
    <row r="146" spans="1:14" ht="12.75" customHeight="1" x14ac:dyDescent="0.2">
      <c r="A146" s="1501" t="s">
        <v>619</v>
      </c>
      <c r="B146" s="613" t="s">
        <v>618</v>
      </c>
      <c r="C146" s="615"/>
      <c r="D146" s="615"/>
      <c r="E146" s="615"/>
      <c r="F146" s="615"/>
      <c r="G146" s="615"/>
      <c r="H146" s="466">
        <v>0</v>
      </c>
      <c r="I146" s="468"/>
      <c r="J146" s="615"/>
      <c r="K146" s="1665">
        <f>SUM(H146)</f>
        <v>0</v>
      </c>
      <c r="L146" s="466"/>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row>
    <row r="151" spans="1:14" ht="12.75" customHeight="1" thickTop="1" thickBot="1" x14ac:dyDescent="0.25">
      <c r="A151" s="2190" t="s">
        <v>620</v>
      </c>
      <c r="B151" s="2172"/>
      <c r="C151" s="1663">
        <f>SUM(C129,C130,C139,C149,C150)</f>
        <v>0</v>
      </c>
      <c r="D151" s="1663">
        <f t="shared" ref="D151:K151" si="16">SUM(D129,D130,D139,D149,D150)</f>
        <v>0</v>
      </c>
      <c r="E151" s="1663">
        <f t="shared" si="16"/>
        <v>0</v>
      </c>
      <c r="F151" s="1663">
        <f t="shared" si="16"/>
        <v>0</v>
      </c>
      <c r="G151" s="1663">
        <f t="shared" si="16"/>
        <v>0</v>
      </c>
      <c r="H151" s="1663">
        <f t="shared" si="16"/>
        <v>0</v>
      </c>
      <c r="I151" s="1663">
        <f t="shared" si="16"/>
        <v>0</v>
      </c>
      <c r="J151" s="1663">
        <f t="shared" si="16"/>
        <v>0</v>
      </c>
      <c r="K151" s="1663">
        <f t="shared" si="16"/>
        <v>0</v>
      </c>
      <c r="L151" s="1663">
        <f>SUM(L129,L130,L139,L149,L150)</f>
        <v>0</v>
      </c>
    </row>
    <row r="152" spans="1:14" ht="12.75" customHeight="1" thickTop="1" x14ac:dyDescent="0.2">
      <c r="A152" s="2193" t="s">
        <v>1178</v>
      </c>
      <c r="B152" s="2194"/>
      <c r="C152" s="617"/>
      <c r="D152" s="617"/>
      <c r="E152" s="617"/>
      <c r="F152" s="617"/>
      <c r="G152" s="617"/>
      <c r="H152" s="617"/>
      <c r="I152" s="617"/>
      <c r="J152" s="615"/>
      <c r="K152" s="1677">
        <f>'Revenues 9-14'!D268-'Expenditures 15-22'!K151</f>
        <v>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8" t="s">
        <v>621</v>
      </c>
      <c r="B154" s="2180"/>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1841</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1840</v>
      </c>
      <c r="C157" s="615"/>
      <c r="D157" s="615"/>
      <c r="E157" s="615"/>
      <c r="F157" s="615"/>
      <c r="G157" s="615"/>
      <c r="H157" s="639" t="s">
        <v>1169</v>
      </c>
      <c r="I157" s="615"/>
      <c r="J157" s="615"/>
      <c r="K157" s="1664" t="str">
        <f>H157</f>
        <v xml:space="preserve"> </v>
      </c>
      <c r="L157" s="467"/>
      <c r="M157" s="618"/>
      <c r="N157" s="618"/>
    </row>
    <row r="158" spans="1:14" s="619" customFormat="1" ht="12" x14ac:dyDescent="0.2">
      <c r="A158" s="1819" t="s">
        <v>304</v>
      </c>
      <c r="B158" s="1820" t="s">
        <v>1842</v>
      </c>
      <c r="C158" s="615"/>
      <c r="D158" s="615"/>
      <c r="E158" s="615"/>
      <c r="F158" s="615"/>
      <c r="G158" s="615"/>
      <c r="H158" s="467" t="s">
        <v>1169</v>
      </c>
      <c r="I158" s="615"/>
      <c r="J158" s="615"/>
      <c r="K158" s="1664" t="str">
        <f>H158</f>
        <v xml:space="preserve"> </v>
      </c>
      <c r="L158" s="467"/>
      <c r="M158" s="618"/>
      <c r="N158" s="618"/>
    </row>
    <row r="159" spans="1:14" s="619" customFormat="1" ht="12" x14ac:dyDescent="0.2">
      <c r="A159" s="1819" t="s">
        <v>1843</v>
      </c>
      <c r="B159" s="1820" t="s">
        <v>558</v>
      </c>
      <c r="C159" s="615"/>
      <c r="D159" s="615"/>
      <c r="E159" s="615"/>
      <c r="F159" s="615"/>
      <c r="G159" s="615"/>
      <c r="H159" s="467" t="s">
        <v>1169</v>
      </c>
      <c r="I159" s="615"/>
      <c r="J159" s="615"/>
      <c r="K159" s="1664" t="str">
        <f>H159</f>
        <v xml:space="preserve"> </v>
      </c>
      <c r="L159" s="467"/>
      <c r="M159" s="618"/>
      <c r="N159" s="618"/>
    </row>
    <row r="160" spans="1:14" s="619" customFormat="1" ht="15.75" customHeight="1" thickBot="1" x14ac:dyDescent="0.25">
      <c r="A160" s="1821" t="s">
        <v>1844</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row>
    <row r="164" spans="1:14" x14ac:dyDescent="0.2">
      <c r="A164" s="1501" t="s">
        <v>88</v>
      </c>
      <c r="B164" s="613">
        <v>5120</v>
      </c>
      <c r="C164" s="615"/>
      <c r="D164" s="615"/>
      <c r="E164" s="615"/>
      <c r="F164" s="615"/>
      <c r="G164" s="615"/>
      <c r="H164" s="466">
        <v>0</v>
      </c>
      <c r="I164" s="615"/>
      <c r="J164" s="615"/>
      <c r="K164" s="1664">
        <f>SUM(C164:J164)</f>
        <v>0</v>
      </c>
      <c r="L164" s="466"/>
    </row>
    <row r="165" spans="1:14" ht="12.75" customHeight="1" x14ac:dyDescent="0.2">
      <c r="A165" s="1501" t="s">
        <v>1170</v>
      </c>
      <c r="B165" s="613" t="s">
        <v>617</v>
      </c>
      <c r="C165" s="615"/>
      <c r="D165" s="615"/>
      <c r="E165" s="615"/>
      <c r="F165" s="615"/>
      <c r="G165" s="615"/>
      <c r="H165" s="466">
        <v>0</v>
      </c>
      <c r="I165" s="615"/>
      <c r="J165" s="615"/>
      <c r="K165" s="1664">
        <f>SUM(C165:J165)</f>
        <v>0</v>
      </c>
      <c r="L165" s="466"/>
    </row>
    <row r="166" spans="1:14" x14ac:dyDescent="0.2">
      <c r="A166" s="1501" t="s">
        <v>89</v>
      </c>
      <c r="B166" s="627" t="s">
        <v>589</v>
      </c>
      <c r="C166" s="615"/>
      <c r="D166" s="615"/>
      <c r="E166" s="615"/>
      <c r="F166" s="615"/>
      <c r="G166" s="615"/>
      <c r="H166" s="466">
        <v>0</v>
      </c>
      <c r="I166" s="615"/>
      <c r="J166" s="615"/>
      <c r="K166" s="1664">
        <f>SUM(C166:J166)</f>
        <v>0</v>
      </c>
      <c r="L166" s="466"/>
    </row>
    <row r="167" spans="1:14" ht="12.75" customHeight="1" x14ac:dyDescent="0.2">
      <c r="A167" s="1501" t="s">
        <v>619</v>
      </c>
      <c r="B167" s="613" t="s">
        <v>618</v>
      </c>
      <c r="C167" s="615"/>
      <c r="D167" s="615"/>
      <c r="E167" s="615"/>
      <c r="F167" s="615"/>
      <c r="G167" s="615"/>
      <c r="H167" s="466">
        <v>0</v>
      </c>
      <c r="I167" s="615"/>
      <c r="J167" s="615"/>
      <c r="K167" s="1664">
        <f>SUM(C167:J167)</f>
        <v>0</v>
      </c>
      <c r="L167" s="466"/>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0</v>
      </c>
      <c r="I169" s="615"/>
      <c r="J169" s="615"/>
      <c r="K169" s="1664">
        <f>SUM(C169:H169)</f>
        <v>0</v>
      </c>
      <c r="L169" s="654"/>
    </row>
    <row r="170" spans="1:14" ht="33.75" customHeight="1" x14ac:dyDescent="0.2">
      <c r="A170" s="667" t="s">
        <v>1670</v>
      </c>
      <c r="B170" s="669" t="s">
        <v>31</v>
      </c>
      <c r="C170" s="615"/>
      <c r="D170" s="615"/>
      <c r="E170" s="615"/>
      <c r="F170" s="615"/>
      <c r="G170" s="615"/>
      <c r="H170" s="568">
        <v>0</v>
      </c>
      <c r="I170" s="615"/>
      <c r="J170" s="615"/>
      <c r="K170" s="1664">
        <f>SUM(C170:J170)</f>
        <v>0</v>
      </c>
      <c r="L170" s="568"/>
    </row>
    <row r="171" spans="1:14" ht="15.75" customHeight="1" x14ac:dyDescent="0.2">
      <c r="A171" s="620" t="s">
        <v>766</v>
      </c>
      <c r="B171" s="670" t="s">
        <v>84</v>
      </c>
      <c r="C171" s="615"/>
      <c r="D171" s="615"/>
      <c r="E171" s="466">
        <v>0</v>
      </c>
      <c r="F171" s="615"/>
      <c r="G171" s="615"/>
      <c r="H171" s="568">
        <v>0</v>
      </c>
      <c r="I171" s="477"/>
      <c r="J171" s="615"/>
      <c r="K171" s="1664">
        <f>SUM(C171:J171)</f>
        <v>0</v>
      </c>
      <c r="L171" s="568"/>
    </row>
    <row r="172" spans="1:14" ht="12.75" customHeight="1" thickBot="1" x14ac:dyDescent="0.25">
      <c r="A172" s="1661" t="s">
        <v>638</v>
      </c>
      <c r="B172" s="1662" t="s">
        <v>492</v>
      </c>
      <c r="C172" s="615"/>
      <c r="D172" s="615"/>
      <c r="E172" s="1670">
        <f>SUM(E168,E169,E170,E171)</f>
        <v>0</v>
      </c>
      <c r="F172" s="615"/>
      <c r="G172" s="615"/>
      <c r="H172" s="1670">
        <f>SUM(H168,H169,H170,H171)</f>
        <v>0</v>
      </c>
      <c r="I172" s="636"/>
      <c r="J172" s="615"/>
      <c r="K172" s="1670">
        <f>SUM(K168,K169,K170,K171)</f>
        <v>0</v>
      </c>
      <c r="L172" s="1670">
        <f>SUM(L168,L169,L170,L171)</f>
        <v>0</v>
      </c>
    </row>
    <row r="173" spans="1:14" ht="15.75" customHeight="1" thickTop="1" thickBot="1" x14ac:dyDescent="0.25">
      <c r="A173" s="1616" t="s">
        <v>85</v>
      </c>
      <c r="B173" s="1608" t="s">
        <v>861</v>
      </c>
      <c r="C173" s="615"/>
      <c r="D173" s="615"/>
      <c r="E173" s="622"/>
      <c r="F173" s="615"/>
      <c r="G173" s="615"/>
      <c r="H173" s="625"/>
      <c r="I173" s="636"/>
      <c r="J173" s="615"/>
      <c r="K173" s="622"/>
      <c r="L173" s="575"/>
    </row>
    <row r="174" spans="1:14" ht="12.75" customHeight="1" thickTop="1" thickBot="1" x14ac:dyDescent="0.25">
      <c r="A174" s="1682" t="s">
        <v>90</v>
      </c>
      <c r="B174" s="1683"/>
      <c r="C174" s="615"/>
      <c r="D174" s="615"/>
      <c r="E174" s="1670">
        <f>SUM(E172,E173)</f>
        <v>0</v>
      </c>
      <c r="F174" s="615"/>
      <c r="G174" s="615"/>
      <c r="H174" s="1670">
        <f>SUM(H160,H172,H173)</f>
        <v>0</v>
      </c>
      <c r="I174" s="636"/>
      <c r="J174" s="615"/>
      <c r="K174" s="1670">
        <f>SUM(K160,K172,K173)</f>
        <v>0</v>
      </c>
      <c r="L174" s="1670">
        <f>SUM(L160,L172,L173)</f>
        <v>0</v>
      </c>
    </row>
    <row r="175" spans="1:14" ht="13.5" thickTop="1" x14ac:dyDescent="0.2">
      <c r="A175" s="2200" t="s">
        <v>996</v>
      </c>
      <c r="B175" s="2201"/>
      <c r="C175" s="615"/>
      <c r="D175" s="615"/>
      <c r="E175" s="615"/>
      <c r="F175" s="615"/>
      <c r="G175" s="615"/>
      <c r="H175" s="617"/>
      <c r="I175" s="615"/>
      <c r="J175" s="615"/>
      <c r="K175" s="1677">
        <f>'Revenues 9-14'!E268-'Expenditures 15-22'!K174</f>
        <v>0</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2054</v>
      </c>
      <c r="B180" s="613" t="s">
        <v>716</v>
      </c>
      <c r="C180" s="466">
        <v>0</v>
      </c>
      <c r="D180" s="466">
        <v>0</v>
      </c>
      <c r="E180" s="466">
        <v>0</v>
      </c>
      <c r="F180" s="466">
        <v>0</v>
      </c>
      <c r="G180" s="466">
        <v>0</v>
      </c>
      <c r="H180" s="466">
        <v>0</v>
      </c>
      <c r="I180" s="466">
        <v>0</v>
      </c>
      <c r="J180" s="466">
        <v>0</v>
      </c>
      <c r="K180" s="1664">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0</v>
      </c>
      <c r="D182" s="466">
        <v>0</v>
      </c>
      <c r="E182" s="466">
        <v>0</v>
      </c>
      <c r="F182" s="466">
        <v>0</v>
      </c>
      <c r="G182" s="466">
        <v>0</v>
      </c>
      <c r="H182" s="466">
        <v>0</v>
      </c>
      <c r="I182" s="466">
        <v>0</v>
      </c>
      <c r="J182" s="466">
        <v>0</v>
      </c>
      <c r="K182" s="1664">
        <f>SUM(C182:J182)</f>
        <v>0</v>
      </c>
      <c r="L182" s="466"/>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row>
    <row r="184" spans="1:14" ht="12.75" customHeight="1" thickTop="1" thickBot="1" x14ac:dyDescent="0.25">
      <c r="A184" s="1684" t="s">
        <v>811</v>
      </c>
      <c r="B184" s="1662" t="s">
        <v>569</v>
      </c>
      <c r="C184" s="1670">
        <f>SUM(C180,C182,C183)</f>
        <v>0</v>
      </c>
      <c r="D184" s="1670">
        <f t="shared" ref="D184:J184" si="17">SUM(D180,D182,D183)</f>
        <v>0</v>
      </c>
      <c r="E184" s="1670">
        <f t="shared" si="17"/>
        <v>0</v>
      </c>
      <c r="F184" s="1670">
        <f t="shared" si="17"/>
        <v>0</v>
      </c>
      <c r="G184" s="1670">
        <f t="shared" si="17"/>
        <v>0</v>
      </c>
      <c r="H184" s="1670">
        <f t="shared" si="17"/>
        <v>0</v>
      </c>
      <c r="I184" s="1670">
        <f t="shared" si="17"/>
        <v>0</v>
      </c>
      <c r="J184" s="1670">
        <f t="shared" si="17"/>
        <v>0</v>
      </c>
      <c r="K184" s="1670">
        <f>SUM(K180,K182,K183)</f>
        <v>0</v>
      </c>
      <c r="L184" s="1670">
        <f>SUM(L180, L182:L183)</f>
        <v>0</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row>
    <row r="189" spans="1:14" x14ac:dyDescent="0.2">
      <c r="A189" s="1501" t="s">
        <v>304</v>
      </c>
      <c r="B189" s="613">
        <v>4120</v>
      </c>
      <c r="C189" s="615"/>
      <c r="D189" s="615"/>
      <c r="E189" s="466">
        <v>0</v>
      </c>
      <c r="F189" s="615"/>
      <c r="G189" s="615"/>
      <c r="H189" s="466">
        <v>0</v>
      </c>
      <c r="I189" s="477"/>
      <c r="J189" s="615"/>
      <c r="K189" s="1664">
        <f t="shared" si="18"/>
        <v>0</v>
      </c>
      <c r="L189" s="466"/>
    </row>
    <row r="190" spans="1:14" x14ac:dyDescent="0.2">
      <c r="A190" s="1501" t="s">
        <v>305</v>
      </c>
      <c r="B190" s="627">
        <v>4130</v>
      </c>
      <c r="C190" s="615"/>
      <c r="D190" s="615"/>
      <c r="E190" s="466">
        <v>0</v>
      </c>
      <c r="F190" s="615"/>
      <c r="G190" s="615"/>
      <c r="H190" s="466">
        <v>0</v>
      </c>
      <c r="I190" s="477"/>
      <c r="J190" s="615"/>
      <c r="K190" s="1664">
        <f t="shared" si="18"/>
        <v>0</v>
      </c>
      <c r="L190" s="466"/>
    </row>
    <row r="191" spans="1:14" x14ac:dyDescent="0.2">
      <c r="A191" s="1501" t="s">
        <v>697</v>
      </c>
      <c r="B191" s="613">
        <v>4140</v>
      </c>
      <c r="C191" s="615"/>
      <c r="D191" s="615"/>
      <c r="E191" s="466">
        <v>0</v>
      </c>
      <c r="F191" s="615"/>
      <c r="G191" s="615"/>
      <c r="H191" s="466">
        <v>0</v>
      </c>
      <c r="I191" s="477"/>
      <c r="J191" s="615"/>
      <c r="K191" s="1664">
        <f t="shared" si="18"/>
        <v>0</v>
      </c>
      <c r="L191" s="466"/>
    </row>
    <row r="192" spans="1:14" x14ac:dyDescent="0.2">
      <c r="A192" s="1501" t="s">
        <v>86</v>
      </c>
      <c r="B192" s="613">
        <v>4170</v>
      </c>
      <c r="C192" s="615"/>
      <c r="D192" s="615"/>
      <c r="E192" s="466">
        <v>0</v>
      </c>
      <c r="F192" s="615"/>
      <c r="G192" s="615"/>
      <c r="H192" s="466">
        <v>0</v>
      </c>
      <c r="I192" s="477"/>
      <c r="J192" s="615"/>
      <c r="K192" s="1664">
        <f t="shared" si="18"/>
        <v>0</v>
      </c>
      <c r="L192" s="466"/>
    </row>
    <row r="193" spans="1:14" x14ac:dyDescent="0.2">
      <c r="A193" s="1505" t="s">
        <v>698</v>
      </c>
      <c r="B193" s="627">
        <v>4190</v>
      </c>
      <c r="C193" s="615"/>
      <c r="D193" s="615"/>
      <c r="E193" s="466">
        <v>0</v>
      </c>
      <c r="F193" s="615"/>
      <c r="G193" s="615"/>
      <c r="H193" s="466">
        <v>0</v>
      </c>
      <c r="I193" s="477"/>
      <c r="J193" s="615"/>
      <c r="K193" s="1664">
        <f t="shared" si="18"/>
        <v>0</v>
      </c>
      <c r="L193" s="466"/>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row>
    <row r="200" spans="1:14" x14ac:dyDescent="0.2">
      <c r="A200" s="1501" t="s">
        <v>88</v>
      </c>
      <c r="B200" s="613">
        <v>5120</v>
      </c>
      <c r="C200" s="615"/>
      <c r="D200" s="615"/>
      <c r="E200" s="615"/>
      <c r="F200" s="615"/>
      <c r="G200" s="615"/>
      <c r="H200" s="466">
        <v>0</v>
      </c>
      <c r="I200" s="615"/>
      <c r="J200" s="615"/>
      <c r="K200" s="1664">
        <f>SUM(H200)</f>
        <v>0</v>
      </c>
      <c r="L200" s="466"/>
    </row>
    <row r="201" spans="1:14" ht="12.75" customHeight="1" x14ac:dyDescent="0.2">
      <c r="A201" s="1501" t="s">
        <v>1170</v>
      </c>
      <c r="B201" s="627" t="s">
        <v>617</v>
      </c>
      <c r="C201" s="615"/>
      <c r="D201" s="615"/>
      <c r="E201" s="615"/>
      <c r="F201" s="615"/>
      <c r="G201" s="615"/>
      <c r="H201" s="466">
        <v>0</v>
      </c>
      <c r="I201" s="615"/>
      <c r="J201" s="615"/>
      <c r="K201" s="1664">
        <f>SUM(H201)</f>
        <v>0</v>
      </c>
      <c r="L201" s="466"/>
    </row>
    <row r="202" spans="1:14" x14ac:dyDescent="0.2">
      <c r="A202" s="1501" t="s">
        <v>89</v>
      </c>
      <c r="B202" s="613" t="s">
        <v>589</v>
      </c>
      <c r="C202" s="615"/>
      <c r="D202" s="615"/>
      <c r="E202" s="615"/>
      <c r="F202" s="615"/>
      <c r="G202" s="615"/>
      <c r="H202" s="466">
        <v>0</v>
      </c>
      <c r="I202" s="615"/>
      <c r="J202" s="615"/>
      <c r="K202" s="1664">
        <f>SUM(H202)</f>
        <v>0</v>
      </c>
      <c r="L202" s="466"/>
    </row>
    <row r="203" spans="1:14" x14ac:dyDescent="0.2">
      <c r="A203" s="1513" t="s">
        <v>619</v>
      </c>
      <c r="B203" s="613" t="s">
        <v>618</v>
      </c>
      <c r="C203" s="615"/>
      <c r="D203" s="615"/>
      <c r="E203" s="615"/>
      <c r="F203" s="615"/>
      <c r="G203" s="615"/>
      <c r="H203" s="471">
        <v>0</v>
      </c>
      <c r="I203" s="615"/>
      <c r="J203" s="615"/>
      <c r="K203" s="1664">
        <f>SUM(H203)</f>
        <v>0</v>
      </c>
      <c r="L203" s="471"/>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row>
    <row r="206" spans="1:14" ht="30" customHeight="1" x14ac:dyDescent="0.2">
      <c r="A206" s="679" t="s">
        <v>1671</v>
      </c>
      <c r="B206" s="670" t="s">
        <v>31</v>
      </c>
      <c r="C206" s="615"/>
      <c r="D206" s="615"/>
      <c r="E206" s="615"/>
      <c r="F206" s="615"/>
      <c r="G206" s="615"/>
      <c r="H206" s="471">
        <v>0</v>
      </c>
      <c r="I206" s="615"/>
      <c r="J206" s="615"/>
      <c r="K206" s="1664">
        <f>SUM(H206)</f>
        <v>0</v>
      </c>
      <c r="L206" s="466"/>
    </row>
    <row r="207" spans="1:14" ht="15.75" customHeight="1" x14ac:dyDescent="0.2">
      <c r="A207" s="620" t="s">
        <v>766</v>
      </c>
      <c r="B207" s="670" t="s">
        <v>84</v>
      </c>
      <c r="C207" s="615"/>
      <c r="D207" s="615"/>
      <c r="E207" s="615"/>
      <c r="F207" s="615"/>
      <c r="G207" s="615"/>
      <c r="H207" s="471">
        <v>0</v>
      </c>
      <c r="I207" s="615"/>
      <c r="J207" s="615"/>
      <c r="K207" s="1664">
        <f>H207</f>
        <v>0</v>
      </c>
      <c r="L207" s="466"/>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row>
    <row r="210" spans="1:14" ht="12.75" customHeight="1" thickTop="1" thickBot="1" x14ac:dyDescent="0.25">
      <c r="A210" s="1685" t="s">
        <v>277</v>
      </c>
      <c r="B210" s="1686"/>
      <c r="C210" s="1663">
        <f>SUM(C184,C185)</f>
        <v>0</v>
      </c>
      <c r="D210" s="1663">
        <f>SUM(D184,D185)</f>
        <v>0</v>
      </c>
      <c r="E210" s="1663">
        <f>SUM(E184,E185,E196)</f>
        <v>0</v>
      </c>
      <c r="F210" s="1663">
        <f>SUM(F184,F185)</f>
        <v>0</v>
      </c>
      <c r="G210" s="1663">
        <f>SUM(G184,G185)</f>
        <v>0</v>
      </c>
      <c r="H210" s="1663">
        <f>SUM(H184,H185,H196,H208,H209)</f>
        <v>0</v>
      </c>
      <c r="I210" s="1663">
        <f>SUM(I184,I185)</f>
        <v>0</v>
      </c>
      <c r="J210" s="1663">
        <f>SUM(J184,J185)</f>
        <v>0</v>
      </c>
      <c r="K210" s="1664">
        <f>SUM(K184,K185,K196,K208,K209)</f>
        <v>0</v>
      </c>
      <c r="L210" s="1663">
        <f>SUM(L184,L185,L196,L208,L209)</f>
        <v>0</v>
      </c>
    </row>
    <row r="211" spans="1:14" ht="13.5" thickTop="1" x14ac:dyDescent="0.2">
      <c r="A211" s="2200" t="s">
        <v>996</v>
      </c>
      <c r="B211" s="2201"/>
      <c r="C211" s="617"/>
      <c r="D211" s="617"/>
      <c r="E211" s="617"/>
      <c r="F211" s="617"/>
      <c r="G211" s="617"/>
      <c r="H211" s="617"/>
      <c r="I211" s="615"/>
      <c r="J211" s="615"/>
      <c r="K211" s="1677">
        <f>'Revenues 9-14'!F268-'Expenditures 15-22'!K210</f>
        <v>0</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95" t="s">
        <v>965</v>
      </c>
      <c r="B213" s="2196"/>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0</v>
      </c>
      <c r="E215" s="615"/>
      <c r="F215" s="615"/>
      <c r="G215" s="615"/>
      <c r="H215" s="615"/>
      <c r="I215" s="615"/>
      <c r="J215" s="615"/>
      <c r="K215" s="1664">
        <f>D215</f>
        <v>0</v>
      </c>
      <c r="L215" s="466"/>
    </row>
    <row r="216" spans="1:14" x14ac:dyDescent="0.2">
      <c r="A216" s="1501" t="s">
        <v>163</v>
      </c>
      <c r="B216" s="613" t="s">
        <v>967</v>
      </c>
      <c r="C216" s="615"/>
      <c r="D216" s="467">
        <v>0</v>
      </c>
      <c r="E216" s="615"/>
      <c r="F216" s="615"/>
      <c r="G216" s="615"/>
      <c r="H216" s="615"/>
      <c r="I216" s="615"/>
      <c r="J216" s="615"/>
      <c r="K216" s="1664">
        <f t="shared" ref="K216:K228" si="19">D216</f>
        <v>0</v>
      </c>
      <c r="L216" s="466"/>
    </row>
    <row r="217" spans="1:14" x14ac:dyDescent="0.2">
      <c r="A217" s="1501" t="s">
        <v>164</v>
      </c>
      <c r="B217" s="613">
        <v>1200</v>
      </c>
      <c r="C217" s="615"/>
      <c r="D217" s="466">
        <v>0</v>
      </c>
      <c r="E217" s="615"/>
      <c r="F217" s="615"/>
      <c r="G217" s="615"/>
      <c r="H217" s="615"/>
      <c r="I217" s="615"/>
      <c r="J217" s="615"/>
      <c r="K217" s="1664">
        <f t="shared" si="19"/>
        <v>0</v>
      </c>
      <c r="L217" s="466"/>
    </row>
    <row r="218" spans="1:14" x14ac:dyDescent="0.2">
      <c r="A218" s="1501" t="s">
        <v>278</v>
      </c>
      <c r="B218" s="613" t="s">
        <v>968</v>
      </c>
      <c r="C218" s="615"/>
      <c r="D218" s="467">
        <v>0</v>
      </c>
      <c r="E218" s="615"/>
      <c r="F218" s="615"/>
      <c r="G218" s="615"/>
      <c r="H218" s="615"/>
      <c r="I218" s="615"/>
      <c r="J218" s="615"/>
      <c r="K218" s="1664">
        <f t="shared" si="19"/>
        <v>0</v>
      </c>
      <c r="L218" s="466"/>
    </row>
    <row r="219" spans="1:14" x14ac:dyDescent="0.2">
      <c r="A219" s="1501" t="s">
        <v>279</v>
      </c>
      <c r="B219" s="613">
        <v>1250</v>
      </c>
      <c r="C219" s="615"/>
      <c r="D219" s="466">
        <v>0</v>
      </c>
      <c r="E219" s="615"/>
      <c r="F219" s="615"/>
      <c r="G219" s="615"/>
      <c r="H219" s="615"/>
      <c r="I219" s="615"/>
      <c r="J219" s="615"/>
      <c r="K219" s="1664">
        <f t="shared" si="19"/>
        <v>0</v>
      </c>
      <c r="L219" s="466"/>
    </row>
    <row r="220" spans="1:14" x14ac:dyDescent="0.2">
      <c r="A220" s="1501" t="s">
        <v>280</v>
      </c>
      <c r="B220" s="613" t="s">
        <v>161</v>
      </c>
      <c r="C220" s="615"/>
      <c r="D220" s="467">
        <v>0</v>
      </c>
      <c r="E220" s="615"/>
      <c r="F220" s="615"/>
      <c r="G220" s="615"/>
      <c r="H220" s="615"/>
      <c r="I220" s="615"/>
      <c r="J220" s="615"/>
      <c r="K220" s="1664">
        <f t="shared" si="19"/>
        <v>0</v>
      </c>
      <c r="L220" s="466"/>
    </row>
    <row r="221" spans="1:14" x14ac:dyDescent="0.2">
      <c r="A221" s="1501" t="s">
        <v>962</v>
      </c>
      <c r="B221" s="613">
        <v>1300</v>
      </c>
      <c r="C221" s="615"/>
      <c r="D221" s="466">
        <v>0</v>
      </c>
      <c r="E221" s="615"/>
      <c r="F221" s="615"/>
      <c r="G221" s="615"/>
      <c r="H221" s="615"/>
      <c r="I221" s="615"/>
      <c r="J221" s="615"/>
      <c r="K221" s="1664">
        <f t="shared" si="19"/>
        <v>0</v>
      </c>
      <c r="L221" s="466"/>
    </row>
    <row r="222" spans="1:14" x14ac:dyDescent="0.2">
      <c r="A222" s="1501" t="s">
        <v>723</v>
      </c>
      <c r="B222" s="613">
        <v>1400</v>
      </c>
      <c r="C222" s="615"/>
      <c r="D222" s="466">
        <v>0</v>
      </c>
      <c r="E222" s="615"/>
      <c r="F222" s="615"/>
      <c r="G222" s="615"/>
      <c r="H222" s="615"/>
      <c r="I222" s="615"/>
      <c r="J222" s="615"/>
      <c r="K222" s="1664">
        <f t="shared" si="19"/>
        <v>0</v>
      </c>
      <c r="L222" s="466"/>
    </row>
    <row r="223" spans="1:14" x14ac:dyDescent="0.2">
      <c r="A223" s="1501" t="s">
        <v>963</v>
      </c>
      <c r="B223" s="613">
        <v>1500</v>
      </c>
      <c r="C223" s="615"/>
      <c r="D223" s="466">
        <v>0</v>
      </c>
      <c r="E223" s="615"/>
      <c r="F223" s="615"/>
      <c r="G223" s="615"/>
      <c r="H223" s="615"/>
      <c r="I223" s="615"/>
      <c r="J223" s="615"/>
      <c r="K223" s="1664">
        <f t="shared" si="19"/>
        <v>0</v>
      </c>
      <c r="L223" s="466"/>
    </row>
    <row r="224" spans="1:14" x14ac:dyDescent="0.2">
      <c r="A224" s="1501" t="s">
        <v>964</v>
      </c>
      <c r="B224" s="613">
        <v>1600</v>
      </c>
      <c r="C224" s="615"/>
      <c r="D224" s="466">
        <v>0</v>
      </c>
      <c r="E224" s="615"/>
      <c r="F224" s="615"/>
      <c r="G224" s="615"/>
      <c r="H224" s="615"/>
      <c r="I224" s="615"/>
      <c r="J224" s="615"/>
      <c r="K224" s="1664">
        <f t="shared" si="19"/>
        <v>0</v>
      </c>
      <c r="L224" s="466"/>
    </row>
    <row r="225" spans="1:12" x14ac:dyDescent="0.2">
      <c r="A225" s="1501" t="s">
        <v>987</v>
      </c>
      <c r="B225" s="613">
        <v>1650</v>
      </c>
      <c r="C225" s="615"/>
      <c r="D225" s="466">
        <v>0</v>
      </c>
      <c r="E225" s="615"/>
      <c r="F225" s="615"/>
      <c r="G225" s="615"/>
      <c r="H225" s="615"/>
      <c r="I225" s="615"/>
      <c r="J225" s="615"/>
      <c r="K225" s="1664">
        <f t="shared" si="19"/>
        <v>0</v>
      </c>
      <c r="L225" s="466"/>
    </row>
    <row r="226" spans="1:12" x14ac:dyDescent="0.2">
      <c r="A226" s="1501" t="s">
        <v>724</v>
      </c>
      <c r="B226" s="613" t="s">
        <v>162</v>
      </c>
      <c r="C226" s="615"/>
      <c r="D226" s="467">
        <v>0</v>
      </c>
      <c r="E226" s="615"/>
      <c r="F226" s="615"/>
      <c r="G226" s="615"/>
      <c r="H226" s="615"/>
      <c r="I226" s="615"/>
      <c r="J226" s="615"/>
      <c r="K226" s="1664">
        <f t="shared" si="19"/>
        <v>0</v>
      </c>
      <c r="L226" s="466"/>
    </row>
    <row r="227" spans="1:12" x14ac:dyDescent="0.2">
      <c r="A227" s="1501" t="s">
        <v>1087</v>
      </c>
      <c r="B227" s="613">
        <v>1800</v>
      </c>
      <c r="C227" s="615"/>
      <c r="D227" s="466">
        <v>0</v>
      </c>
      <c r="E227" s="615"/>
      <c r="F227" s="615"/>
      <c r="G227" s="615"/>
      <c r="H227" s="615"/>
      <c r="I227" s="615"/>
      <c r="J227" s="615"/>
      <c r="K227" s="1664">
        <f t="shared" si="19"/>
        <v>0</v>
      </c>
      <c r="L227" s="466"/>
    </row>
    <row r="228" spans="1:12" x14ac:dyDescent="0.2">
      <c r="A228" s="1501" t="s">
        <v>1088</v>
      </c>
      <c r="B228" s="613">
        <v>1900</v>
      </c>
      <c r="C228" s="615"/>
      <c r="D228" s="466">
        <v>0</v>
      </c>
      <c r="E228" s="615"/>
      <c r="F228" s="615"/>
      <c r="G228" s="615"/>
      <c r="H228" s="615"/>
      <c r="I228" s="615"/>
      <c r="J228" s="615"/>
      <c r="K228" s="1664">
        <f t="shared" si="19"/>
        <v>0</v>
      </c>
      <c r="L228" s="466"/>
    </row>
    <row r="229" spans="1:12" ht="12.75" customHeight="1" thickBot="1" x14ac:dyDescent="0.25">
      <c r="A229" s="1661" t="s">
        <v>715</v>
      </c>
      <c r="B229" s="1668" t="s">
        <v>570</v>
      </c>
      <c r="C229" s="615"/>
      <c r="D229" s="1663">
        <f>SUM(D215:D228)</f>
        <v>0</v>
      </c>
      <c r="E229" s="615"/>
      <c r="F229" s="615"/>
      <c r="G229" s="615"/>
      <c r="H229" s="615"/>
      <c r="I229" s="615"/>
      <c r="J229" s="615"/>
      <c r="K229" s="1663">
        <f>SUM(K215:K228)</f>
        <v>0</v>
      </c>
      <c r="L229" s="1663">
        <f>SUM(L215:L228)</f>
        <v>0</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4">
        <f t="shared" ref="K232:K237" si="20">D232</f>
        <v>0</v>
      </c>
      <c r="L232" s="466"/>
    </row>
    <row r="233" spans="1:12" x14ac:dyDescent="0.2">
      <c r="A233" s="1501" t="s">
        <v>1090</v>
      </c>
      <c r="B233" s="613">
        <v>2120</v>
      </c>
      <c r="C233" s="615"/>
      <c r="D233" s="466">
        <v>0</v>
      </c>
      <c r="E233" s="615"/>
      <c r="F233" s="615"/>
      <c r="G233" s="615"/>
      <c r="H233" s="615"/>
      <c r="I233" s="615"/>
      <c r="J233" s="615"/>
      <c r="K233" s="1664">
        <f t="shared" si="20"/>
        <v>0</v>
      </c>
      <c r="L233" s="466"/>
    </row>
    <row r="234" spans="1:12" x14ac:dyDescent="0.2">
      <c r="A234" s="1501" t="s">
        <v>198</v>
      </c>
      <c r="B234" s="613">
        <v>2130</v>
      </c>
      <c r="C234" s="615"/>
      <c r="D234" s="466">
        <v>0</v>
      </c>
      <c r="E234" s="615"/>
      <c r="F234" s="615"/>
      <c r="G234" s="615"/>
      <c r="H234" s="615"/>
      <c r="I234" s="615"/>
      <c r="J234" s="615"/>
      <c r="K234" s="1664">
        <f t="shared" si="20"/>
        <v>0</v>
      </c>
      <c r="L234" s="466"/>
    </row>
    <row r="235" spans="1:12" x14ac:dyDescent="0.2">
      <c r="A235" s="1501" t="s">
        <v>199</v>
      </c>
      <c r="B235" s="613">
        <v>2140</v>
      </c>
      <c r="C235" s="615"/>
      <c r="D235" s="466">
        <v>0</v>
      </c>
      <c r="E235" s="615"/>
      <c r="F235" s="615"/>
      <c r="G235" s="615"/>
      <c r="H235" s="615"/>
      <c r="I235" s="615"/>
      <c r="J235" s="615"/>
      <c r="K235" s="1664">
        <f t="shared" si="20"/>
        <v>0</v>
      </c>
      <c r="L235" s="466"/>
    </row>
    <row r="236" spans="1:12" x14ac:dyDescent="0.2">
      <c r="A236" s="1501" t="s">
        <v>200</v>
      </c>
      <c r="B236" s="613">
        <v>2150</v>
      </c>
      <c r="C236" s="615"/>
      <c r="D236" s="466">
        <v>0</v>
      </c>
      <c r="E236" s="615"/>
      <c r="F236" s="615"/>
      <c r="G236" s="615"/>
      <c r="H236" s="615"/>
      <c r="I236" s="615"/>
      <c r="J236" s="615"/>
      <c r="K236" s="1664">
        <f t="shared" si="20"/>
        <v>0</v>
      </c>
      <c r="L236" s="466"/>
    </row>
    <row r="237" spans="1:12" x14ac:dyDescent="0.2">
      <c r="A237" s="1501" t="s">
        <v>165</v>
      </c>
      <c r="B237" s="613">
        <v>2190</v>
      </c>
      <c r="C237" s="615"/>
      <c r="D237" s="466">
        <v>0</v>
      </c>
      <c r="E237" s="615"/>
      <c r="F237" s="615"/>
      <c r="G237" s="615"/>
      <c r="H237" s="615"/>
      <c r="I237" s="615"/>
      <c r="J237" s="615"/>
      <c r="K237" s="1664">
        <f t="shared" si="20"/>
        <v>0</v>
      </c>
      <c r="L237" s="466"/>
    </row>
    <row r="238" spans="1:12" ht="12.75" customHeight="1" thickBot="1" x14ac:dyDescent="0.25">
      <c r="A238" s="1661" t="s">
        <v>560</v>
      </c>
      <c r="B238" s="1668" t="s">
        <v>716</v>
      </c>
      <c r="C238" s="615"/>
      <c r="D238" s="1663">
        <f>SUM(D232:D237)</f>
        <v>0</v>
      </c>
      <c r="E238" s="615"/>
      <c r="F238" s="615"/>
      <c r="G238" s="615"/>
      <c r="H238" s="615"/>
      <c r="I238" s="615"/>
      <c r="J238" s="615"/>
      <c r="K238" s="1663">
        <f>SUM(K232:K237)</f>
        <v>0</v>
      </c>
      <c r="L238" s="1663">
        <f>SUM(L232:L237)</f>
        <v>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0</v>
      </c>
      <c r="E240" s="615"/>
      <c r="F240" s="615"/>
      <c r="G240" s="615"/>
      <c r="H240" s="615"/>
      <c r="I240" s="615"/>
      <c r="J240" s="615"/>
      <c r="K240" s="1665">
        <f>D240</f>
        <v>0</v>
      </c>
      <c r="L240" s="568"/>
    </row>
    <row r="241" spans="1:12" x14ac:dyDescent="0.2">
      <c r="A241" s="1501" t="s">
        <v>815</v>
      </c>
      <c r="B241" s="613">
        <v>2220</v>
      </c>
      <c r="C241" s="615"/>
      <c r="D241" s="466">
        <v>0</v>
      </c>
      <c r="E241" s="615"/>
      <c r="F241" s="615"/>
      <c r="G241" s="615"/>
      <c r="H241" s="615"/>
      <c r="I241" s="615"/>
      <c r="J241" s="615"/>
      <c r="K241" s="1665">
        <f>D241</f>
        <v>0</v>
      </c>
      <c r="L241" s="466"/>
    </row>
    <row r="242" spans="1:12" x14ac:dyDescent="0.2">
      <c r="A242" s="1501" t="s">
        <v>816</v>
      </c>
      <c r="B242" s="613">
        <v>2230</v>
      </c>
      <c r="C242" s="615"/>
      <c r="D242" s="466">
        <v>0</v>
      </c>
      <c r="E242" s="615"/>
      <c r="F242" s="615"/>
      <c r="G242" s="615"/>
      <c r="H242" s="615"/>
      <c r="I242" s="615"/>
      <c r="J242" s="615"/>
      <c r="K242" s="1665">
        <f>D242</f>
        <v>0</v>
      </c>
      <c r="L242" s="466"/>
    </row>
    <row r="243" spans="1:12" ht="12.75" customHeight="1" thickBot="1" x14ac:dyDescent="0.25">
      <c r="A243" s="1687" t="s">
        <v>561</v>
      </c>
      <c r="B243" s="1688">
        <v>2200</v>
      </c>
      <c r="C243" s="615"/>
      <c r="D243" s="1663">
        <f>SUM(D240:D242)</f>
        <v>0</v>
      </c>
      <c r="E243" s="615"/>
      <c r="F243" s="615"/>
      <c r="G243" s="615"/>
      <c r="H243" s="615"/>
      <c r="I243" s="615"/>
      <c r="J243" s="615"/>
      <c r="K243" s="1663">
        <f>SUM(K240:K242)</f>
        <v>0</v>
      </c>
      <c r="L243" s="1663">
        <f>SUM(L240:L242)</f>
        <v>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0</v>
      </c>
      <c r="E245" s="615"/>
      <c r="F245" s="615"/>
      <c r="G245" s="615"/>
      <c r="H245" s="615"/>
      <c r="I245" s="615"/>
      <c r="J245" s="615"/>
      <c r="K245" s="1665">
        <f>D245</f>
        <v>0</v>
      </c>
      <c r="L245" s="568"/>
    </row>
    <row r="246" spans="1:12" x14ac:dyDescent="0.2">
      <c r="A246" s="1501" t="s">
        <v>818</v>
      </c>
      <c r="B246" s="613">
        <v>2320</v>
      </c>
      <c r="C246" s="615"/>
      <c r="D246" s="466">
        <v>0</v>
      </c>
      <c r="E246" s="615"/>
      <c r="F246" s="615"/>
      <c r="G246" s="615"/>
      <c r="H246" s="615"/>
      <c r="I246" s="615"/>
      <c r="J246" s="615"/>
      <c r="K246" s="1665">
        <f t="shared" ref="K246:K256" si="21">D246</f>
        <v>0</v>
      </c>
      <c r="L246" s="466"/>
    </row>
    <row r="247" spans="1:12" x14ac:dyDescent="0.2">
      <c r="A247" s="1501" t="s">
        <v>819</v>
      </c>
      <c r="B247" s="613">
        <v>2330</v>
      </c>
      <c r="C247" s="615"/>
      <c r="D247" s="466">
        <v>0</v>
      </c>
      <c r="E247" s="615"/>
      <c r="F247" s="615"/>
      <c r="G247" s="615"/>
      <c r="H247" s="615"/>
      <c r="I247" s="615"/>
      <c r="J247" s="615"/>
      <c r="K247" s="1665">
        <f t="shared" si="21"/>
        <v>0</v>
      </c>
      <c r="L247" s="466"/>
    </row>
    <row r="248" spans="1:12" x14ac:dyDescent="0.2">
      <c r="A248" s="1502" t="s">
        <v>299</v>
      </c>
      <c r="B248" s="601" t="s">
        <v>281</v>
      </c>
      <c r="C248" s="615"/>
      <c r="D248" s="474">
        <v>0</v>
      </c>
      <c r="E248" s="615"/>
      <c r="F248" s="615"/>
      <c r="G248" s="615"/>
      <c r="H248" s="615"/>
      <c r="I248" s="615"/>
      <c r="J248" s="615"/>
      <c r="K248" s="1665">
        <f t="shared" si="21"/>
        <v>0</v>
      </c>
      <c r="L248" s="466"/>
    </row>
    <row r="249" spans="1:12" x14ac:dyDescent="0.2">
      <c r="A249" s="1503" t="s">
        <v>1801</v>
      </c>
      <c r="B249" s="681" t="s">
        <v>282</v>
      </c>
      <c r="C249" s="615"/>
      <c r="D249" s="474">
        <v>0</v>
      </c>
      <c r="E249" s="615"/>
      <c r="F249" s="615"/>
      <c r="G249" s="615"/>
      <c r="H249" s="615"/>
      <c r="I249" s="615"/>
      <c r="J249" s="615"/>
      <c r="K249" s="1665">
        <f t="shared" si="21"/>
        <v>0</v>
      </c>
      <c r="L249" s="466"/>
    </row>
    <row r="250" spans="1:12" x14ac:dyDescent="0.2">
      <c r="A250" s="1502" t="s">
        <v>1802</v>
      </c>
      <c r="B250" s="601" t="s">
        <v>283</v>
      </c>
      <c r="C250" s="615"/>
      <c r="D250" s="474">
        <v>0</v>
      </c>
      <c r="E250" s="615"/>
      <c r="F250" s="615"/>
      <c r="G250" s="615"/>
      <c r="H250" s="615"/>
      <c r="I250" s="615"/>
      <c r="J250" s="615"/>
      <c r="K250" s="1665">
        <f t="shared" si="21"/>
        <v>0</v>
      </c>
      <c r="L250" s="466"/>
    </row>
    <row r="251" spans="1:12" x14ac:dyDescent="0.2">
      <c r="A251" s="1502" t="s">
        <v>238</v>
      </c>
      <c r="B251" s="601" t="s">
        <v>284</v>
      </c>
      <c r="C251" s="615"/>
      <c r="D251" s="474">
        <v>0</v>
      </c>
      <c r="E251" s="615"/>
      <c r="F251" s="615"/>
      <c r="G251" s="615"/>
      <c r="H251" s="615"/>
      <c r="I251" s="615"/>
      <c r="J251" s="615"/>
      <c r="K251" s="1665">
        <f t="shared" si="21"/>
        <v>0</v>
      </c>
      <c r="L251" s="466"/>
    </row>
    <row r="252" spans="1:12" x14ac:dyDescent="0.2">
      <c r="A252" s="1502" t="s">
        <v>702</v>
      </c>
      <c r="B252" s="601" t="s">
        <v>285</v>
      </c>
      <c r="C252" s="615"/>
      <c r="D252" s="474">
        <v>0</v>
      </c>
      <c r="E252" s="615"/>
      <c r="F252" s="615"/>
      <c r="G252" s="615"/>
      <c r="H252" s="615"/>
      <c r="I252" s="615"/>
      <c r="J252" s="615"/>
      <c r="K252" s="1665">
        <f t="shared" si="21"/>
        <v>0</v>
      </c>
      <c r="L252" s="466"/>
    </row>
    <row r="253" spans="1:12" x14ac:dyDescent="0.2">
      <c r="A253" s="1502" t="s">
        <v>239</v>
      </c>
      <c r="B253" s="601" t="s">
        <v>286</v>
      </c>
      <c r="C253" s="615"/>
      <c r="D253" s="474">
        <v>0</v>
      </c>
      <c r="E253" s="615"/>
      <c r="F253" s="615"/>
      <c r="G253" s="615"/>
      <c r="H253" s="615"/>
      <c r="I253" s="615"/>
      <c r="J253" s="615"/>
      <c r="K253" s="1665">
        <f t="shared" si="21"/>
        <v>0</v>
      </c>
      <c r="L253" s="466"/>
    </row>
    <row r="254" spans="1:12" ht="22.5" x14ac:dyDescent="0.2">
      <c r="A254" s="1502" t="s">
        <v>1029</v>
      </c>
      <c r="B254" s="681" t="s">
        <v>287</v>
      </c>
      <c r="C254" s="615"/>
      <c r="D254" s="474">
        <v>0</v>
      </c>
      <c r="E254" s="615"/>
      <c r="F254" s="615"/>
      <c r="G254" s="615"/>
      <c r="H254" s="615"/>
      <c r="I254" s="615"/>
      <c r="J254" s="615"/>
      <c r="K254" s="1665">
        <f t="shared" si="21"/>
        <v>0</v>
      </c>
      <c r="L254" s="466"/>
    </row>
    <row r="255" spans="1:12" x14ac:dyDescent="0.2">
      <c r="A255" s="1502" t="s">
        <v>1030</v>
      </c>
      <c r="B255" s="601" t="s">
        <v>288</v>
      </c>
      <c r="C255" s="615"/>
      <c r="D255" s="474">
        <v>0</v>
      </c>
      <c r="E255" s="615"/>
      <c r="F255" s="615"/>
      <c r="G255" s="615"/>
      <c r="H255" s="615"/>
      <c r="I255" s="615"/>
      <c r="J255" s="615"/>
      <c r="K255" s="1665">
        <f t="shared" si="21"/>
        <v>0</v>
      </c>
      <c r="L255" s="466"/>
    </row>
    <row r="256" spans="1:12" x14ac:dyDescent="0.2">
      <c r="A256" s="1502" t="s">
        <v>971</v>
      </c>
      <c r="B256" s="613" t="s">
        <v>289</v>
      </c>
      <c r="C256" s="615"/>
      <c r="D256" s="474">
        <v>0</v>
      </c>
      <c r="E256" s="615"/>
      <c r="F256" s="615"/>
      <c r="G256" s="615"/>
      <c r="H256" s="615"/>
      <c r="I256" s="615"/>
      <c r="J256" s="615"/>
      <c r="K256" s="1665">
        <f t="shared" si="21"/>
        <v>0</v>
      </c>
      <c r="L256" s="466"/>
    </row>
    <row r="257" spans="1:14" ht="12.75" customHeight="1" thickBot="1" x14ac:dyDescent="0.25">
      <c r="A257" s="1661" t="s">
        <v>717</v>
      </c>
      <c r="B257" s="1689">
        <v>2300</v>
      </c>
      <c r="C257" s="615"/>
      <c r="D257" s="1663">
        <f>SUM(D245:D256)</f>
        <v>0</v>
      </c>
      <c r="E257" s="615"/>
      <c r="F257" s="615"/>
      <c r="G257" s="615"/>
      <c r="H257" s="615"/>
      <c r="I257" s="615"/>
      <c r="J257" s="615"/>
      <c r="K257" s="1663">
        <f>SUM(K245:K256)</f>
        <v>0</v>
      </c>
      <c r="L257" s="1663">
        <f>SUM(L245:L256)</f>
        <v>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0</v>
      </c>
      <c r="E259" s="615"/>
      <c r="F259" s="615"/>
      <c r="G259" s="615"/>
      <c r="H259" s="615"/>
      <c r="I259" s="615"/>
      <c r="J259" s="615"/>
      <c r="K259" s="1665">
        <f>D259</f>
        <v>0</v>
      </c>
      <c r="L259" s="568"/>
    </row>
    <row r="260" spans="1:14" s="596" customFormat="1" x14ac:dyDescent="0.2">
      <c r="A260" s="1519" t="s">
        <v>1800</v>
      </c>
      <c r="B260" s="627">
        <v>2490</v>
      </c>
      <c r="C260" s="615"/>
      <c r="D260" s="466">
        <v>0</v>
      </c>
      <c r="E260" s="615"/>
      <c r="F260" s="615"/>
      <c r="G260" s="615"/>
      <c r="H260" s="615"/>
      <c r="I260" s="615"/>
      <c r="J260" s="615"/>
      <c r="K260" s="1665">
        <f>D260</f>
        <v>0</v>
      </c>
      <c r="L260" s="466"/>
      <c r="M260" s="210"/>
      <c r="N260" s="210"/>
    </row>
    <row r="261" spans="1:14" ht="12.75" customHeight="1" thickBot="1" x14ac:dyDescent="0.25">
      <c r="A261" s="1685" t="s">
        <v>263</v>
      </c>
      <c r="B261" s="1690" t="s">
        <v>34</v>
      </c>
      <c r="C261" s="615"/>
      <c r="D261" s="1663">
        <f>SUM(D259:D260)</f>
        <v>0</v>
      </c>
      <c r="E261" s="615"/>
      <c r="F261" s="615"/>
      <c r="G261" s="615"/>
      <c r="H261" s="615"/>
      <c r="I261" s="615"/>
      <c r="J261" s="615"/>
      <c r="K261" s="1663">
        <f>SUM(K259:K260)</f>
        <v>0</v>
      </c>
      <c r="L261" s="1663">
        <f>SUM(L259:L260)</f>
        <v>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row>
    <row r="264" spans="1:14" x14ac:dyDescent="0.2">
      <c r="A264" s="1501" t="s">
        <v>463</v>
      </c>
      <c r="B264" s="683">
        <v>2520</v>
      </c>
      <c r="C264" s="615"/>
      <c r="D264" s="466">
        <v>0</v>
      </c>
      <c r="E264" s="615"/>
      <c r="F264" s="615"/>
      <c r="G264" s="615"/>
      <c r="H264" s="615"/>
      <c r="I264" s="615"/>
      <c r="J264" s="615"/>
      <c r="K264" s="1665">
        <f t="shared" ref="K264:K269" si="22">D264</f>
        <v>0</v>
      </c>
      <c r="L264" s="466"/>
    </row>
    <row r="265" spans="1:14" x14ac:dyDescent="0.2">
      <c r="A265" s="1501" t="s">
        <v>4</v>
      </c>
      <c r="B265" s="613">
        <v>2530</v>
      </c>
      <c r="C265" s="615"/>
      <c r="D265" s="466">
        <v>0</v>
      </c>
      <c r="E265" s="615"/>
      <c r="F265" s="615"/>
      <c r="G265" s="615"/>
      <c r="H265" s="615"/>
      <c r="I265" s="615"/>
      <c r="J265" s="615"/>
      <c r="K265" s="1665">
        <f t="shared" si="22"/>
        <v>0</v>
      </c>
      <c r="L265" s="466"/>
    </row>
    <row r="266" spans="1:14" x14ac:dyDescent="0.2">
      <c r="A266" s="1501" t="s">
        <v>197</v>
      </c>
      <c r="B266" s="613">
        <v>2540</v>
      </c>
      <c r="C266" s="615"/>
      <c r="D266" s="466">
        <v>0</v>
      </c>
      <c r="E266" s="615"/>
      <c r="F266" s="615"/>
      <c r="G266" s="615"/>
      <c r="H266" s="615"/>
      <c r="I266" s="615"/>
      <c r="J266" s="615"/>
      <c r="K266" s="1665">
        <f t="shared" si="22"/>
        <v>0</v>
      </c>
      <c r="L266" s="466"/>
    </row>
    <row r="267" spans="1:14" x14ac:dyDescent="0.2">
      <c r="A267" s="1501" t="s">
        <v>953</v>
      </c>
      <c r="B267" s="613">
        <v>2550</v>
      </c>
      <c r="C267" s="615"/>
      <c r="D267" s="466">
        <v>0</v>
      </c>
      <c r="E267" s="615"/>
      <c r="F267" s="615"/>
      <c r="G267" s="615"/>
      <c r="H267" s="615"/>
      <c r="I267" s="615"/>
      <c r="J267" s="615"/>
      <c r="K267" s="1665">
        <f t="shared" si="22"/>
        <v>0</v>
      </c>
      <c r="L267" s="466"/>
    </row>
    <row r="268" spans="1:14" x14ac:dyDescent="0.2">
      <c r="A268" s="1501" t="s">
        <v>100</v>
      </c>
      <c r="B268" s="613">
        <v>2560</v>
      </c>
      <c r="C268" s="615"/>
      <c r="D268" s="466">
        <v>0</v>
      </c>
      <c r="E268" s="615"/>
      <c r="F268" s="615"/>
      <c r="G268" s="615"/>
      <c r="H268" s="615"/>
      <c r="I268" s="615"/>
      <c r="J268" s="615"/>
      <c r="K268" s="1665">
        <f t="shared" si="22"/>
        <v>0</v>
      </c>
      <c r="L268" s="466"/>
    </row>
    <row r="269" spans="1:14" x14ac:dyDescent="0.2">
      <c r="A269" s="1501" t="s">
        <v>101</v>
      </c>
      <c r="B269" s="613">
        <v>2570</v>
      </c>
      <c r="C269" s="615"/>
      <c r="D269" s="466">
        <v>0</v>
      </c>
      <c r="E269" s="615"/>
      <c r="F269" s="615"/>
      <c r="G269" s="615"/>
      <c r="H269" s="615"/>
      <c r="I269" s="615"/>
      <c r="J269" s="615"/>
      <c r="K269" s="1665">
        <f t="shared" si="22"/>
        <v>0</v>
      </c>
      <c r="L269" s="466"/>
    </row>
    <row r="270" spans="1:14" ht="12.75" customHeight="1" thickBot="1" x14ac:dyDescent="0.25">
      <c r="A270" s="1661" t="s">
        <v>719</v>
      </c>
      <c r="B270" s="1668" t="s">
        <v>35</v>
      </c>
      <c r="C270" s="615"/>
      <c r="D270" s="1663">
        <f>SUM(D263:D269)</f>
        <v>0</v>
      </c>
      <c r="E270" s="615"/>
      <c r="F270" s="615"/>
      <c r="G270" s="615"/>
      <c r="H270" s="615"/>
      <c r="I270" s="615"/>
      <c r="J270" s="615"/>
      <c r="K270" s="1663">
        <f>SUM(K263:K269)</f>
        <v>0</v>
      </c>
      <c r="L270" s="1663">
        <f>SUM(L263:L269)</f>
        <v>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row>
    <row r="273" spans="1:12" x14ac:dyDescent="0.2">
      <c r="A273" s="1501" t="s">
        <v>607</v>
      </c>
      <c r="B273" s="627">
        <v>2620</v>
      </c>
      <c r="C273" s="615"/>
      <c r="D273" s="466">
        <v>0</v>
      </c>
      <c r="E273" s="615"/>
      <c r="F273" s="615"/>
      <c r="G273" s="615"/>
      <c r="H273" s="615"/>
      <c r="I273" s="615"/>
      <c r="J273" s="615"/>
      <c r="K273" s="1665">
        <f>D273</f>
        <v>0</v>
      </c>
      <c r="L273" s="466"/>
    </row>
    <row r="274" spans="1:12" ht="12" customHeight="1" x14ac:dyDescent="0.2">
      <c r="A274" s="1501" t="s">
        <v>1061</v>
      </c>
      <c r="B274" s="613">
        <v>2630</v>
      </c>
      <c r="C274" s="615"/>
      <c r="D274" s="466">
        <v>0</v>
      </c>
      <c r="E274" s="615"/>
      <c r="F274" s="615"/>
      <c r="G274" s="615"/>
      <c r="H274" s="615"/>
      <c r="I274" s="615"/>
      <c r="J274" s="615"/>
      <c r="K274" s="1665">
        <f>D274</f>
        <v>0</v>
      </c>
      <c r="L274" s="466"/>
    </row>
    <row r="275" spans="1:12" x14ac:dyDescent="0.2">
      <c r="A275" s="1501" t="s">
        <v>403</v>
      </c>
      <c r="B275" s="613">
        <v>2640</v>
      </c>
      <c r="C275" s="615"/>
      <c r="D275" s="466">
        <v>0</v>
      </c>
      <c r="E275" s="615"/>
      <c r="F275" s="615"/>
      <c r="G275" s="615"/>
      <c r="H275" s="615"/>
      <c r="I275" s="615"/>
      <c r="J275" s="615"/>
      <c r="K275" s="1665">
        <f>D275</f>
        <v>0</v>
      </c>
      <c r="L275" s="466"/>
    </row>
    <row r="276" spans="1:12" x14ac:dyDescent="0.2">
      <c r="A276" s="1501" t="s">
        <v>404</v>
      </c>
      <c r="B276" s="613">
        <v>2660</v>
      </c>
      <c r="C276" s="615"/>
      <c r="D276" s="466">
        <v>0</v>
      </c>
      <c r="E276" s="615"/>
      <c r="F276" s="615"/>
      <c r="G276" s="615"/>
      <c r="H276" s="615"/>
      <c r="I276" s="615"/>
      <c r="J276" s="615"/>
      <c r="K276" s="1665">
        <f>D276</f>
        <v>0</v>
      </c>
      <c r="L276" s="466"/>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7" customHeight="1" thickTop="1" x14ac:dyDescent="0.2">
      <c r="A278" s="1507" t="s">
        <v>980</v>
      </c>
      <c r="B278" s="653" t="s">
        <v>574</v>
      </c>
      <c r="C278" s="615"/>
      <c r="D278" s="654">
        <v>0</v>
      </c>
      <c r="E278" s="615"/>
      <c r="F278" s="615"/>
      <c r="G278" s="615"/>
      <c r="H278" s="615"/>
      <c r="I278" s="615"/>
      <c r="J278" s="615"/>
      <c r="K278" s="1678">
        <f>D278</f>
        <v>0</v>
      </c>
      <c r="L278" s="654"/>
    </row>
    <row r="279" spans="1:12" ht="12.75" customHeight="1" thickBot="1" x14ac:dyDescent="0.25">
      <c r="A279" s="1691" t="s">
        <v>811</v>
      </c>
      <c r="B279" s="1674">
        <v>2000</v>
      </c>
      <c r="C279" s="615"/>
      <c r="D279" s="1670">
        <f>SUM(D238,D243,D257,D261,D270,D277,D278)</f>
        <v>0</v>
      </c>
      <c r="E279" s="615"/>
      <c r="F279" s="615"/>
      <c r="G279" s="615"/>
      <c r="H279" s="615"/>
      <c r="I279" s="615"/>
      <c r="J279" s="615"/>
      <c r="K279" s="1670">
        <f>SUM(K238,K243,K257,K261,K270,K277,K278)</f>
        <v>0</v>
      </c>
      <c r="L279" s="1670">
        <f>SUM(L238,L243,L257,L261,L270,L277,L278)</f>
        <v>0</v>
      </c>
    </row>
    <row r="280" spans="1:12" ht="15.75" customHeight="1" thickTop="1" thickBot="1" x14ac:dyDescent="0.25">
      <c r="A280" s="1621" t="s">
        <v>875</v>
      </c>
      <c r="B280" s="1610">
        <v>3000</v>
      </c>
      <c r="C280" s="615"/>
      <c r="D280" s="575">
        <v>0</v>
      </c>
      <c r="E280" s="615"/>
      <c r="F280" s="615"/>
      <c r="G280" s="615"/>
      <c r="H280" s="615"/>
      <c r="I280" s="615"/>
      <c r="J280" s="615"/>
      <c r="K280" s="1672">
        <f>D280</f>
        <v>0</v>
      </c>
      <c r="L280" s="575"/>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1840</v>
      </c>
      <c r="C282" s="615"/>
      <c r="D282" s="467" t="s">
        <v>1169</v>
      </c>
      <c r="E282" s="615"/>
      <c r="F282" s="615"/>
      <c r="G282" s="615"/>
      <c r="H282" s="615"/>
      <c r="I282" s="615"/>
      <c r="J282" s="615"/>
      <c r="K282" s="1664" t="str">
        <f>D282</f>
        <v xml:space="preserve"> </v>
      </c>
      <c r="L282" s="467"/>
    </row>
    <row r="283" spans="1:12" x14ac:dyDescent="0.2">
      <c r="A283" s="1501" t="s">
        <v>304</v>
      </c>
      <c r="B283" s="613">
        <v>4120</v>
      </c>
      <c r="C283" s="615"/>
      <c r="D283" s="466">
        <v>0</v>
      </c>
      <c r="E283" s="615"/>
      <c r="F283" s="615"/>
      <c r="G283" s="615"/>
      <c r="H283" s="615"/>
      <c r="I283" s="615"/>
      <c r="J283" s="615"/>
      <c r="K283" s="1664">
        <f>D283</f>
        <v>0</v>
      </c>
      <c r="L283" s="466"/>
    </row>
    <row r="284" spans="1:12" x14ac:dyDescent="0.2">
      <c r="A284" s="1501" t="s">
        <v>697</v>
      </c>
      <c r="B284" s="613">
        <v>4140</v>
      </c>
      <c r="C284" s="615"/>
      <c r="D284" s="467">
        <v>0</v>
      </c>
      <c r="E284" s="615"/>
      <c r="F284" s="615"/>
      <c r="G284" s="615"/>
      <c r="H284" s="615"/>
      <c r="I284" s="615"/>
      <c r="J284" s="615"/>
      <c r="K284" s="1664">
        <f>D284</f>
        <v>0</v>
      </c>
      <c r="L284" s="466"/>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row>
    <row r="289" spans="1:14" x14ac:dyDescent="0.2">
      <c r="A289" s="1501" t="s">
        <v>88</v>
      </c>
      <c r="B289" s="613">
        <v>5120</v>
      </c>
      <c r="C289" s="615"/>
      <c r="D289" s="615"/>
      <c r="E289" s="615"/>
      <c r="F289" s="615"/>
      <c r="G289" s="615"/>
      <c r="H289" s="466">
        <v>0</v>
      </c>
      <c r="I289" s="615"/>
      <c r="J289" s="615"/>
      <c r="K289" s="1664">
        <f>H289</f>
        <v>0</v>
      </c>
      <c r="L289" s="466"/>
    </row>
    <row r="290" spans="1:14" ht="12.75" customHeight="1" x14ac:dyDescent="0.2">
      <c r="A290" s="1501" t="s">
        <v>1170</v>
      </c>
      <c r="B290" s="627" t="s">
        <v>617</v>
      </c>
      <c r="C290" s="615"/>
      <c r="D290" s="615"/>
      <c r="E290" s="615"/>
      <c r="F290" s="615"/>
      <c r="G290" s="615"/>
      <c r="H290" s="466">
        <v>0</v>
      </c>
      <c r="I290" s="615"/>
      <c r="J290" s="615"/>
      <c r="K290" s="1664">
        <f>H290</f>
        <v>0</v>
      </c>
      <c r="L290" s="466"/>
    </row>
    <row r="291" spans="1:14" x14ac:dyDescent="0.2">
      <c r="A291" s="1501" t="s">
        <v>89</v>
      </c>
      <c r="B291" s="613" t="s">
        <v>589</v>
      </c>
      <c r="C291" s="615"/>
      <c r="D291" s="615"/>
      <c r="E291" s="615"/>
      <c r="F291" s="615"/>
      <c r="G291" s="615"/>
      <c r="H291" s="466">
        <v>0</v>
      </c>
      <c r="I291" s="615"/>
      <c r="J291" s="615"/>
      <c r="K291" s="1664">
        <f>H291</f>
        <v>0</v>
      </c>
      <c r="L291" s="466"/>
    </row>
    <row r="292" spans="1:14" x14ac:dyDescent="0.2">
      <c r="A292" s="1501" t="s">
        <v>762</v>
      </c>
      <c r="B292" s="613" t="s">
        <v>618</v>
      </c>
      <c r="C292" s="615"/>
      <c r="D292" s="615"/>
      <c r="E292" s="615"/>
      <c r="F292" s="615"/>
      <c r="G292" s="615"/>
      <c r="H292" s="466">
        <v>0</v>
      </c>
      <c r="I292" s="615"/>
      <c r="J292" s="615"/>
      <c r="K292" s="1664">
        <f>H292</f>
        <v>0</v>
      </c>
      <c r="L292" s="466"/>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row>
    <row r="295" spans="1:14" ht="12.75" customHeight="1" thickTop="1" thickBot="1" x14ac:dyDescent="0.25">
      <c r="A295" s="2191" t="s">
        <v>505</v>
      </c>
      <c r="B295" s="2192"/>
      <c r="C295" s="615"/>
      <c r="D295" s="1663">
        <f>SUM(D229,D279,D280,D285)</f>
        <v>0</v>
      </c>
      <c r="E295" s="615"/>
      <c r="F295" s="615"/>
      <c r="G295" s="615"/>
      <c r="H295" s="1663">
        <f>H293</f>
        <v>0</v>
      </c>
      <c r="I295" s="615"/>
      <c r="J295" s="615"/>
      <c r="K295" s="1663">
        <f>SUM(K229,K279,K280,K285,K293,K294)</f>
        <v>0</v>
      </c>
      <c r="L295" s="1663">
        <f>SUM(L229,L279,L280,L285,L293,L294)</f>
        <v>0</v>
      </c>
    </row>
    <row r="296" spans="1:14" ht="13.5" thickTop="1" x14ac:dyDescent="0.2">
      <c r="A296" s="2200" t="s">
        <v>996</v>
      </c>
      <c r="B296" s="2201"/>
      <c r="C296" s="615"/>
      <c r="D296" s="617"/>
      <c r="E296" s="615"/>
      <c r="F296" s="615"/>
      <c r="G296" s="615"/>
      <c r="H296" s="685"/>
      <c r="I296" s="615"/>
      <c r="J296" s="615"/>
      <c r="K296" s="1677">
        <f>'Revenues 9-14'!G268-'Expenditures 15-22'!K295</f>
        <v>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3" t="s">
        <v>143</v>
      </c>
      <c r="B298" s="2177"/>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0</v>
      </c>
      <c r="H301" s="466">
        <v>0</v>
      </c>
      <c r="I301" s="466">
        <v>0</v>
      </c>
      <c r="J301" s="466">
        <v>0</v>
      </c>
      <c r="K301" s="1664">
        <f>SUM(C301:J301)</f>
        <v>0</v>
      </c>
      <c r="L301" s="467"/>
    </row>
    <row r="302" spans="1:14" ht="13.7"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1845</v>
      </c>
      <c r="B306" s="688" t="s">
        <v>1840</v>
      </c>
      <c r="C306" s="615"/>
      <c r="D306" s="615"/>
      <c r="E306" s="466" t="s">
        <v>1169</v>
      </c>
      <c r="F306" s="615"/>
      <c r="G306" s="615"/>
      <c r="H306" s="466" t="s">
        <v>1169</v>
      </c>
      <c r="I306" s="615"/>
      <c r="J306" s="615"/>
      <c r="K306" s="1664">
        <f>SUM(E306,H306)</f>
        <v>0</v>
      </c>
      <c r="L306" s="467"/>
    </row>
    <row r="307" spans="1:14" x14ac:dyDescent="0.2">
      <c r="A307" s="1501" t="s">
        <v>304</v>
      </c>
      <c r="B307" s="613">
        <v>4120</v>
      </c>
      <c r="C307" s="615"/>
      <c r="D307" s="615"/>
      <c r="E307" s="466">
        <v>0</v>
      </c>
      <c r="F307" s="615"/>
      <c r="G307" s="615"/>
      <c r="H307" s="466">
        <v>0</v>
      </c>
      <c r="I307" s="477"/>
      <c r="J307" s="615"/>
      <c r="K307" s="1664">
        <f>SUM(E307,H307)</f>
        <v>0</v>
      </c>
      <c r="L307" s="466"/>
    </row>
    <row r="308" spans="1:14" x14ac:dyDescent="0.2">
      <c r="A308" s="1501" t="s">
        <v>697</v>
      </c>
      <c r="B308" s="613">
        <v>4140</v>
      </c>
      <c r="C308" s="615"/>
      <c r="D308" s="615"/>
      <c r="E308" s="466">
        <v>0</v>
      </c>
      <c r="F308" s="615"/>
      <c r="G308" s="615"/>
      <c r="H308" s="466">
        <v>0</v>
      </c>
      <c r="I308" s="477"/>
      <c r="J308" s="615"/>
      <c r="K308" s="1664">
        <f>SUM(E308,H308)</f>
        <v>0</v>
      </c>
      <c r="L308" s="466"/>
    </row>
    <row r="309" spans="1:14" ht="12.75" customHeight="1" x14ac:dyDescent="0.2">
      <c r="A309" s="1505" t="s">
        <v>698</v>
      </c>
      <c r="B309" s="627">
        <v>4190</v>
      </c>
      <c r="C309" s="615"/>
      <c r="D309" s="615"/>
      <c r="E309" s="466">
        <v>0</v>
      </c>
      <c r="F309" s="615"/>
      <c r="G309" s="615"/>
      <c r="H309" s="466">
        <v>0</v>
      </c>
      <c r="I309" s="477"/>
      <c r="J309" s="615"/>
      <c r="K309" s="1664">
        <f>SUM(E309,H309)</f>
        <v>0</v>
      </c>
      <c r="L309" s="466"/>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row>
    <row r="312" spans="1:14" s="672" customFormat="1" ht="12.75" customHeight="1" thickTop="1" thickBot="1" x14ac:dyDescent="0.25">
      <c r="A312" s="2188" t="s">
        <v>277</v>
      </c>
      <c r="B312" s="2189"/>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63"/>
      <c r="N312" s="663"/>
    </row>
    <row r="313" spans="1:14" ht="13.5" thickTop="1" x14ac:dyDescent="0.2">
      <c r="A313" s="2184" t="s">
        <v>996</v>
      </c>
      <c r="B313" s="2185"/>
      <c r="C313" s="625"/>
      <c r="D313" s="625"/>
      <c r="E313" s="625"/>
      <c r="F313" s="625"/>
      <c r="G313" s="625"/>
      <c r="H313" s="625"/>
      <c r="I313" s="625"/>
      <c r="J313" s="625"/>
      <c r="K313" s="1678">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97" t="s">
        <v>149</v>
      </c>
      <c r="B315" s="2198"/>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9" t="s">
        <v>898</v>
      </c>
      <c r="B317" s="2198"/>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c r="M319" s="663"/>
      <c r="N319" s="663"/>
    </row>
    <row r="320" spans="1:14" s="672" customFormat="1" x14ac:dyDescent="0.2">
      <c r="A320" s="1520" t="s">
        <v>1801</v>
      </c>
      <c r="B320" s="696" t="s">
        <v>282</v>
      </c>
      <c r="C320" s="467">
        <v>0</v>
      </c>
      <c r="D320" s="467">
        <v>0</v>
      </c>
      <c r="E320" s="467">
        <v>0</v>
      </c>
      <c r="F320" s="467">
        <v>0</v>
      </c>
      <c r="G320" s="467">
        <v>0</v>
      </c>
      <c r="H320" s="467">
        <v>0</v>
      </c>
      <c r="I320" s="467">
        <v>0</v>
      </c>
      <c r="J320" s="467">
        <v>0</v>
      </c>
      <c r="K320" s="1664">
        <f t="shared" ref="K320:K327" si="24">SUM(C320:J320)</f>
        <v>0</v>
      </c>
      <c r="L320" s="467"/>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4">
        <f t="shared" si="24"/>
        <v>0</v>
      </c>
      <c r="L321" s="467"/>
      <c r="M321" s="663"/>
      <c r="N321" s="663"/>
    </row>
    <row r="322" spans="1:14" s="672" customFormat="1" x14ac:dyDescent="0.2">
      <c r="A322" s="1516" t="s">
        <v>238</v>
      </c>
      <c r="B322" s="695" t="s">
        <v>284</v>
      </c>
      <c r="C322" s="467">
        <v>0</v>
      </c>
      <c r="D322" s="467">
        <v>0</v>
      </c>
      <c r="E322" s="467">
        <v>0</v>
      </c>
      <c r="F322" s="467">
        <v>0</v>
      </c>
      <c r="G322" s="467">
        <v>0</v>
      </c>
      <c r="H322" s="467">
        <v>0</v>
      </c>
      <c r="I322" s="467">
        <v>0</v>
      </c>
      <c r="J322" s="467">
        <v>0</v>
      </c>
      <c r="K322" s="1664">
        <f t="shared" si="24"/>
        <v>0</v>
      </c>
      <c r="L322" s="467"/>
      <c r="M322" s="663"/>
      <c r="N322" s="663"/>
    </row>
    <row r="323" spans="1:14" s="672" customFormat="1" x14ac:dyDescent="0.2">
      <c r="A323" s="1516" t="s">
        <v>702</v>
      </c>
      <c r="B323" s="695" t="s">
        <v>285</v>
      </c>
      <c r="C323" s="467">
        <v>0</v>
      </c>
      <c r="D323" s="467">
        <v>0</v>
      </c>
      <c r="E323" s="467">
        <v>0</v>
      </c>
      <c r="F323" s="467">
        <v>0</v>
      </c>
      <c r="G323" s="467">
        <v>0</v>
      </c>
      <c r="H323" s="467">
        <v>0</v>
      </c>
      <c r="I323" s="467">
        <v>0</v>
      </c>
      <c r="J323" s="467">
        <v>0</v>
      </c>
      <c r="K323" s="1664">
        <f t="shared" si="24"/>
        <v>0</v>
      </c>
      <c r="L323" s="467"/>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c r="M324" s="663"/>
      <c r="N324" s="663"/>
    </row>
    <row r="325" spans="1:14" s="672" customFormat="1" ht="22.5" x14ac:dyDescent="0.2">
      <c r="A325" s="1516" t="s">
        <v>1029</v>
      </c>
      <c r="B325" s="696" t="s">
        <v>287</v>
      </c>
      <c r="C325" s="467">
        <v>0</v>
      </c>
      <c r="D325" s="467">
        <v>0</v>
      </c>
      <c r="E325" s="467">
        <v>0</v>
      </c>
      <c r="F325" s="467">
        <v>0</v>
      </c>
      <c r="G325" s="467">
        <v>0</v>
      </c>
      <c r="H325" s="467">
        <v>0</v>
      </c>
      <c r="I325" s="467">
        <v>0</v>
      </c>
      <c r="J325" s="467">
        <v>0</v>
      </c>
      <c r="K325" s="1664">
        <f t="shared" si="24"/>
        <v>0</v>
      </c>
      <c r="L325" s="467"/>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c r="M326" s="663"/>
      <c r="N326" s="663"/>
    </row>
    <row r="327" spans="1:14" s="672" customFormat="1" x14ac:dyDescent="0.2">
      <c r="A327" s="1516" t="s">
        <v>971</v>
      </c>
      <c r="B327" s="695" t="s">
        <v>289</v>
      </c>
      <c r="C327" s="467">
        <v>0</v>
      </c>
      <c r="D327" s="467">
        <v>0</v>
      </c>
      <c r="E327" s="467">
        <v>0</v>
      </c>
      <c r="F327" s="467">
        <v>0</v>
      </c>
      <c r="G327" s="467">
        <v>0</v>
      </c>
      <c r="H327" s="467">
        <v>0</v>
      </c>
      <c r="I327" s="467">
        <v>0</v>
      </c>
      <c r="J327" s="467">
        <v>0</v>
      </c>
      <c r="K327" s="1664">
        <f t="shared" si="24"/>
        <v>0</v>
      </c>
      <c r="L327" s="467"/>
      <c r="M327" s="663"/>
      <c r="N327" s="663"/>
    </row>
    <row r="328" spans="1:14" s="672" customFormat="1" x14ac:dyDescent="0.2">
      <c r="A328" s="1517" t="s">
        <v>472</v>
      </c>
      <c r="B328" s="688" t="s">
        <v>1132</v>
      </c>
      <c r="C328" s="467" t="s">
        <v>1169</v>
      </c>
      <c r="D328" s="467" t="s">
        <v>1169</v>
      </c>
      <c r="E328" s="467" t="s">
        <v>1169</v>
      </c>
      <c r="F328" s="467" t="s">
        <v>1169</v>
      </c>
      <c r="G328" s="467" t="s">
        <v>1169</v>
      </c>
      <c r="H328" s="467" t="s">
        <v>1169</v>
      </c>
      <c r="I328" s="467" t="s">
        <v>1169</v>
      </c>
      <c r="J328" s="467" t="s">
        <v>1169</v>
      </c>
      <c r="K328" s="1692">
        <f>SUM(C328:J328)</f>
        <v>0</v>
      </c>
      <c r="L328" s="474"/>
      <c r="M328" s="663"/>
      <c r="N328" s="663"/>
    </row>
    <row r="329" spans="1:14" s="672" customFormat="1" x14ac:dyDescent="0.2">
      <c r="A329" s="1517" t="s">
        <v>1133</v>
      </c>
      <c r="B329" s="688" t="s">
        <v>1134</v>
      </c>
      <c r="C329" s="467" t="s">
        <v>1169</v>
      </c>
      <c r="D329" s="467" t="s">
        <v>1169</v>
      </c>
      <c r="E329" s="467" t="s">
        <v>1169</v>
      </c>
      <c r="F329" s="467" t="s">
        <v>1169</v>
      </c>
      <c r="G329" s="467" t="s">
        <v>1169</v>
      </c>
      <c r="H329" s="467" t="s">
        <v>1169</v>
      </c>
      <c r="I329" s="467" t="s">
        <v>1169</v>
      </c>
      <c r="J329" s="467" t="s">
        <v>1169</v>
      </c>
      <c r="K329" s="1692">
        <f>SUM(C329:J329)</f>
        <v>0</v>
      </c>
      <c r="L329" s="474"/>
      <c r="M329" s="663"/>
      <c r="N329" s="663"/>
    </row>
    <row r="330" spans="1:14" s="672" customFormat="1" ht="12.75" customHeight="1" thickBot="1" x14ac:dyDescent="0.25">
      <c r="A330" s="1693" t="s">
        <v>717</v>
      </c>
      <c r="B330" s="1662" t="s">
        <v>569</v>
      </c>
      <c r="C330" s="1663">
        <f>SUM(C319:C329)</f>
        <v>0</v>
      </c>
      <c r="D330" s="1663">
        <f t="shared" ref="D330:J330" si="25">SUM(D319:D329)</f>
        <v>0</v>
      </c>
      <c r="E330" s="1663">
        <f t="shared" si="25"/>
        <v>0</v>
      </c>
      <c r="F330" s="1663">
        <f t="shared" si="25"/>
        <v>0</v>
      </c>
      <c r="G330" s="1663">
        <f t="shared" si="25"/>
        <v>0</v>
      </c>
      <c r="H330" s="1663">
        <f t="shared" si="25"/>
        <v>0</v>
      </c>
      <c r="I330" s="1663">
        <f t="shared" si="25"/>
        <v>0</v>
      </c>
      <c r="J330" s="1663">
        <f t="shared" si="25"/>
        <v>0</v>
      </c>
      <c r="K330" s="1663">
        <f>SUM(K319:K329)</f>
        <v>0</v>
      </c>
      <c r="L330" s="1663">
        <f>SUM(L319:L329)</f>
        <v>0</v>
      </c>
      <c r="M330" s="663"/>
      <c r="N330" s="663"/>
    </row>
    <row r="331" spans="1:14" s="672" customFormat="1" ht="12.75" customHeight="1" thickTop="1" x14ac:dyDescent="0.2">
      <c r="A331" s="1824" t="s">
        <v>1846</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1840</v>
      </c>
      <c r="C332" s="1826"/>
      <c r="D332" s="1826"/>
      <c r="E332" s="1826"/>
      <c r="F332" s="1826"/>
      <c r="G332" s="1826"/>
      <c r="H332" s="467" t="s">
        <v>1169</v>
      </c>
      <c r="I332" s="1826"/>
      <c r="J332" s="1826"/>
      <c r="K332" s="1664" t="str">
        <f>H332</f>
        <v xml:space="preserve"> </v>
      </c>
      <c r="L332" s="467"/>
      <c r="M332" s="663"/>
      <c r="N332" s="663"/>
    </row>
    <row r="333" spans="1:14" s="672" customFormat="1" ht="12.75" customHeight="1" x14ac:dyDescent="0.2">
      <c r="A333" s="1825" t="s">
        <v>304</v>
      </c>
      <c r="B333" s="1820" t="s">
        <v>1842</v>
      </c>
      <c r="C333" s="1826"/>
      <c r="D333" s="1826"/>
      <c r="E333" s="1826"/>
      <c r="F333" s="1826"/>
      <c r="G333" s="1826"/>
      <c r="H333" s="467" t="s">
        <v>1169</v>
      </c>
      <c r="I333" s="1826"/>
      <c r="J333" s="1826"/>
      <c r="K333" s="1664" t="str">
        <f>H333</f>
        <v xml:space="preserve"> </v>
      </c>
      <c r="L333" s="467"/>
      <c r="M333" s="663"/>
      <c r="N333" s="663"/>
    </row>
    <row r="334" spans="1:14" s="672" customFormat="1" ht="12.75" customHeight="1" thickBot="1" x14ac:dyDescent="0.25">
      <c r="A334" s="1825" t="s">
        <v>1847</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row>
    <row r="338" spans="1:14" ht="12.75" customHeight="1" x14ac:dyDescent="0.2">
      <c r="A338" s="1515" t="s">
        <v>1170</v>
      </c>
      <c r="B338" s="688" t="s">
        <v>617</v>
      </c>
      <c r="C338" s="636"/>
      <c r="D338" s="636"/>
      <c r="E338" s="636"/>
      <c r="F338" s="636"/>
      <c r="G338" s="636"/>
      <c r="H338" s="639">
        <v>0</v>
      </c>
      <c r="I338" s="636"/>
      <c r="J338" s="636"/>
      <c r="K338" s="1664">
        <f>H338</f>
        <v>0</v>
      </c>
      <c r="L338" s="639"/>
    </row>
    <row r="339" spans="1:14" x14ac:dyDescent="0.2">
      <c r="A339" s="1501" t="s">
        <v>901</v>
      </c>
      <c r="B339" s="627">
        <v>5150</v>
      </c>
      <c r="C339" s="636"/>
      <c r="D339" s="636"/>
      <c r="E339" s="636"/>
      <c r="F339" s="636"/>
      <c r="G339" s="636"/>
      <c r="H339" s="467">
        <v>0</v>
      </c>
      <c r="I339" s="636"/>
      <c r="J339" s="636"/>
      <c r="K339" s="1664">
        <f>H339</f>
        <v>0</v>
      </c>
      <c r="L339" s="467"/>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row>
    <row r="342" spans="1:14" ht="12.75" customHeight="1" thickTop="1" thickBot="1" x14ac:dyDescent="0.25">
      <c r="A342" s="1679" t="s">
        <v>505</v>
      </c>
      <c r="B342" s="1694"/>
      <c r="C342" s="1663">
        <f>SUM(C330)</f>
        <v>0</v>
      </c>
      <c r="D342" s="1663">
        <f>SUM(D330)</f>
        <v>0</v>
      </c>
      <c r="E342" s="1663">
        <f>SUM(E330)</f>
        <v>0</v>
      </c>
      <c r="F342" s="1663">
        <f>SUM(F330)</f>
        <v>0</v>
      </c>
      <c r="G342" s="1663">
        <f>SUM(G330)</f>
        <v>0</v>
      </c>
      <c r="H342" s="1663">
        <f>SUM(H330,H334,H340)</f>
        <v>0</v>
      </c>
      <c r="I342" s="1663">
        <f>SUM(I330)</f>
        <v>0</v>
      </c>
      <c r="J342" s="1663">
        <f>SUM(J330)</f>
        <v>0</v>
      </c>
      <c r="K342" s="1663">
        <f>SUM(K330,K334,K340)</f>
        <v>0</v>
      </c>
      <c r="L342" s="1670">
        <f>SUM(L330,L334,L340,L341)</f>
        <v>0</v>
      </c>
    </row>
    <row r="343" spans="1:14" ht="12.75" customHeight="1" thickTop="1" x14ac:dyDescent="0.2">
      <c r="A343" s="2186" t="s">
        <v>996</v>
      </c>
      <c r="B343" s="2187"/>
      <c r="C343" s="615"/>
      <c r="D343" s="615"/>
      <c r="E343" s="615"/>
      <c r="F343" s="615"/>
      <c r="G343" s="615"/>
      <c r="H343" s="615"/>
      <c r="I343" s="615"/>
      <c r="J343" s="615"/>
      <c r="K343" s="1677">
        <f>'Revenues 9-14'!J268-'Expenditures 15-22'!K342</f>
        <v>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6" t="s">
        <v>966</v>
      </c>
      <c r="B345" s="2177"/>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row>
    <row r="349" spans="1:14" x14ac:dyDescent="0.2">
      <c r="A349" s="1501" t="s">
        <v>197</v>
      </c>
      <c r="B349" s="613">
        <v>2540</v>
      </c>
      <c r="C349" s="466">
        <v>0</v>
      </c>
      <c r="D349" s="466">
        <v>0</v>
      </c>
      <c r="E349" s="466">
        <v>0</v>
      </c>
      <c r="F349" s="466">
        <v>0</v>
      </c>
      <c r="G349" s="466">
        <v>0</v>
      </c>
      <c r="H349" s="466">
        <v>0</v>
      </c>
      <c r="I349" s="466">
        <v>0</v>
      </c>
      <c r="J349" s="466">
        <v>0</v>
      </c>
      <c r="K349" s="1664">
        <f>SUM(C349:J349)</f>
        <v>0</v>
      </c>
      <c r="L349" s="466"/>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1848</v>
      </c>
      <c r="B354" s="681" t="s">
        <v>1840</v>
      </c>
      <c r="C354" s="615"/>
      <c r="D354" s="615"/>
      <c r="E354" s="615"/>
      <c r="F354" s="615"/>
      <c r="G354" s="615"/>
      <c r="H354" s="474" t="s">
        <v>1169</v>
      </c>
      <c r="I354" s="699"/>
      <c r="J354" s="615"/>
      <c r="K354" s="1692" t="str">
        <f>H354</f>
        <v xml:space="preserve"> </v>
      </c>
      <c r="L354" s="471"/>
    </row>
    <row r="355" spans="1:14" ht="12.75" customHeight="1" x14ac:dyDescent="0.2">
      <c r="A355" s="1510" t="s">
        <v>1849</v>
      </c>
      <c r="B355" s="688" t="s">
        <v>1842</v>
      </c>
      <c r="C355" s="615"/>
      <c r="D355" s="615"/>
      <c r="E355" s="615"/>
      <c r="F355" s="615"/>
      <c r="G355" s="615"/>
      <c r="H355" s="467" t="s">
        <v>1169</v>
      </c>
      <c r="I355" s="699"/>
      <c r="J355" s="615"/>
      <c r="K355" s="1736" t="str">
        <f>H355</f>
        <v xml:space="preserve"> </v>
      </c>
      <c r="L355" s="467"/>
    </row>
    <row r="356" spans="1:14" ht="12.75" customHeight="1" x14ac:dyDescent="0.2">
      <c r="A356" s="1827" t="s">
        <v>698</v>
      </c>
      <c r="B356" s="681" t="s">
        <v>558</v>
      </c>
      <c r="C356" s="615"/>
      <c r="D356" s="615"/>
      <c r="E356" s="615"/>
      <c r="F356" s="615"/>
      <c r="G356" s="615"/>
      <c r="H356" s="479">
        <v>0</v>
      </c>
      <c r="I356" s="699"/>
      <c r="J356" s="615"/>
      <c r="K356" s="1733">
        <f>H356</f>
        <v>0</v>
      </c>
      <c r="L356" s="479"/>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row>
    <row r="361" spans="1:14" ht="12.75" customHeight="1" x14ac:dyDescent="0.2">
      <c r="A361" s="1502" t="s">
        <v>619</v>
      </c>
      <c r="B361" s="601" t="s">
        <v>618</v>
      </c>
      <c r="C361" s="615"/>
      <c r="D361" s="615"/>
      <c r="E361" s="615"/>
      <c r="F361" s="615"/>
      <c r="G361" s="615"/>
      <c r="H361" s="467">
        <v>0</v>
      </c>
      <c r="I361" s="615"/>
      <c r="J361" s="615"/>
      <c r="K361" s="1664">
        <f>SUM(C361:J361)</f>
        <v>0</v>
      </c>
      <c r="L361" s="466"/>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c r="M363" s="663"/>
      <c r="N363" s="663"/>
    </row>
    <row r="364" spans="1:14" s="706" customFormat="1" ht="29.25" customHeight="1" x14ac:dyDescent="0.2">
      <c r="A364" s="700" t="s">
        <v>1672</v>
      </c>
      <c r="B364" s="701">
        <v>5300</v>
      </c>
      <c r="C364" s="702"/>
      <c r="D364" s="703"/>
      <c r="E364" s="703"/>
      <c r="F364" s="702"/>
      <c r="G364" s="703"/>
      <c r="H364" s="704" t="s">
        <v>1169</v>
      </c>
      <c r="I364" s="703"/>
      <c r="J364" s="703"/>
      <c r="K364" s="1664">
        <f>SUM(C364:J364)</f>
        <v>0</v>
      </c>
      <c r="L364" s="705"/>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c r="M366" s="608"/>
      <c r="N366" s="608"/>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200" t="s">
        <v>996</v>
      </c>
      <c r="B368" s="2201"/>
      <c r="C368" s="652"/>
      <c r="D368" s="652"/>
      <c r="E368" s="625"/>
      <c r="F368" s="625"/>
      <c r="G368" s="625"/>
      <c r="H368" s="625"/>
      <c r="I368" s="625"/>
      <c r="J368" s="622"/>
      <c r="K368" s="1664">
        <f>'Revenues 9-14'!K268-'Expenditures 15-22'!K367</f>
        <v>0</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4" sqref="E4:E18"/>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202" t="s">
        <v>1798</v>
      </c>
      <c r="B2" s="1525" t="s">
        <v>1945</v>
      </c>
      <c r="C2" s="712" t="s">
        <v>1946</v>
      </c>
      <c r="D2" s="712" t="s">
        <v>1947</v>
      </c>
      <c r="E2" s="712" t="s">
        <v>1948</v>
      </c>
      <c r="F2" s="712" t="s">
        <v>1949</v>
      </c>
    </row>
    <row r="3" spans="1:6" ht="12" customHeight="1" x14ac:dyDescent="0.2">
      <c r="A3" s="2203"/>
      <c r="B3" s="1522"/>
      <c r="C3" s="1523"/>
      <c r="D3" s="1524" t="s">
        <v>256</v>
      </c>
      <c r="E3" s="1523"/>
      <c r="F3" s="1524" t="s">
        <v>257</v>
      </c>
    </row>
    <row r="4" spans="1:6" ht="13.7" customHeight="1" x14ac:dyDescent="0.2">
      <c r="A4" s="713" t="s">
        <v>1155</v>
      </c>
      <c r="B4" s="1742">
        <f>'Revenues 9-14'!C5</f>
        <v>0</v>
      </c>
      <c r="C4" s="1521"/>
      <c r="D4" s="1745">
        <f>B4-C4</f>
        <v>0</v>
      </c>
      <c r="E4" s="1521"/>
      <c r="F4" s="1745">
        <f>E4-C4</f>
        <v>0</v>
      </c>
    </row>
    <row r="5" spans="1:6" ht="13.7" customHeight="1" x14ac:dyDescent="0.2">
      <c r="A5" s="713" t="s">
        <v>870</v>
      </c>
      <c r="B5" s="1743">
        <f>'Revenues 9-14'!D5</f>
        <v>0</v>
      </c>
      <c r="C5" s="584"/>
      <c r="D5" s="1746">
        <f t="shared" ref="D5:D18" si="0">B5-C5</f>
        <v>0</v>
      </c>
      <c r="E5" s="584"/>
      <c r="F5" s="1746">
        <f>E5-C5</f>
        <v>0</v>
      </c>
    </row>
    <row r="6" spans="1:6" ht="13.7" customHeight="1" x14ac:dyDescent="0.2">
      <c r="A6" s="713" t="s">
        <v>411</v>
      </c>
      <c r="B6" s="1743">
        <f>'Revenues 9-14'!E5</f>
        <v>0</v>
      </c>
      <c r="C6" s="584"/>
      <c r="D6" s="1746">
        <f t="shared" si="0"/>
        <v>0</v>
      </c>
      <c r="E6" s="584"/>
      <c r="F6" s="1746">
        <f t="shared" ref="F6:F18" si="1">E6-C6</f>
        <v>0</v>
      </c>
    </row>
    <row r="7" spans="1:6" ht="13.7" customHeight="1" x14ac:dyDescent="0.2">
      <c r="A7" s="713" t="s">
        <v>155</v>
      </c>
      <c r="B7" s="1743">
        <f>'Revenues 9-14'!F5</f>
        <v>0</v>
      </c>
      <c r="C7" s="584"/>
      <c r="D7" s="1746">
        <f t="shared" si="0"/>
        <v>0</v>
      </c>
      <c r="E7" s="584"/>
      <c r="F7" s="1746">
        <f t="shared" si="1"/>
        <v>0</v>
      </c>
    </row>
    <row r="8" spans="1:6" ht="13.7" customHeight="1" x14ac:dyDescent="0.2">
      <c r="A8" s="713" t="s">
        <v>1179</v>
      </c>
      <c r="B8" s="1743">
        <f>'Revenues 9-14'!G5</f>
        <v>0</v>
      </c>
      <c r="C8" s="584"/>
      <c r="D8" s="1746">
        <f t="shared" si="0"/>
        <v>0</v>
      </c>
      <c r="E8" s="584"/>
      <c r="F8" s="1746">
        <f t="shared" si="1"/>
        <v>0</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0</v>
      </c>
      <c r="C10" s="584"/>
      <c r="D10" s="1746">
        <f t="shared" si="0"/>
        <v>0</v>
      </c>
      <c r="E10" s="584"/>
      <c r="F10" s="1746">
        <f t="shared" si="1"/>
        <v>0</v>
      </c>
    </row>
    <row r="11" spans="1:6" x14ac:dyDescent="0.2">
      <c r="A11" s="713" t="s">
        <v>409</v>
      </c>
      <c r="B11" s="1743" t="str">
        <f>'Revenues 9-14'!J5</f>
        <v xml:space="preserve"> </v>
      </c>
      <c r="C11" s="584"/>
      <c r="D11" s="1746" t="e">
        <f t="shared" si="0"/>
        <v>#VALUE!</v>
      </c>
      <c r="E11" s="584"/>
      <c r="F11" s="1746">
        <f t="shared" si="1"/>
        <v>0</v>
      </c>
    </row>
    <row r="12" spans="1:6" ht="13.7" customHeight="1" x14ac:dyDescent="0.2">
      <c r="A12" s="713" t="s">
        <v>157</v>
      </c>
      <c r="B12" s="1743">
        <f>'Revenues 9-14'!K5</f>
        <v>0</v>
      </c>
      <c r="C12" s="584"/>
      <c r="D12" s="1746">
        <f t="shared" si="0"/>
        <v>0</v>
      </c>
      <c r="E12" s="584"/>
      <c r="F12" s="1746">
        <f t="shared" si="1"/>
        <v>0</v>
      </c>
    </row>
    <row r="13" spans="1:6" ht="13.7" customHeight="1" x14ac:dyDescent="0.2">
      <c r="A13" s="713" t="s">
        <v>936</v>
      </c>
      <c r="B13" s="1743">
        <f>SUM('Revenues 9-14'!C6:D6)</f>
        <v>0</v>
      </c>
      <c r="C13" s="584"/>
      <c r="D13" s="1746">
        <f t="shared" si="0"/>
        <v>0</v>
      </c>
      <c r="E13" s="584"/>
      <c r="F13" s="1746">
        <f t="shared" si="1"/>
        <v>0</v>
      </c>
    </row>
    <row r="14" spans="1:6" ht="13.7" customHeight="1" x14ac:dyDescent="0.2">
      <c r="A14" s="713" t="s">
        <v>410</v>
      </c>
      <c r="B14" s="1743">
        <f>SUM('Revenues 9-14'!C7:D7,'Revenues 9-14'!F7:H7)</f>
        <v>0</v>
      </c>
      <c r="C14" s="584"/>
      <c r="D14" s="1746">
        <f t="shared" si="0"/>
        <v>0</v>
      </c>
      <c r="E14" s="584"/>
      <c r="F14" s="1746">
        <f t="shared" si="1"/>
        <v>0</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0</v>
      </c>
      <c r="C16" s="584"/>
      <c r="D16" s="1746">
        <f t="shared" si="0"/>
        <v>0</v>
      </c>
      <c r="E16" s="584"/>
      <c r="F16" s="1746">
        <f t="shared" si="1"/>
        <v>0</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0</v>
      </c>
      <c r="C19" s="1744">
        <f>SUM(C4:C18)</f>
        <v>0</v>
      </c>
      <c r="D19" s="1744" t="e">
        <f>SUM(D4:D18)</f>
        <v>#VALUE!</v>
      </c>
      <c r="E19" s="1744">
        <f>SUM(E4:E18)</f>
        <v>0</v>
      </c>
      <c r="F19" s="1744">
        <f>SUM(F4:F18)</f>
        <v>0</v>
      </c>
    </row>
    <row r="20" spans="1:6" ht="13.5" thickTop="1" x14ac:dyDescent="0.2">
      <c r="B20" s="711"/>
      <c r="F20" s="714"/>
    </row>
    <row r="21" spans="1:6" x14ac:dyDescent="0.2">
      <c r="A21" s="715" t="s">
        <v>1804</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1" colorId="8" zoomScale="110" zoomScaleNormal="110" workbookViewId="0">
      <selection activeCell="F53" sqref="F53:G5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9"/>
      <c r="C1" s="719"/>
    </row>
    <row r="2" spans="1:7" ht="33.75" x14ac:dyDescent="0.2">
      <c r="A2" s="2217" t="s">
        <v>1798</v>
      </c>
      <c r="B2" s="2218"/>
      <c r="C2" s="1876" t="s">
        <v>1950</v>
      </c>
      <c r="D2" s="721" t="s">
        <v>1951</v>
      </c>
      <c r="E2" s="721" t="s">
        <v>1952</v>
      </c>
      <c r="F2" s="1876" t="s">
        <v>1953</v>
      </c>
    </row>
    <row r="3" spans="1:7" ht="15.75" customHeight="1" x14ac:dyDescent="0.2">
      <c r="A3" s="2221" t="s">
        <v>1114</v>
      </c>
      <c r="B3" s="2222"/>
      <c r="C3" s="2210"/>
      <c r="D3" s="2211"/>
      <c r="E3" s="2211"/>
      <c r="F3" s="2212"/>
    </row>
    <row r="4" spans="1:7" ht="12.75" customHeight="1" thickBot="1" x14ac:dyDescent="0.25">
      <c r="A4" s="2219" t="s">
        <v>630</v>
      </c>
      <c r="B4" s="2220"/>
      <c r="C4" s="580"/>
      <c r="D4" s="580"/>
      <c r="E4" s="580"/>
      <c r="F4" s="1748">
        <f>SUM(C4+D4)-E4</f>
        <v>0</v>
      </c>
    </row>
    <row r="5" spans="1:7" ht="15.75" customHeight="1" thickTop="1" x14ac:dyDescent="0.2">
      <c r="A5" s="2204" t="s">
        <v>1110</v>
      </c>
      <c r="B5" s="2205"/>
      <c r="C5" s="2213"/>
      <c r="D5" s="2214"/>
      <c r="E5" s="2214"/>
      <c r="F5" s="2215"/>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06" t="s">
        <v>631</v>
      </c>
      <c r="B15" s="2207"/>
      <c r="C15" s="1748">
        <f>SUM(C6:C14)</f>
        <v>0</v>
      </c>
      <c r="D15" s="1748">
        <f>SUM(D6:D14)</f>
        <v>0</v>
      </c>
      <c r="E15" s="1748">
        <f>SUM(E6:E14)</f>
        <v>0</v>
      </c>
      <c r="F15" s="1748">
        <f>SUM(F6:F14)</f>
        <v>0</v>
      </c>
      <c r="G15" s="552"/>
    </row>
    <row r="16" spans="1:7" s="202" customFormat="1" ht="15.75" customHeight="1" thickTop="1" x14ac:dyDescent="0.2">
      <c r="A16" s="2216" t="s">
        <v>1111</v>
      </c>
      <c r="B16" s="2205"/>
      <c r="C16" s="2213"/>
      <c r="D16" s="2214"/>
      <c r="E16" s="2214"/>
      <c r="F16" s="2215"/>
    </row>
    <row r="17" spans="1:11" ht="12.75" customHeight="1" thickBot="1" x14ac:dyDescent="0.25">
      <c r="A17" s="2229" t="s">
        <v>64</v>
      </c>
      <c r="B17" s="2230"/>
      <c r="C17" s="724"/>
      <c r="D17" s="584"/>
      <c r="E17" s="724"/>
      <c r="F17" s="1748">
        <f>SUM(C17+D17)-E17</f>
        <v>0</v>
      </c>
    </row>
    <row r="18" spans="1:11" ht="12.75" customHeight="1" thickTop="1" thickBot="1" x14ac:dyDescent="0.25">
      <c r="A18" s="2229" t="s">
        <v>6</v>
      </c>
      <c r="B18" s="2230"/>
      <c r="C18" s="724"/>
      <c r="D18" s="584"/>
      <c r="E18" s="724"/>
      <c r="F18" s="1748">
        <f>SUM(C18+D18)-E18</f>
        <v>0</v>
      </c>
    </row>
    <row r="19" spans="1:11" ht="12.75" customHeight="1" thickTop="1" thickBot="1" x14ac:dyDescent="0.25">
      <c r="A19" s="2229" t="s">
        <v>388</v>
      </c>
      <c r="B19" s="2230"/>
      <c r="C19" s="724"/>
      <c r="D19" s="584"/>
      <c r="E19" s="724"/>
      <c r="F19" s="1748">
        <f>SUM(C19+D19)-E19</f>
        <v>0</v>
      </c>
    </row>
    <row r="20" spans="1:11" ht="12.75" customHeight="1" thickTop="1" thickBot="1" x14ac:dyDescent="0.25">
      <c r="A20" s="2229" t="s">
        <v>448</v>
      </c>
      <c r="B20" s="2230"/>
      <c r="C20" s="724"/>
      <c r="D20" s="584"/>
      <c r="E20" s="724"/>
      <c r="F20" s="1748">
        <f>SUM(C20+D20)-E20</f>
        <v>0</v>
      </c>
    </row>
    <row r="21" spans="1:11" ht="14.25" thickTop="1" thickBot="1" x14ac:dyDescent="0.25">
      <c r="A21" s="2206" t="s">
        <v>632</v>
      </c>
      <c r="B21" s="2207"/>
      <c r="C21" s="1748">
        <f>SUM(C17:C20)</f>
        <v>0</v>
      </c>
      <c r="D21" s="1748">
        <f>SUM(D17:D20)</f>
        <v>0</v>
      </c>
      <c r="E21" s="1748">
        <f>SUM(E17:E20)</f>
        <v>0</v>
      </c>
      <c r="F21" s="1748">
        <f>SUM(F17:F20)</f>
        <v>0</v>
      </c>
      <c r="G21" s="552"/>
    </row>
    <row r="22" spans="1:11" ht="15.75" customHeight="1" thickTop="1" x14ac:dyDescent="0.2">
      <c r="A22" s="2231" t="s">
        <v>1112</v>
      </c>
      <c r="B22" s="2205"/>
      <c r="C22" s="2213"/>
      <c r="D22" s="2214"/>
      <c r="E22" s="2214"/>
      <c r="F22" s="2215"/>
    </row>
    <row r="23" spans="1:11" ht="13.5" thickBot="1" x14ac:dyDescent="0.25">
      <c r="A23" s="2219" t="s">
        <v>633</v>
      </c>
      <c r="B23" s="2220"/>
      <c r="C23" s="580"/>
      <c r="D23" s="580"/>
      <c r="E23" s="580"/>
      <c r="F23" s="1748">
        <f>SUM(C23+D23)-E23</f>
        <v>0</v>
      </c>
      <c r="G23" s="552"/>
    </row>
    <row r="24" spans="1:11" ht="15.75" customHeight="1" thickTop="1" x14ac:dyDescent="0.2">
      <c r="A24" s="2231" t="s">
        <v>1113</v>
      </c>
      <c r="B24" s="2205"/>
      <c r="C24" s="2213"/>
      <c r="D24" s="2214"/>
      <c r="E24" s="2214"/>
      <c r="F24" s="2215"/>
    </row>
    <row r="25" spans="1:11" ht="13.5" thickBot="1" x14ac:dyDescent="0.25">
      <c r="A25" s="2219" t="s">
        <v>634</v>
      </c>
      <c r="B25" s="2220"/>
      <c r="C25" s="580"/>
      <c r="D25" s="580"/>
      <c r="E25" s="580"/>
      <c r="F25" s="1748">
        <f>SUM(C25+D25)-E25</f>
        <v>0</v>
      </c>
      <c r="G25" s="552"/>
    </row>
    <row r="26" spans="1:11" ht="15.75" customHeight="1" thickTop="1" x14ac:dyDescent="0.2">
      <c r="A26" s="2204" t="s">
        <v>657</v>
      </c>
      <c r="B26" s="2205"/>
      <c r="C26" s="725"/>
      <c r="D26" s="725"/>
      <c r="E26" s="725"/>
      <c r="F26" s="726"/>
    </row>
    <row r="27" spans="1:11" ht="13.5" thickBot="1" x14ac:dyDescent="0.25">
      <c r="A27" s="2206" t="s">
        <v>1070</v>
      </c>
      <c r="B27" s="2207"/>
      <c r="C27" s="584"/>
      <c r="D27" s="584"/>
      <c r="E27" s="584"/>
      <c r="F27" s="1748">
        <f>SUM(C27+D27)-E27</f>
        <v>0</v>
      </c>
      <c r="G27" s="552"/>
    </row>
    <row r="28" spans="1:11" ht="7.5" customHeight="1" thickTop="1" x14ac:dyDescent="0.2">
      <c r="A28" s="592"/>
    </row>
    <row r="29" spans="1:11" ht="23.25" customHeight="1" x14ac:dyDescent="0.2">
      <c r="A29" s="2232" t="s">
        <v>582</v>
      </c>
      <c r="B29" s="2209"/>
      <c r="C29" s="727"/>
      <c r="D29" s="727"/>
      <c r="E29" s="727"/>
      <c r="F29" s="727"/>
      <c r="G29" s="727"/>
      <c r="H29" s="727"/>
      <c r="I29" s="727"/>
      <c r="J29" s="727"/>
    </row>
    <row r="30" spans="1:11" ht="33.75" x14ac:dyDescent="0.2">
      <c r="A30" s="1526" t="s">
        <v>1071</v>
      </c>
      <c r="B30" s="728" t="s">
        <v>1124</v>
      </c>
      <c r="C30" s="1877" t="s">
        <v>583</v>
      </c>
      <c r="D30" s="1877" t="s">
        <v>1673</v>
      </c>
      <c r="E30" s="1877" t="s">
        <v>1954</v>
      </c>
      <c r="F30" s="1877" t="s">
        <v>1955</v>
      </c>
      <c r="G30" s="1877" t="s">
        <v>1906</v>
      </c>
      <c r="H30" s="1877" t="s">
        <v>1956</v>
      </c>
      <c r="I30" s="1877" t="s">
        <v>1957</v>
      </c>
      <c r="J30" s="1878" t="s">
        <v>2</v>
      </c>
      <c r="K30" s="729"/>
    </row>
    <row r="31" spans="1:11" ht="12" customHeight="1" x14ac:dyDescent="0.2">
      <c r="A31" s="730"/>
      <c r="B31" s="731"/>
      <c r="C31" s="732"/>
      <c r="D31" s="733"/>
      <c r="E31" s="732"/>
      <c r="F31" s="732"/>
      <c r="G31" s="732"/>
      <c r="H31" s="732"/>
      <c r="I31" s="1749">
        <f>((E31+F31)-H31)+G31</f>
        <v>0</v>
      </c>
      <c r="J31" s="732"/>
      <c r="K31" s="734"/>
    </row>
    <row r="32" spans="1:11" ht="12" customHeight="1" x14ac:dyDescent="0.2">
      <c r="A32" s="730"/>
      <c r="B32" s="731"/>
      <c r="C32" s="732"/>
      <c r="D32" s="733"/>
      <c r="E32" s="732"/>
      <c r="F32" s="732"/>
      <c r="G32" s="732"/>
      <c r="H32" s="732"/>
      <c r="I32" s="1749">
        <f>((E32+F32)-H32)+G32</f>
        <v>0</v>
      </c>
      <c r="J32" s="732"/>
      <c r="K32" s="734"/>
    </row>
    <row r="33" spans="1:11" ht="12" customHeight="1" x14ac:dyDescent="0.2">
      <c r="A33" s="730"/>
      <c r="B33" s="731"/>
      <c r="C33" s="732"/>
      <c r="D33" s="733"/>
      <c r="E33" s="732"/>
      <c r="F33" s="732"/>
      <c r="G33" s="732"/>
      <c r="H33" s="732"/>
      <c r="I33" s="1749">
        <f t="shared" ref="I33:I48" si="1">((E33+F33)-H33)+G33</f>
        <v>0</v>
      </c>
      <c r="J33" s="732"/>
      <c r="K33" s="734"/>
    </row>
    <row r="34" spans="1:11" ht="12" customHeight="1" x14ac:dyDescent="0.2">
      <c r="A34" s="730"/>
      <c r="B34" s="731"/>
      <c r="C34" s="732"/>
      <c r="D34" s="733"/>
      <c r="E34" s="732"/>
      <c r="F34" s="732"/>
      <c r="G34" s="732"/>
      <c r="H34" s="732"/>
      <c r="I34" s="1749">
        <f t="shared" si="1"/>
        <v>0</v>
      </c>
      <c r="J34" s="732"/>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0</v>
      </c>
      <c r="D49" s="743"/>
      <c r="E49" s="1749">
        <f t="shared" ref="E49:J49" si="2">SUM(E31:E48)</f>
        <v>0</v>
      </c>
      <c r="F49" s="1749">
        <f t="shared" si="2"/>
        <v>0</v>
      </c>
      <c r="G49" s="1749">
        <f t="shared" si="2"/>
        <v>0</v>
      </c>
      <c r="H49" s="1749">
        <f t="shared" si="2"/>
        <v>0</v>
      </c>
      <c r="I49" s="1749">
        <f t="shared" si="2"/>
        <v>0</v>
      </c>
      <c r="J49" s="1749">
        <f t="shared" si="2"/>
        <v>0</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912</v>
      </c>
      <c r="B52" s="2223" t="s">
        <v>584</v>
      </c>
      <c r="C52" s="2224"/>
      <c r="D52" s="2224"/>
      <c r="E52" s="747" t="s">
        <v>845</v>
      </c>
      <c r="F52" s="2225"/>
      <c r="G52" s="2226"/>
      <c r="H52" s="734"/>
      <c r="I52" s="734"/>
      <c r="J52" s="744"/>
    </row>
    <row r="53" spans="1:11" ht="11.25" customHeight="1" x14ac:dyDescent="0.2">
      <c r="A53" s="748" t="s">
        <v>913</v>
      </c>
      <c r="B53" s="749" t="s">
        <v>951</v>
      </c>
      <c r="C53" s="744"/>
      <c r="D53" s="735"/>
      <c r="E53" s="747" t="s">
        <v>497</v>
      </c>
      <c r="F53" s="2227"/>
      <c r="G53" s="2228"/>
      <c r="H53" s="734"/>
      <c r="I53" s="734"/>
      <c r="J53" s="744"/>
    </row>
    <row r="54" spans="1:11" ht="11.25" customHeight="1" x14ac:dyDescent="0.2">
      <c r="A54" s="750" t="s">
        <v>914</v>
      </c>
      <c r="B54" s="745" t="s">
        <v>952</v>
      </c>
      <c r="C54" s="744"/>
      <c r="D54" s="735"/>
      <c r="E54" s="747" t="s">
        <v>498</v>
      </c>
      <c r="F54" s="2227"/>
      <c r="G54" s="2228"/>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J20" activeCellId="7" sqref="J8 K7 K9 K14 J15 H14 G16 J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856</v>
      </c>
      <c r="B1" s="2258"/>
      <c r="C1" s="2258"/>
      <c r="D1" s="2258"/>
      <c r="E1" s="2258"/>
      <c r="F1" s="2258"/>
      <c r="G1" s="2259"/>
      <c r="H1" s="1527"/>
      <c r="I1" s="758"/>
      <c r="J1" s="433"/>
    </row>
    <row r="2" spans="1:11" ht="26.25" x14ac:dyDescent="0.2">
      <c r="A2" s="2236" t="s">
        <v>1677</v>
      </c>
      <c r="B2" s="2237"/>
      <c r="C2" s="2237"/>
      <c r="D2" s="2237"/>
      <c r="E2" s="2238"/>
      <c r="F2" s="759" t="s">
        <v>904</v>
      </c>
      <c r="G2" s="760" t="s">
        <v>1674</v>
      </c>
      <c r="H2" s="760" t="s">
        <v>410</v>
      </c>
      <c r="I2" s="760" t="s">
        <v>1158</v>
      </c>
      <c r="J2" s="760" t="s">
        <v>1808</v>
      </c>
      <c r="K2" s="760" t="s">
        <v>138</v>
      </c>
    </row>
    <row r="3" spans="1:11" x14ac:dyDescent="0.2">
      <c r="A3" s="2239" t="s">
        <v>1958</v>
      </c>
      <c r="B3" s="2240"/>
      <c r="C3" s="2240"/>
      <c r="D3" s="2240"/>
      <c r="E3" s="2241"/>
      <c r="F3" s="761"/>
      <c r="G3" s="762"/>
      <c r="H3" s="762"/>
      <c r="I3" s="762"/>
      <c r="J3" s="763"/>
      <c r="K3" s="763"/>
    </row>
    <row r="4" spans="1:11" x14ac:dyDescent="0.2">
      <c r="A4" s="2242" t="s">
        <v>369</v>
      </c>
      <c r="B4" s="2243"/>
      <c r="C4" s="2243"/>
      <c r="D4" s="2243"/>
      <c r="E4" s="2224"/>
      <c r="F4" s="764"/>
      <c r="G4" s="765"/>
      <c r="H4" s="766"/>
      <c r="I4" s="765"/>
      <c r="J4" s="767"/>
      <c r="K4" s="767"/>
    </row>
    <row r="5" spans="1:11" x14ac:dyDescent="0.2">
      <c r="A5" s="2260" t="s">
        <v>1069</v>
      </c>
      <c r="B5" s="2233"/>
      <c r="C5" s="2233"/>
      <c r="D5" s="2233"/>
      <c r="E5" s="2261"/>
      <c r="F5" s="768" t="s">
        <v>848</v>
      </c>
      <c r="G5" s="769"/>
      <c r="H5" s="762"/>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row>
    <row r="10" spans="1:11" x14ac:dyDescent="0.2">
      <c r="A10" s="2260" t="s">
        <v>1809</v>
      </c>
      <c r="B10" s="2233"/>
      <c r="C10" s="2233"/>
      <c r="D10" s="2233"/>
      <c r="E10" s="2262"/>
      <c r="F10" s="781" t="s">
        <v>862</v>
      </c>
      <c r="G10" s="780"/>
      <c r="H10" s="782"/>
      <c r="I10" s="762"/>
      <c r="J10" s="763"/>
      <c r="K10" s="763"/>
    </row>
    <row r="11" spans="1:11" x14ac:dyDescent="0.2">
      <c r="A11" s="2260" t="s">
        <v>160</v>
      </c>
      <c r="B11" s="2233"/>
      <c r="C11" s="2233"/>
      <c r="D11" s="2233"/>
      <c r="E11" s="2261"/>
      <c r="F11" s="768" t="s">
        <v>852</v>
      </c>
      <c r="G11" s="769"/>
      <c r="H11" s="762"/>
      <c r="I11" s="762"/>
      <c r="J11" s="763"/>
      <c r="K11" s="771"/>
    </row>
    <row r="12" spans="1:11" ht="13.5" thickBot="1" x14ac:dyDescent="0.25">
      <c r="A12" s="2250" t="s">
        <v>905</v>
      </c>
      <c r="B12" s="2251"/>
      <c r="C12" s="2251"/>
      <c r="D12" s="2251"/>
      <c r="E12" s="2252"/>
      <c r="F12" s="1750"/>
      <c r="G12" s="1751">
        <f>SUM(G5:G11)</f>
        <v>0</v>
      </c>
      <c r="H12" s="1751">
        <f>SUM(H5:H11)</f>
        <v>0</v>
      </c>
      <c r="I12" s="1751">
        <f>SUM(I5:I11)</f>
        <v>0</v>
      </c>
      <c r="J12" s="1751">
        <f>SUM(J5:J11)</f>
        <v>0</v>
      </c>
      <c r="K12" s="1751">
        <f>SUM(K5:K11)</f>
        <v>0</v>
      </c>
    </row>
    <row r="13" spans="1:11" ht="13.5" thickTop="1" x14ac:dyDescent="0.2">
      <c r="A13" s="2244" t="s">
        <v>370</v>
      </c>
      <c r="B13" s="2245"/>
      <c r="C13" s="2245"/>
      <c r="D13" s="2245"/>
      <c r="E13" s="2246"/>
      <c r="F13" s="783"/>
      <c r="G13" s="784"/>
      <c r="H13" s="785"/>
      <c r="I13" s="786"/>
      <c r="J13" s="786"/>
      <c r="K13" s="786"/>
    </row>
    <row r="14" spans="1:11" x14ac:dyDescent="0.2">
      <c r="A14" s="2266" t="s">
        <v>456</v>
      </c>
      <c r="B14" s="2266"/>
      <c r="C14" s="2266"/>
      <c r="D14" s="2266"/>
      <c r="E14" s="2267"/>
      <c r="F14" s="787" t="s">
        <v>854</v>
      </c>
      <c r="G14" s="780"/>
      <c r="H14" s="762"/>
      <c r="I14" s="769"/>
      <c r="J14" s="771"/>
      <c r="K14" s="763"/>
    </row>
    <row r="15" spans="1:11" x14ac:dyDescent="0.2">
      <c r="A15" s="2233" t="s">
        <v>4</v>
      </c>
      <c r="B15" s="2233"/>
      <c r="C15" s="2233"/>
      <c r="D15" s="2233"/>
      <c r="E15" s="2261"/>
      <c r="F15" s="787" t="s">
        <v>855</v>
      </c>
      <c r="G15" s="769"/>
      <c r="H15" s="762"/>
      <c r="I15" s="762"/>
      <c r="J15" s="763"/>
      <c r="K15" s="763"/>
    </row>
    <row r="16" spans="1:11" x14ac:dyDescent="0.2">
      <c r="A16" s="2233" t="s">
        <v>298</v>
      </c>
      <c r="B16" s="2233"/>
      <c r="C16" s="2233"/>
      <c r="D16" s="2233"/>
      <c r="E16" s="2261"/>
      <c r="F16" s="787" t="s">
        <v>923</v>
      </c>
      <c r="G16" s="770"/>
      <c r="H16" s="765"/>
      <c r="I16" s="765"/>
      <c r="J16" s="767"/>
      <c r="K16" s="767"/>
    </row>
    <row r="17" spans="1:11" x14ac:dyDescent="0.2">
      <c r="A17" s="2255" t="s">
        <v>935</v>
      </c>
      <c r="B17" s="2255"/>
      <c r="C17" s="2255"/>
      <c r="D17" s="2255"/>
      <c r="E17" s="2256"/>
      <c r="F17" s="788"/>
      <c r="G17" s="789"/>
      <c r="H17" s="790"/>
      <c r="I17" s="790"/>
      <c r="J17" s="791"/>
      <c r="K17" s="792"/>
    </row>
    <row r="18" spans="1:11" x14ac:dyDescent="0.2">
      <c r="A18" s="2247" t="s">
        <v>368</v>
      </c>
      <c r="B18" s="2248"/>
      <c r="C18" s="2248"/>
      <c r="D18" s="2248"/>
      <c r="E18" s="2249"/>
      <c r="F18" s="787" t="s">
        <v>932</v>
      </c>
      <c r="G18" s="780"/>
      <c r="H18" s="780"/>
      <c r="I18" s="780"/>
      <c r="J18" s="763"/>
      <c r="K18" s="793"/>
    </row>
    <row r="19" spans="1:11" ht="21.75" customHeight="1" x14ac:dyDescent="0.2">
      <c r="A19" s="2268" t="s">
        <v>1805</v>
      </c>
      <c r="B19" s="2268"/>
      <c r="C19" s="2268"/>
      <c r="D19" s="2268"/>
      <c r="E19" s="2269"/>
      <c r="F19" s="787" t="s">
        <v>933</v>
      </c>
      <c r="G19" s="780"/>
      <c r="H19" s="780"/>
      <c r="I19" s="780"/>
      <c r="J19" s="763"/>
      <c r="K19" s="793"/>
    </row>
    <row r="20" spans="1:11" x14ac:dyDescent="0.2">
      <c r="A20" s="2247" t="s">
        <v>1810</v>
      </c>
      <c r="B20" s="2248"/>
      <c r="C20" s="2248"/>
      <c r="D20" s="2248"/>
      <c r="E20" s="2249"/>
      <c r="F20" s="787" t="s">
        <v>934</v>
      </c>
      <c r="G20" s="780"/>
      <c r="H20" s="780"/>
      <c r="I20" s="780"/>
      <c r="J20" s="763"/>
      <c r="K20" s="793"/>
    </row>
    <row r="21" spans="1:11" ht="13.5" thickBot="1" x14ac:dyDescent="0.25">
      <c r="A21" s="2253" t="s">
        <v>638</v>
      </c>
      <c r="B21" s="2253"/>
      <c r="C21" s="2253"/>
      <c r="D21" s="2253"/>
      <c r="E21" s="2253"/>
      <c r="F21" s="1752"/>
      <c r="G21" s="790"/>
      <c r="H21" s="794"/>
      <c r="I21" s="794"/>
      <c r="J21" s="1753">
        <f>SUM(J18:J20)</f>
        <v>0</v>
      </c>
      <c r="K21" s="791"/>
    </row>
    <row r="22" spans="1:11" ht="13.5" thickTop="1" x14ac:dyDescent="0.2">
      <c r="A22" s="2233" t="s">
        <v>1811</v>
      </c>
      <c r="B22" s="2233"/>
      <c r="C22" s="2233"/>
      <c r="D22" s="2233"/>
      <c r="E22" s="2261"/>
      <c r="F22" s="787" t="s">
        <v>862</v>
      </c>
      <c r="G22" s="780"/>
      <c r="H22" s="762"/>
      <c r="I22" s="762"/>
      <c r="J22" s="795"/>
      <c r="K22" s="763"/>
    </row>
    <row r="23" spans="1:11" ht="13.5" thickBot="1" x14ac:dyDescent="0.25">
      <c r="A23" s="2254" t="s">
        <v>906</v>
      </c>
      <c r="B23" s="2253"/>
      <c r="C23" s="2253"/>
      <c r="D23" s="2253"/>
      <c r="E23" s="2253"/>
      <c r="F23" s="1754"/>
      <c r="G23" s="1751">
        <f>SUM(G14:G16,G21,G22)</f>
        <v>0</v>
      </c>
      <c r="H23" s="1751">
        <f>SUM(H14:H16,H21,H22)</f>
        <v>0</v>
      </c>
      <c r="I23" s="1751">
        <f>SUM(I14:I16,I21,I22)</f>
        <v>0</v>
      </c>
      <c r="J23" s="1751">
        <f>SUM(J14:J16,J21,J22)</f>
        <v>0</v>
      </c>
      <c r="K23" s="1751">
        <f>SUM(K14:K16,K21,K22)</f>
        <v>0</v>
      </c>
    </row>
    <row r="24" spans="1:11" ht="14.25" thickTop="1" thickBot="1" x14ac:dyDescent="0.25">
      <c r="A24" s="2254" t="s">
        <v>1959</v>
      </c>
      <c r="B24" s="2253"/>
      <c r="C24" s="2253"/>
      <c r="D24" s="2253"/>
      <c r="E24" s="2253"/>
      <c r="F24" s="1755"/>
      <c r="G24" s="1756">
        <f>SUM(G3,G12)-G23</f>
        <v>0</v>
      </c>
      <c r="H24" s="1756">
        <f>SUM(H3,H12)-H23</f>
        <v>0</v>
      </c>
      <c r="I24" s="1756">
        <f>SUM(I3,I12)-I23</f>
        <v>0</v>
      </c>
      <c r="J24" s="1756">
        <f>SUM(J3,J12)-J23</f>
        <v>0</v>
      </c>
      <c r="K24" s="1756">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1905</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63"/>
      <c r="I31" s="2264"/>
      <c r="J31" s="2264"/>
      <c r="K31" s="2264"/>
    </row>
    <row r="32" spans="1:11" x14ac:dyDescent="0.2">
      <c r="A32" s="807"/>
      <c r="B32" s="237"/>
      <c r="C32" s="237"/>
      <c r="D32" s="237"/>
      <c r="E32" s="803"/>
      <c r="F32" s="809" t="s">
        <v>540</v>
      </c>
      <c r="G32" s="762"/>
      <c r="H32" s="2265"/>
      <c r="I32" s="2264"/>
      <c r="J32" s="2264"/>
      <c r="K32" s="2264"/>
    </row>
    <row r="33" spans="1:11" ht="1.5" customHeight="1" x14ac:dyDescent="0.2">
      <c r="A33" s="810" t="s">
        <v>1169</v>
      </c>
      <c r="B33" s="364"/>
      <c r="C33" s="364"/>
      <c r="D33" s="364"/>
      <c r="E33" s="364"/>
      <c r="F33" s="364"/>
      <c r="G33" s="811"/>
      <c r="H33" s="2265"/>
      <c r="I33" s="2264"/>
      <c r="J33" s="2264"/>
      <c r="K33" s="2264"/>
    </row>
    <row r="34" spans="1:11" x14ac:dyDescent="0.2">
      <c r="A34" s="812" t="s">
        <v>1812</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33" t="s">
        <v>541</v>
      </c>
      <c r="B41" s="2234"/>
      <c r="C41" s="2234"/>
      <c r="D41" s="2234"/>
      <c r="E41" s="2234"/>
      <c r="F41" s="2235"/>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1806</v>
      </c>
      <c r="B46" s="408" t="s">
        <v>1675</v>
      </c>
    </row>
    <row r="47" spans="1:11" s="821" customFormat="1" ht="12.75" customHeight="1" x14ac:dyDescent="0.2">
      <c r="A47" s="819"/>
      <c r="B47" s="820" t="s">
        <v>1676</v>
      </c>
      <c r="E47" s="820"/>
      <c r="K47" s="822"/>
    </row>
    <row r="48" spans="1:11" ht="12.75" customHeight="1" x14ac:dyDescent="0.2">
      <c r="A48" s="1529" t="s">
        <v>1807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1904</v>
      </c>
      <c r="B1" s="2273"/>
      <c r="C1" s="2274"/>
      <c r="D1" s="824"/>
      <c r="E1" s="825"/>
      <c r="F1" s="825"/>
      <c r="G1" s="826"/>
      <c r="H1" s="827"/>
      <c r="I1" s="828"/>
      <c r="J1" s="2270"/>
      <c r="K1" s="2271"/>
      <c r="L1" s="2271"/>
    </row>
    <row r="2" spans="1:14" ht="69.75" customHeight="1" x14ac:dyDescent="0.2">
      <c r="A2" s="829" t="s">
        <v>1678</v>
      </c>
      <c r="B2" s="830" t="s">
        <v>378</v>
      </c>
      <c r="C2" s="831" t="s">
        <v>1960</v>
      </c>
      <c r="D2" s="831" t="s">
        <v>1961</v>
      </c>
      <c r="E2" s="831" t="s">
        <v>1962</v>
      </c>
      <c r="F2" s="831" t="s">
        <v>1963</v>
      </c>
      <c r="G2" s="831" t="s">
        <v>605</v>
      </c>
      <c r="H2" s="831" t="s">
        <v>1964</v>
      </c>
      <c r="I2" s="831" t="s">
        <v>1965</v>
      </c>
      <c r="J2" s="831" t="s">
        <v>1966</v>
      </c>
      <c r="K2" s="831" t="s">
        <v>1967</v>
      </c>
      <c r="L2" s="831" t="s">
        <v>1968</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c r="D5" s="839"/>
      <c r="E5" s="839"/>
      <c r="F5" s="1753">
        <f>(C5+D5)-E5</f>
        <v>0</v>
      </c>
      <c r="G5" s="835"/>
      <c r="H5" s="840"/>
      <c r="I5" s="840"/>
      <c r="J5" s="840"/>
      <c r="K5" s="791"/>
      <c r="L5" s="1762">
        <f>F5-K5</f>
        <v>0</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455343</v>
      </c>
      <c r="D8" s="842"/>
      <c r="E8" s="842"/>
      <c r="F8" s="1753">
        <f>(C8+D8)-E8</f>
        <v>455343</v>
      </c>
      <c r="G8" s="841">
        <v>50</v>
      </c>
      <c r="H8" s="763">
        <v>84624</v>
      </c>
      <c r="I8" s="763">
        <v>9107</v>
      </c>
      <c r="J8" s="763"/>
      <c r="K8" s="1762">
        <f>(H8+I8)-J8</f>
        <v>93731</v>
      </c>
      <c r="L8" s="1762">
        <f>F8-K8</f>
        <v>361612</v>
      </c>
    </row>
    <row r="9" spans="1:14" ht="14.25" thickTop="1" thickBot="1" x14ac:dyDescent="0.25">
      <c r="A9" s="776" t="s">
        <v>1119</v>
      </c>
      <c r="B9" s="838">
        <v>232</v>
      </c>
      <c r="C9" s="763"/>
      <c r="D9" s="763"/>
      <c r="E9" s="763"/>
      <c r="F9" s="1753">
        <f>(C9+D9)-E9</f>
        <v>0</v>
      </c>
      <c r="G9" s="841">
        <v>20</v>
      </c>
      <c r="H9" s="763"/>
      <c r="I9" s="763"/>
      <c r="J9" s="763"/>
      <c r="K9" s="1762">
        <f>(H9+I9)-J9</f>
        <v>0</v>
      </c>
      <c r="L9" s="1762">
        <f>F9-K9</f>
        <v>0</v>
      </c>
    </row>
    <row r="10" spans="1:14" ht="24" thickTop="1" thickBot="1" x14ac:dyDescent="0.25">
      <c r="A10" s="843" t="s">
        <v>1120</v>
      </c>
      <c r="B10" s="838">
        <v>240</v>
      </c>
      <c r="C10" s="844"/>
      <c r="D10" s="844"/>
      <c r="E10" s="844"/>
      <c r="F10" s="1757">
        <f>(C10+D10)-E10</f>
        <v>0</v>
      </c>
      <c r="G10" s="841">
        <v>20</v>
      </c>
      <c r="H10" s="845"/>
      <c r="I10" s="845"/>
      <c r="J10" s="845"/>
      <c r="K10" s="1762">
        <f>(H10+I10)-J10</f>
        <v>0</v>
      </c>
      <c r="L10" s="1762">
        <f>F10-K10</f>
        <v>0</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395963</v>
      </c>
      <c r="D12" s="842"/>
      <c r="E12" s="842">
        <v>100507</v>
      </c>
      <c r="F12" s="1753">
        <f>(C12+D12)-E12</f>
        <v>295456</v>
      </c>
      <c r="G12" s="841">
        <v>10</v>
      </c>
      <c r="H12" s="763">
        <v>324142</v>
      </c>
      <c r="I12" s="763">
        <v>24839</v>
      </c>
      <c r="J12" s="763">
        <v>100507</v>
      </c>
      <c r="K12" s="1762">
        <f>(H12+I12)-J12</f>
        <v>248474</v>
      </c>
      <c r="L12" s="1762">
        <f>F12-K12</f>
        <v>46982</v>
      </c>
    </row>
    <row r="13" spans="1:14" ht="14.25" thickTop="1" thickBot="1" x14ac:dyDescent="0.25">
      <c r="A13" s="846" t="s">
        <v>1122</v>
      </c>
      <c r="B13" s="838">
        <v>252</v>
      </c>
      <c r="C13" s="842"/>
      <c r="D13" s="842"/>
      <c r="E13" s="842"/>
      <c r="F13" s="1753">
        <f>(C13+D13)-E13</f>
        <v>0</v>
      </c>
      <c r="G13" s="841">
        <v>5</v>
      </c>
      <c r="H13" s="763"/>
      <c r="I13" s="763"/>
      <c r="J13" s="763"/>
      <c r="K13" s="1762">
        <f>(H13+I13)-J13</f>
        <v>0</v>
      </c>
      <c r="L13" s="1762">
        <f>F13-K13</f>
        <v>0</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528</v>
      </c>
      <c r="B15" s="1627">
        <v>260</v>
      </c>
      <c r="C15" s="842"/>
      <c r="D15" s="842"/>
      <c r="E15" s="842"/>
      <c r="F15" s="1753">
        <f>(C15+D15)-E15</f>
        <v>0</v>
      </c>
      <c r="G15" s="847" t="s">
        <v>862</v>
      </c>
      <c r="H15" s="779"/>
      <c r="I15" s="779"/>
      <c r="J15" s="779"/>
      <c r="K15" s="779"/>
      <c r="L15" s="1762">
        <f>F15-K15</f>
        <v>0</v>
      </c>
    </row>
    <row r="16" spans="1:14" ht="15" customHeight="1" thickTop="1" thickBot="1" x14ac:dyDescent="0.25">
      <c r="A16" s="1758" t="s">
        <v>643</v>
      </c>
      <c r="B16" s="1759">
        <v>200</v>
      </c>
      <c r="C16" s="1753">
        <f>SUM(C3,C5:C6,C8:C10,C12:C15)</f>
        <v>851306</v>
      </c>
      <c r="D16" s="1753">
        <f>SUM(D3,D5:D6,D8:D10,D12:D15)</f>
        <v>0</v>
      </c>
      <c r="E16" s="1753">
        <f>SUM(E3,E5:E6,E8:E10,E12:E15)</f>
        <v>100507</v>
      </c>
      <c r="F16" s="1753">
        <f>SUM(F3,F5:F6,F8:F10,F12:F15)</f>
        <v>750799</v>
      </c>
      <c r="G16" s="841"/>
      <c r="H16" s="1753">
        <f>SUM(H3,H6,H8:H10,H12:H14,)</f>
        <v>408766</v>
      </c>
      <c r="I16" s="1753">
        <f>SUM(I3,I6,I8:I10,I12:I14,)</f>
        <v>33946</v>
      </c>
      <c r="J16" s="1753">
        <f>SUM(J3,J6,J8:J10,J12:J14,)</f>
        <v>100507</v>
      </c>
      <c r="K16" s="1753">
        <f>(H16+I16)-J16</f>
        <v>342205</v>
      </c>
      <c r="L16" s="1753">
        <f>F16-K16</f>
        <v>408594</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33946</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1.1"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F78" sqref="F78"/>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8" t="s">
        <v>1969</v>
      </c>
      <c r="B1" s="2279"/>
      <c r="C1" s="2279"/>
      <c r="D1" s="2279"/>
      <c r="E1" s="2279"/>
      <c r="F1" s="2280"/>
      <c r="G1" s="853"/>
    </row>
    <row r="2" spans="1:7" ht="15" customHeight="1" thickBot="1" x14ac:dyDescent="0.25">
      <c r="A2" s="2281" t="s">
        <v>477</v>
      </c>
      <c r="B2" s="2282"/>
      <c r="C2" s="2282"/>
      <c r="D2" s="2282"/>
      <c r="E2" s="2282"/>
      <c r="F2" s="2283"/>
      <c r="G2" s="855"/>
    </row>
    <row r="3" spans="1:7" ht="5.25" customHeight="1" thickTop="1" x14ac:dyDescent="0.2">
      <c r="A3" s="856"/>
      <c r="B3" s="857"/>
      <c r="C3" s="858"/>
      <c r="D3" s="857"/>
      <c r="E3" s="858"/>
      <c r="F3" s="857"/>
      <c r="G3" s="857"/>
    </row>
    <row r="4" spans="1:7" ht="12.4" customHeight="1" x14ac:dyDescent="0.2">
      <c r="A4" s="859" t="s">
        <v>1077</v>
      </c>
      <c r="B4" s="860" t="s">
        <v>115</v>
      </c>
      <c r="D4" s="862" t="s">
        <v>511</v>
      </c>
      <c r="F4" s="860" t="s">
        <v>865</v>
      </c>
    </row>
    <row r="5" spans="1:7" ht="7.5" customHeight="1" x14ac:dyDescent="0.2">
      <c r="A5" s="2284"/>
      <c r="B5" s="2285"/>
      <c r="C5" s="2285"/>
      <c r="D5" s="2285"/>
      <c r="E5" s="2285"/>
      <c r="F5" s="2285"/>
    </row>
    <row r="6" spans="1:7" ht="13.7" customHeight="1" thickBot="1" x14ac:dyDescent="0.25">
      <c r="A6" s="2275" t="s">
        <v>1104</v>
      </c>
      <c r="B6" s="2276"/>
      <c r="C6" s="2276"/>
      <c r="D6" s="2276"/>
      <c r="E6" s="2276"/>
      <c r="F6" s="2277"/>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16848748</v>
      </c>
      <c r="G8" s="863"/>
    </row>
    <row r="9" spans="1:7" x14ac:dyDescent="0.2">
      <c r="A9" s="867" t="s">
        <v>460</v>
      </c>
      <c r="B9" s="868" t="s">
        <v>1872</v>
      </c>
      <c r="C9" s="869"/>
      <c r="D9" s="867" t="s">
        <v>501</v>
      </c>
      <c r="E9" s="866"/>
      <c r="F9" s="1901">
        <f>'Expenditures 15-22'!K151</f>
        <v>0</v>
      </c>
      <c r="G9" s="870"/>
    </row>
    <row r="10" spans="1:7" x14ac:dyDescent="0.2">
      <c r="A10" s="867" t="s">
        <v>499</v>
      </c>
      <c r="B10" s="868" t="s">
        <v>1873</v>
      </c>
      <c r="C10" s="869"/>
      <c r="D10" s="867" t="s">
        <v>501</v>
      </c>
      <c r="E10" s="866"/>
      <c r="F10" s="1901">
        <f>'Expenditures 15-22'!K174</f>
        <v>0</v>
      </c>
      <c r="G10" s="870"/>
    </row>
    <row r="11" spans="1:7" x14ac:dyDescent="0.2">
      <c r="A11" s="867" t="s">
        <v>461</v>
      </c>
      <c r="B11" s="868" t="s">
        <v>1874</v>
      </c>
      <c r="C11" s="869"/>
      <c r="D11" s="867" t="s">
        <v>501</v>
      </c>
      <c r="E11" s="866"/>
      <c r="F11" s="1901">
        <f>'Expenditures 15-22'!K210</f>
        <v>0</v>
      </c>
      <c r="G11" s="870"/>
    </row>
    <row r="12" spans="1:7" x14ac:dyDescent="0.2">
      <c r="A12" s="867" t="s">
        <v>462</v>
      </c>
      <c r="B12" s="868" t="s">
        <v>1875</v>
      </c>
      <c r="C12" s="869"/>
      <c r="D12" s="867" t="s">
        <v>501</v>
      </c>
      <c r="E12" s="866"/>
      <c r="F12" s="1901">
        <f>'Expenditures 15-22'!K295</f>
        <v>0</v>
      </c>
      <c r="G12" s="870"/>
    </row>
    <row r="13" spans="1:7" x14ac:dyDescent="0.2">
      <c r="A13" s="867" t="s">
        <v>106</v>
      </c>
      <c r="B13" s="868" t="s">
        <v>1876</v>
      </c>
      <c r="C13" s="869"/>
      <c r="D13" s="867" t="s">
        <v>501</v>
      </c>
      <c r="E13" s="866"/>
      <c r="F13" s="1901">
        <f>'Expenditures 15-22'!K342</f>
        <v>0</v>
      </c>
      <c r="G13" s="871"/>
    </row>
    <row r="14" spans="1:7" ht="12" customHeight="1" thickBot="1" x14ac:dyDescent="0.25">
      <c r="A14" s="1763"/>
      <c r="B14" s="1764"/>
      <c r="C14" s="1765"/>
      <c r="D14" s="1766" t="s">
        <v>501</v>
      </c>
      <c r="E14" s="1767" t="s">
        <v>958</v>
      </c>
      <c r="F14" s="1768">
        <f>SUM(F8:F13)</f>
        <v>16848748</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7"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1993</v>
      </c>
      <c r="C30" s="878">
        <f>'Revenues 9-14'!B150</f>
        <v>3499</v>
      </c>
      <c r="D30" s="879" t="str">
        <f>'Revenues 9-14'!A150</f>
        <v>Adult Ed - Other (Describe &amp; Itemize)</v>
      </c>
      <c r="E30" s="866"/>
      <c r="F30" s="1906">
        <f>('Revenues 9-14'!D150+'Revenues 9-14'!F150)</f>
        <v>0</v>
      </c>
      <c r="G30" s="863"/>
    </row>
    <row r="31" spans="1:7" x14ac:dyDescent="0.2">
      <c r="A31" s="867" t="s">
        <v>1097</v>
      </c>
      <c r="B31" s="868" t="s">
        <v>1994</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1995</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1996</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563677</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13367</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5">
        <f>'Expenditures 15-22'!K102</f>
        <v>2786777</v>
      </c>
      <c r="G53" s="863"/>
    </row>
    <row r="54" spans="1:7" x14ac:dyDescent="0.2">
      <c r="A54" s="867" t="s">
        <v>459</v>
      </c>
      <c r="B54" s="867" t="s">
        <v>1476</v>
      </c>
      <c r="C54" s="887" t="s">
        <v>982</v>
      </c>
      <c r="D54" s="883" t="s">
        <v>1095</v>
      </c>
      <c r="E54" s="866"/>
      <c r="F54" s="1905">
        <f>'Expenditures 15-22'!G114</f>
        <v>0</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1877</v>
      </c>
      <c r="C57" s="887">
        <f>'Expenditures 15-22'!B139</f>
        <v>4000</v>
      </c>
      <c r="D57" s="885" t="str">
        <f>'Expenditures 15-22'!A139</f>
        <v>Total Payments to Other Govt Units</v>
      </c>
      <c r="E57" s="866"/>
      <c r="F57" s="1905">
        <f>'Expenditures 15-22'!K139</f>
        <v>0</v>
      </c>
      <c r="G57" s="863"/>
    </row>
    <row r="58" spans="1:7" x14ac:dyDescent="0.2">
      <c r="A58" s="867" t="s">
        <v>460</v>
      </c>
      <c r="B58" s="867" t="s">
        <v>1878</v>
      </c>
      <c r="C58" s="884" t="s">
        <v>982</v>
      </c>
      <c r="D58" s="883" t="s">
        <v>1095</v>
      </c>
      <c r="E58" s="866"/>
      <c r="F58" s="1907">
        <f>'Expenditures 15-22'!G151</f>
        <v>0</v>
      </c>
      <c r="G58" s="863"/>
    </row>
    <row r="59" spans="1:7" x14ac:dyDescent="0.2">
      <c r="A59" s="891" t="s">
        <v>460</v>
      </c>
      <c r="B59" s="854" t="s">
        <v>1879</v>
      </c>
      <c r="C59" s="892" t="s">
        <v>982</v>
      </c>
      <c r="D59" s="854" t="s">
        <v>291</v>
      </c>
      <c r="F59" s="1908">
        <f>'Expenditures 15-22'!I151</f>
        <v>0</v>
      </c>
      <c r="G59" s="863"/>
    </row>
    <row r="60" spans="1:7" x14ac:dyDescent="0.2">
      <c r="A60" s="891" t="s">
        <v>499</v>
      </c>
      <c r="B60" s="854" t="s">
        <v>1880</v>
      </c>
      <c r="C60" s="892">
        <v>4000</v>
      </c>
      <c r="D60" s="854" t="s">
        <v>312</v>
      </c>
      <c r="F60" s="1906">
        <f>'Expenditures 15-22'!K160</f>
        <v>0</v>
      </c>
      <c r="G60" s="863"/>
    </row>
    <row r="61" spans="1:7" x14ac:dyDescent="0.2">
      <c r="A61" s="893" t="s">
        <v>499</v>
      </c>
      <c r="B61" s="893" t="s">
        <v>1881</v>
      </c>
      <c r="C61" s="894" t="str">
        <f>'Expenditures 15-22'!B170</f>
        <v>5300</v>
      </c>
      <c r="D61" s="895" t="s">
        <v>311</v>
      </c>
      <c r="E61" s="877"/>
      <c r="F61" s="1905">
        <f>'Expenditures 15-22'!K170</f>
        <v>0</v>
      </c>
      <c r="G61" s="863"/>
    </row>
    <row r="62" spans="1:7" x14ac:dyDescent="0.2">
      <c r="A62" s="867" t="s">
        <v>461</v>
      </c>
      <c r="B62" s="867" t="s">
        <v>1882</v>
      </c>
      <c r="C62" s="884">
        <f>'Expenditures 15-22'!B185</f>
        <v>3000</v>
      </c>
      <c r="D62" s="874" t="s">
        <v>449</v>
      </c>
      <c r="E62" s="866"/>
      <c r="F62" s="1905">
        <f>'Expenditures 15-22'!K185-SUM('Expenditures 15-22'!G185,'Expenditures 15-22'!I185)</f>
        <v>0</v>
      </c>
      <c r="G62" s="863"/>
    </row>
    <row r="63" spans="1:7" x14ac:dyDescent="0.2">
      <c r="A63" s="867" t="s">
        <v>461</v>
      </c>
      <c r="B63" s="867" t="s">
        <v>1883</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1884</v>
      </c>
      <c r="C64" s="894" t="str">
        <f>'Expenditures 15-22'!B206</f>
        <v>5300</v>
      </c>
      <c r="D64" s="890" t="s">
        <v>311</v>
      </c>
      <c r="E64" s="866"/>
      <c r="F64" s="1905">
        <f>'Expenditures 15-22'!K206</f>
        <v>0</v>
      </c>
      <c r="G64" s="863"/>
    </row>
    <row r="65" spans="1:8" x14ac:dyDescent="0.2">
      <c r="A65" s="867" t="s">
        <v>461</v>
      </c>
      <c r="B65" s="867" t="s">
        <v>1885</v>
      </c>
      <c r="C65" s="884" t="s">
        <v>982</v>
      </c>
      <c r="D65" s="883" t="s">
        <v>1095</v>
      </c>
      <c r="E65" s="866"/>
      <c r="F65" s="1905">
        <f>'Expenditures 15-22'!G210</f>
        <v>0</v>
      </c>
      <c r="G65" s="863"/>
    </row>
    <row r="66" spans="1:8" x14ac:dyDescent="0.2">
      <c r="A66" s="867" t="s">
        <v>461</v>
      </c>
      <c r="B66" s="867" t="s">
        <v>1886</v>
      </c>
      <c r="C66" s="884" t="s">
        <v>982</v>
      </c>
      <c r="D66" s="883" t="s">
        <v>291</v>
      </c>
      <c r="E66" s="866"/>
      <c r="F66" s="1905">
        <f>'Expenditures 15-22'!I210</f>
        <v>0</v>
      </c>
      <c r="G66" s="863"/>
    </row>
    <row r="67" spans="1:8" x14ac:dyDescent="0.2">
      <c r="A67" s="867" t="s">
        <v>462</v>
      </c>
      <c r="B67" s="867" t="s">
        <v>1887</v>
      </c>
      <c r="C67" s="884" t="str">
        <f>'Expenditures 15-22'!B216</f>
        <v>1125</v>
      </c>
      <c r="D67" s="890" t="str">
        <f>'Expenditures 15-22'!A216</f>
        <v>Pre-K Programs</v>
      </c>
      <c r="E67" s="866"/>
      <c r="F67" s="1905">
        <f>'Expenditures 15-22'!K216</f>
        <v>0</v>
      </c>
      <c r="G67" s="863"/>
    </row>
    <row r="68" spans="1:8" x14ac:dyDescent="0.2">
      <c r="A68" s="867" t="s">
        <v>462</v>
      </c>
      <c r="B68" s="867" t="s">
        <v>1479</v>
      </c>
      <c r="C68" s="884" t="str">
        <f>'Expenditures 15-22'!B218</f>
        <v>1225</v>
      </c>
      <c r="D68" s="890" t="str">
        <f>'Expenditures 15-22'!A218</f>
        <v>Special Education Programs - Pre-K</v>
      </c>
      <c r="E68" s="866"/>
      <c r="F68" s="1905">
        <f>'Expenditures 15-22'!K218</f>
        <v>0</v>
      </c>
      <c r="G68" s="863"/>
    </row>
    <row r="69" spans="1:8" x14ac:dyDescent="0.2">
      <c r="A69" s="867" t="s">
        <v>462</v>
      </c>
      <c r="B69" s="867" t="s">
        <v>1888</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1889</v>
      </c>
      <c r="C70" s="884">
        <f>'Expenditures 15-22'!B221</f>
        <v>1300</v>
      </c>
      <c r="D70" s="885" t="str">
        <f>'Expenditures 15-22'!A221</f>
        <v>Adult/Continuing Education Programs</v>
      </c>
      <c r="E70" s="866"/>
      <c r="F70" s="1905">
        <f>'Expenditures 15-22'!K221</f>
        <v>0</v>
      </c>
      <c r="G70" s="863"/>
    </row>
    <row r="71" spans="1:8" x14ac:dyDescent="0.2">
      <c r="A71" s="867" t="s">
        <v>462</v>
      </c>
      <c r="B71" s="867" t="s">
        <v>1890</v>
      </c>
      <c r="C71" s="884">
        <f>'Expenditures 15-22'!B224</f>
        <v>1600</v>
      </c>
      <c r="D71" s="885" t="str">
        <f>'Expenditures 15-22'!A224</f>
        <v>Summer School Programs</v>
      </c>
      <c r="E71" s="866"/>
      <c r="F71" s="1905">
        <f>'Expenditures 15-22'!K224</f>
        <v>0</v>
      </c>
      <c r="G71" s="863"/>
    </row>
    <row r="72" spans="1:8" x14ac:dyDescent="0.2">
      <c r="A72" s="867" t="s">
        <v>462</v>
      </c>
      <c r="B72" s="867" t="s">
        <v>1891</v>
      </c>
      <c r="C72" s="884">
        <f>'Expenditures 15-22'!B280</f>
        <v>3000</v>
      </c>
      <c r="D72" s="874" t="s">
        <v>449</v>
      </c>
      <c r="E72" s="866"/>
      <c r="F72" s="1905">
        <f>'Expenditures 15-22'!K280</f>
        <v>0</v>
      </c>
      <c r="G72" s="863"/>
    </row>
    <row r="73" spans="1:8" x14ac:dyDescent="0.2">
      <c r="A73" s="867" t="s">
        <v>462</v>
      </c>
      <c r="B73" s="867" t="s">
        <v>1892</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1893</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1894</v>
      </c>
      <c r="E76" s="1767" t="s">
        <v>958</v>
      </c>
      <c r="F76" s="1771">
        <f>SUM(F18:F74)</f>
        <v>3363821</v>
      </c>
      <c r="G76" s="863"/>
    </row>
    <row r="77" spans="1:8" s="891" customFormat="1" ht="12" customHeight="1" thickTop="1" thickBot="1" x14ac:dyDescent="0.25">
      <c r="A77" s="1772"/>
      <c r="B77" s="1769"/>
      <c r="C77" s="1765"/>
      <c r="D77" s="1770" t="s">
        <v>1895</v>
      </c>
      <c r="E77" s="1767"/>
      <c r="F77" s="1773">
        <f>(F14-F76)</f>
        <v>13484927</v>
      </c>
      <c r="G77" s="867"/>
    </row>
    <row r="78" spans="1:8" s="891" customFormat="1" ht="12" customHeight="1" thickTop="1" x14ac:dyDescent="0.2">
      <c r="A78" s="1774"/>
      <c r="B78" s="1769"/>
      <c r="C78" s="1765"/>
      <c r="D78" s="1770" t="s">
        <v>2056</v>
      </c>
      <c r="E78" s="1767"/>
      <c r="F78" s="896"/>
      <c r="G78" s="897"/>
      <c r="H78" s="867"/>
    </row>
    <row r="79" spans="1:8" s="891" customFormat="1" ht="12" customHeight="1" thickBot="1" x14ac:dyDescent="0.25">
      <c r="A79" s="1775"/>
      <c r="B79" s="1769"/>
      <c r="C79" s="1765"/>
      <c r="D79" s="1770" t="s">
        <v>1896</v>
      </c>
      <c r="E79" s="1767" t="s">
        <v>958</v>
      </c>
      <c r="F79" s="1776" t="str">
        <f>IF(F78&gt;0,F77/F78," Complete Line 78")</f>
        <v xml:space="preserve"> Complete Line 78</v>
      </c>
      <c r="G79" s="867"/>
    </row>
    <row r="80" spans="1:8" s="891" customFormat="1" ht="8.25" customHeight="1" thickTop="1" x14ac:dyDescent="0.2">
      <c r="A80" s="898"/>
      <c r="B80" s="867"/>
      <c r="C80" s="869"/>
      <c r="D80" s="899"/>
      <c r="E80" s="866"/>
      <c r="F80" s="900"/>
      <c r="G80" s="867"/>
    </row>
    <row r="81" spans="1:7" s="891" customFormat="1" ht="12" thickBot="1" x14ac:dyDescent="0.25">
      <c r="A81" s="2275" t="s">
        <v>1105</v>
      </c>
      <c r="B81" s="2276"/>
      <c r="C81" s="2276"/>
      <c r="D81" s="2276"/>
      <c r="E81" s="2276"/>
      <c r="F81" s="2277"/>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0</v>
      </c>
      <c r="G94" s="910"/>
    </row>
    <row r="95" spans="1:7" x14ac:dyDescent="0.2">
      <c r="A95" s="906" t="s">
        <v>140</v>
      </c>
      <c r="B95" s="906" t="s">
        <v>175</v>
      </c>
      <c r="C95" s="908">
        <v>1700</v>
      </c>
      <c r="D95" s="916" t="str">
        <f>'Revenues 9-14'!A82</f>
        <v>Total District/School Activity Income</v>
      </c>
      <c r="E95" s="904"/>
      <c r="F95" s="1782">
        <f>SUM('Revenues 9-14'!C82,'Revenues 9-14'!D82)</f>
        <v>0</v>
      </c>
      <c r="G95" s="910"/>
    </row>
    <row r="96" spans="1:7" x14ac:dyDescent="0.2">
      <c r="A96" s="906" t="s">
        <v>459</v>
      </c>
      <c r="B96" s="906" t="s">
        <v>176</v>
      </c>
      <c r="C96" s="908">
        <f>'Revenues 9-14'!B84</f>
        <v>1811</v>
      </c>
      <c r="D96" s="909" t="str">
        <f>'Revenues 9-14'!A84</f>
        <v>Rentals - Regular Textbooks</v>
      </c>
      <c r="E96" s="904"/>
      <c r="F96" s="1782">
        <f>'Revenues 9-14'!C84</f>
        <v>0</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1997</v>
      </c>
      <c r="C105" s="911">
        <v>3100</v>
      </c>
      <c r="D105" s="917" t="str">
        <f>'Revenues 9-14'!A132</f>
        <v>Total Special Education</v>
      </c>
      <c r="E105" s="904"/>
      <c r="F105" s="1782">
        <f>SUM('Revenues 9-14'!C132:D132,'Revenues 9-14'!F132)</f>
        <v>0</v>
      </c>
      <c r="G105" s="910"/>
    </row>
    <row r="106" spans="1:7" x14ac:dyDescent="0.2">
      <c r="A106" s="906" t="s">
        <v>673</v>
      </c>
      <c r="B106" s="906" t="s">
        <v>1998</v>
      </c>
      <c r="C106" s="918">
        <v>3200</v>
      </c>
      <c r="D106" s="909" t="str">
        <f>'Revenues 9-14'!A141</f>
        <v>Total Career and Technical Education</v>
      </c>
      <c r="E106" s="904"/>
      <c r="F106" s="1782">
        <f>SUM('Revenues 9-14'!C141,'Revenues 9-14'!D141,'Revenues 9-14'!G141)</f>
        <v>0</v>
      </c>
      <c r="G106" s="910"/>
    </row>
    <row r="107" spans="1:7" x14ac:dyDescent="0.2">
      <c r="A107" s="919" t="s">
        <v>664</v>
      </c>
      <c r="B107" s="906" t="s">
        <v>1999</v>
      </c>
      <c r="C107" s="918">
        <v>3300</v>
      </c>
      <c r="D107" s="909" t="str">
        <f>'Revenues 9-14'!A145</f>
        <v>Total Bilingual Ed</v>
      </c>
      <c r="E107" s="904"/>
      <c r="F107" s="1782">
        <f>SUM('Revenues 9-14'!C145,'Revenues 9-14'!G145)</f>
        <v>0</v>
      </c>
      <c r="G107" s="910"/>
    </row>
    <row r="108" spans="1:7" x14ac:dyDescent="0.2">
      <c r="A108" s="906" t="s">
        <v>459</v>
      </c>
      <c r="B108" s="906" t="s">
        <v>2000</v>
      </c>
      <c r="C108" s="918">
        <f>'Revenues 9-14'!B146</f>
        <v>3360</v>
      </c>
      <c r="D108" s="909" t="str">
        <f>'Revenues 9-14'!A146</f>
        <v>State Free Lunch &amp; Breakfast</v>
      </c>
      <c r="E108" s="904"/>
      <c r="F108" s="1782">
        <f>'Revenues 9-14'!C146</f>
        <v>0</v>
      </c>
      <c r="G108" s="910"/>
    </row>
    <row r="109" spans="1:7" x14ac:dyDescent="0.2">
      <c r="A109" s="906" t="s">
        <v>673</v>
      </c>
      <c r="B109" s="906" t="s">
        <v>2001</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2002</v>
      </c>
      <c r="C110" s="918">
        <f>'Revenues 9-14'!B148</f>
        <v>3370</v>
      </c>
      <c r="D110" s="909" t="str">
        <f>'Revenues 9-14'!A148</f>
        <v>Driver Education</v>
      </c>
      <c r="E110" s="904"/>
      <c r="F110" s="1782">
        <f>SUM('Revenues 9-14'!C148,'Revenues 9-14'!D148)</f>
        <v>0</v>
      </c>
      <c r="G110" s="910"/>
    </row>
    <row r="111" spans="1:7" x14ac:dyDescent="0.2">
      <c r="A111" s="906" t="s">
        <v>668</v>
      </c>
      <c r="B111" s="906" t="s">
        <v>2003</v>
      </c>
      <c r="C111" s="920">
        <v>3500</v>
      </c>
      <c r="D111" s="909" t="str">
        <f>'Revenues 9-14'!A155</f>
        <v>Total Transportation</v>
      </c>
      <c r="E111" s="904"/>
      <c r="F111" s="1782">
        <f>SUM('Revenues 9-14'!C155,'Revenues 9-14'!D155,'Revenues 9-14'!F155,'Revenues 9-14'!G155)</f>
        <v>0</v>
      </c>
      <c r="G111" s="910"/>
    </row>
    <row r="112" spans="1:7" x14ac:dyDescent="0.2">
      <c r="A112" s="906" t="s">
        <v>459</v>
      </c>
      <c r="B112" s="906" t="s">
        <v>2004</v>
      </c>
      <c r="C112" s="918">
        <f>'Revenues 9-14'!B156</f>
        <v>3610</v>
      </c>
      <c r="D112" s="909" t="str">
        <f>'Revenues 9-14'!A156</f>
        <v>Learning Improvement - Change Grants</v>
      </c>
      <c r="E112" s="904"/>
      <c r="F112" s="1782">
        <f>'Revenues 9-14'!C156</f>
        <v>0</v>
      </c>
      <c r="G112" s="910"/>
    </row>
    <row r="113" spans="1:7" x14ac:dyDescent="0.2">
      <c r="A113" s="906" t="s">
        <v>668</v>
      </c>
      <c r="B113" s="906" t="s">
        <v>2005</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2006</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2007</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2008</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2009</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2010</v>
      </c>
      <c r="C118" s="922">
        <f>'Revenues 9-14'!B163</f>
        <v>3780</v>
      </c>
      <c r="D118" s="923" t="str">
        <f>'Revenues 9-14'!A163</f>
        <v>Technology - Technology for Success</v>
      </c>
      <c r="E118" s="904"/>
      <c r="F118" s="1899">
        <f>SUM('Revenues 9-14'!C163:G163)</f>
        <v>0</v>
      </c>
      <c r="G118" s="910"/>
    </row>
    <row r="119" spans="1:7" x14ac:dyDescent="0.2">
      <c r="A119" s="921" t="s">
        <v>504</v>
      </c>
      <c r="B119" s="921" t="s">
        <v>2011</v>
      </c>
      <c r="C119" s="922">
        <f>'Revenues 9-14'!B164</f>
        <v>3815</v>
      </c>
      <c r="D119" s="923" t="str">
        <f>'Revenues 9-14'!A164</f>
        <v>State Charter Schools</v>
      </c>
      <c r="E119" s="904"/>
      <c r="F119" s="1899">
        <f>SUM('Revenues 9-14'!C164,'Revenues 9-14'!F164)</f>
        <v>0</v>
      </c>
      <c r="G119" s="910"/>
    </row>
    <row r="120" spans="1:7" x14ac:dyDescent="0.2">
      <c r="A120" s="925" t="s">
        <v>460</v>
      </c>
      <c r="B120" s="925" t="s">
        <v>2012</v>
      </c>
      <c r="C120" s="926">
        <f>'Revenues 9-14'!B167</f>
        <v>3925</v>
      </c>
      <c r="D120" s="927" t="str">
        <f>'Revenues 9-14'!A167</f>
        <v>School Infrastructure - Maintenance Projects</v>
      </c>
      <c r="E120" s="904"/>
      <c r="F120" s="1782">
        <f>'Revenues 9-14'!D167</f>
        <v>0</v>
      </c>
      <c r="G120" s="928"/>
    </row>
    <row r="121" spans="1:7" x14ac:dyDescent="0.2">
      <c r="A121" s="925" t="s">
        <v>500</v>
      </c>
      <c r="B121" s="925" t="s">
        <v>2013</v>
      </c>
      <c r="C121" s="926">
        <f>'Revenues 9-14'!B168</f>
        <v>3999</v>
      </c>
      <c r="D121" s="927" t="s">
        <v>543</v>
      </c>
      <c r="E121" s="929"/>
      <c r="F121" s="1782">
        <f>SUM('Revenues 9-14'!C168:G168,'Revenues 9-14'!J168)</f>
        <v>0</v>
      </c>
      <c r="G121" s="928"/>
    </row>
    <row r="122" spans="1:7" x14ac:dyDescent="0.2">
      <c r="A122" s="925" t="s">
        <v>459</v>
      </c>
      <c r="B122" s="925" t="s">
        <v>2014</v>
      </c>
      <c r="C122" s="930">
        <f>'Revenues 9-14'!B177</f>
        <v>4045</v>
      </c>
      <c r="D122" s="927" t="str">
        <f>'Revenues 9-14'!A177 &amp; " (Subtract)"</f>
        <v>Head Start (Subtract)</v>
      </c>
      <c r="E122" s="904"/>
      <c r="F122" s="1782">
        <f>SUM(-'Revenues 9-14'!C177)</f>
        <v>0</v>
      </c>
      <c r="G122" s="928"/>
    </row>
    <row r="123" spans="1:7" x14ac:dyDescent="0.2">
      <c r="A123" s="925" t="s">
        <v>668</v>
      </c>
      <c r="B123" s="925" t="s">
        <v>2015</v>
      </c>
      <c r="C123" s="930" t="s">
        <v>982</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668</v>
      </c>
      <c r="B124" s="925" t="s">
        <v>2016</v>
      </c>
      <c r="C124" s="930">
        <v>4100</v>
      </c>
      <c r="D124" s="931" t="str">
        <f>'Revenues 9-14'!A188</f>
        <v>Total Title V</v>
      </c>
      <c r="E124" s="904"/>
      <c r="F124" s="1782">
        <f>SUM('Revenues 9-14'!C188,'Revenues 9-14'!D188,'Revenues 9-14'!F188,'Revenues 9-14'!G188)</f>
        <v>0</v>
      </c>
      <c r="G124" s="928"/>
    </row>
    <row r="125" spans="1:7" x14ac:dyDescent="0.2">
      <c r="A125" s="925" t="s">
        <v>664</v>
      </c>
      <c r="B125" s="925" t="s">
        <v>2017</v>
      </c>
      <c r="C125" s="930">
        <v>4200</v>
      </c>
      <c r="D125" s="927" t="str">
        <f>'Revenues 9-14'!A198</f>
        <v>Total Food Service</v>
      </c>
      <c r="E125" s="904"/>
      <c r="F125" s="1782">
        <f>SUM('Revenues 9-14'!C198,'Revenues 9-14'!G198)</f>
        <v>0</v>
      </c>
      <c r="G125" s="928"/>
    </row>
    <row r="126" spans="1:7" x14ac:dyDescent="0.2">
      <c r="A126" s="925" t="s">
        <v>668</v>
      </c>
      <c r="B126" s="925" t="s">
        <v>2018</v>
      </c>
      <c r="C126" s="930">
        <v>4300</v>
      </c>
      <c r="D126" s="931" t="str">
        <f>'Revenues 9-14'!A204</f>
        <v>Total Title I</v>
      </c>
      <c r="E126" s="904"/>
      <c r="F126" s="1782">
        <f>SUM('Revenues 9-14'!C204,'Revenues 9-14'!D204,'Revenues 9-14'!F204,'Revenues 9-14'!G204)</f>
        <v>0</v>
      </c>
      <c r="G126" s="928"/>
    </row>
    <row r="127" spans="1:7" x14ac:dyDescent="0.2">
      <c r="A127" s="925" t="s">
        <v>668</v>
      </c>
      <c r="B127" s="925" t="s">
        <v>2019</v>
      </c>
      <c r="C127" s="930">
        <v>4400</v>
      </c>
      <c r="D127" s="931" t="str">
        <f>'Revenues 9-14'!A209</f>
        <v>Total Title IV</v>
      </c>
      <c r="E127" s="904"/>
      <c r="F127" s="1782">
        <f>SUM('Revenues 9-14'!C209,'Revenues 9-14'!D209,'Revenues 9-14'!F209,'Revenues 9-14'!G209)</f>
        <v>0</v>
      </c>
      <c r="G127" s="928"/>
    </row>
    <row r="128" spans="1:7" x14ac:dyDescent="0.2">
      <c r="A128" s="925" t="s">
        <v>668</v>
      </c>
      <c r="B128" s="925" t="s">
        <v>2020</v>
      </c>
      <c r="C128" s="930">
        <f>'Revenues 9-14'!B213</f>
        <v>4620</v>
      </c>
      <c r="D128" s="931" t="str">
        <f>'Revenues 9-14'!A213</f>
        <v>Fed - Spec Education - IDEA - Flow Through</v>
      </c>
      <c r="E128" s="904"/>
      <c r="F128" s="1782">
        <f>SUM('Revenues 9-14'!C213:D213,'Revenues 9-14'!F213:G213)</f>
        <v>2853628</v>
      </c>
      <c r="G128" s="928"/>
    </row>
    <row r="129" spans="1:7" x14ac:dyDescent="0.2">
      <c r="A129" s="925" t="s">
        <v>668</v>
      </c>
      <c r="B129" s="925" t="s">
        <v>2021</v>
      </c>
      <c r="C129" s="930">
        <f>'Revenues 9-14'!B214</f>
        <v>4625</v>
      </c>
      <c r="D129" s="931" t="str">
        <f>'Revenues 9-14'!A214</f>
        <v>Fed - Spec Education - IDEA - Room &amp; Board</v>
      </c>
      <c r="E129" s="904"/>
      <c r="F129" s="1782">
        <f>SUM('Revenues 9-14'!C214,'Revenues 9-14'!D214,'Revenues 9-14'!F214,'Revenues 9-14'!G214)</f>
        <v>0</v>
      </c>
      <c r="G129" s="928"/>
    </row>
    <row r="130" spans="1:7" x14ac:dyDescent="0.2">
      <c r="A130" s="925" t="s">
        <v>668</v>
      </c>
      <c r="B130" s="925" t="s">
        <v>2022</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2023</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2024</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2025</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2026</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2027</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2028</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2029</v>
      </c>
      <c r="C138" s="933" t="s">
        <v>212</v>
      </c>
      <c r="D138" s="934" t="str">
        <f>'Revenues 9-14'!A229</f>
        <v>ARRA - IDEA - Part B - Preschool</v>
      </c>
      <c r="E138" s="935"/>
      <c r="F138" s="1782">
        <v>0</v>
      </c>
      <c r="G138" s="903"/>
    </row>
    <row r="139" spans="1:7" s="865" customFormat="1" hidden="1" x14ac:dyDescent="0.2">
      <c r="A139" s="932" t="s">
        <v>206</v>
      </c>
      <c r="B139" s="932" t="s">
        <v>2030</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2031</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2032</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2033</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2034</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2035</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2036</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2037</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2038</v>
      </c>
      <c r="C157" s="938" t="s">
        <v>841</v>
      </c>
      <c r="D157" s="939" t="s">
        <v>777</v>
      </c>
      <c r="E157" s="940"/>
      <c r="F157" s="1782">
        <f>SUM(F133:F156)</f>
        <v>0</v>
      </c>
      <c r="G157" s="903"/>
    </row>
    <row r="158" spans="1:7" s="865" customFormat="1" x14ac:dyDescent="0.2">
      <c r="A158" s="936" t="s">
        <v>459</v>
      </c>
      <c r="B158" s="937" t="s">
        <v>2039</v>
      </c>
      <c r="C158" s="938" t="s">
        <v>1427</v>
      </c>
      <c r="D158" s="939" t="s">
        <v>1428</v>
      </c>
      <c r="E158" s="940"/>
      <c r="F158" s="1782">
        <f>SUM('Revenues 9-14'!C253)</f>
        <v>0</v>
      </c>
      <c r="G158" s="903"/>
    </row>
    <row r="159" spans="1:7" s="865" customFormat="1" x14ac:dyDescent="0.2">
      <c r="A159" s="936" t="s">
        <v>500</v>
      </c>
      <c r="B159" s="937" t="s">
        <v>2040</v>
      </c>
      <c r="C159" s="938" t="s">
        <v>1466</v>
      </c>
      <c r="D159" s="939" t="s">
        <v>1467</v>
      </c>
      <c r="E159" s="940"/>
      <c r="F159" s="1782">
        <f>SUM('Revenues 9-14'!C254:H254,'Revenues 9-14'!J254:K254)</f>
        <v>0</v>
      </c>
      <c r="G159" s="903"/>
    </row>
    <row r="160" spans="1:7" x14ac:dyDescent="0.2">
      <c r="A160" s="925" t="s">
        <v>5</v>
      </c>
      <c r="B160" s="925" t="s">
        <v>2041</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2042</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2043</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2044</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2045</v>
      </c>
      <c r="C164" s="930">
        <f>'Revenues 9-14'!B259</f>
        <v>4932</v>
      </c>
      <c r="D164" s="931" t="str">
        <f>'Revenues 9-14'!A259</f>
        <v>Title II - Teacher Quality</v>
      </c>
      <c r="E164" s="904"/>
      <c r="F164" s="1899">
        <f>SUM('Revenues 9-14'!C259,'Revenues 9-14'!D259,'Revenues 9-14'!F259,'Revenues 9-14'!G259)</f>
        <v>0</v>
      </c>
      <c r="G164" s="928"/>
    </row>
    <row r="165" spans="1:7" x14ac:dyDescent="0.2">
      <c r="A165" s="925" t="s">
        <v>668</v>
      </c>
      <c r="B165" s="925" t="s">
        <v>2046</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1991</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1992</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2047</v>
      </c>
      <c r="C168" s="930">
        <f>'Revenues 9-14'!B263</f>
        <v>4991</v>
      </c>
      <c r="D168" s="931" t="str">
        <f>'Revenues 9-14'!A263</f>
        <v>Medicaid Matching Funds - Administrative Outreach</v>
      </c>
      <c r="E168" s="904"/>
      <c r="F168" s="1782">
        <f>SUM('Revenues 9-14'!C263:D263,'Revenues 9-14'!F263:G263)</f>
        <v>148457</v>
      </c>
      <c r="G168" s="945">
        <v>6320</v>
      </c>
    </row>
    <row r="169" spans="1:7" x14ac:dyDescent="0.2">
      <c r="A169" s="925" t="s">
        <v>668</v>
      </c>
      <c r="B169" s="925" t="s">
        <v>2048</v>
      </c>
      <c r="C169" s="930">
        <f>'Revenues 9-14'!B264</f>
        <v>4992</v>
      </c>
      <c r="D169" s="931" t="str">
        <f>'Revenues 9-14'!A264</f>
        <v>Medicaid Matching Funds - Fee-for-Service Program</v>
      </c>
      <c r="E169" s="904"/>
      <c r="F169" s="1782">
        <f>SUM('Revenues 9-14'!C264:D264,'Revenues 9-14'!F264:G264)</f>
        <v>77341</v>
      </c>
      <c r="G169" s="945"/>
    </row>
    <row r="170" spans="1:7" x14ac:dyDescent="0.2">
      <c r="A170" s="946" t="s">
        <v>668</v>
      </c>
      <c r="B170" s="942" t="s">
        <v>2049</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1915</v>
      </c>
      <c r="C171" s="1912">
        <v>3100</v>
      </c>
      <c r="D171" s="1913" t="s">
        <v>1917</v>
      </c>
      <c r="E171" s="904"/>
      <c r="F171" s="1898"/>
      <c r="G171" s="925"/>
    </row>
    <row r="172" spans="1:7" x14ac:dyDescent="0.2">
      <c r="A172" s="1910" t="s">
        <v>664</v>
      </c>
      <c r="B172" s="1911" t="s">
        <v>1915</v>
      </c>
      <c r="C172" s="1912">
        <v>3300</v>
      </c>
      <c r="D172" s="1913" t="s">
        <v>1918</v>
      </c>
      <c r="E172" s="904"/>
      <c r="F172" s="1898"/>
      <c r="G172" s="925"/>
    </row>
    <row r="173" spans="1:7" ht="6" customHeight="1" x14ac:dyDescent="0.2">
      <c r="A173" s="925"/>
      <c r="B173" s="925"/>
      <c r="C173" s="947"/>
      <c r="D173" s="925"/>
      <c r="E173" s="904"/>
      <c r="F173" s="948"/>
      <c r="G173" s="945"/>
    </row>
    <row r="174" spans="1:7" x14ac:dyDescent="0.2">
      <c r="A174" s="1763"/>
      <c r="B174" s="1777"/>
      <c r="C174" s="1778"/>
      <c r="D174" s="1779" t="s">
        <v>2050</v>
      </c>
      <c r="E174" s="1780" t="s">
        <v>958</v>
      </c>
      <c r="F174" s="1781">
        <f>SUM(F84:F132,F157:F172)</f>
        <v>3079426</v>
      </c>
    </row>
    <row r="175" spans="1:7" ht="12" customHeight="1" x14ac:dyDescent="0.2">
      <c r="A175" s="1763"/>
      <c r="B175" s="1777"/>
      <c r="C175" s="1778"/>
      <c r="D175" s="1779" t="s">
        <v>2051</v>
      </c>
      <c r="E175" s="1780"/>
      <c r="F175" s="1782">
        <f>'PCTC-OEPP 27-28'!F77-F174</f>
        <v>10405501</v>
      </c>
    </row>
    <row r="176" spans="1:7" ht="12" customHeight="1" x14ac:dyDescent="0.2">
      <c r="A176" s="1763"/>
      <c r="B176" s="1777"/>
      <c r="C176" s="1778"/>
      <c r="D176" s="1779" t="s">
        <v>1813</v>
      </c>
      <c r="E176" s="1780"/>
      <c r="F176" s="1782">
        <f>'Cap Outlay Deprec 26'!I18</f>
        <v>33946</v>
      </c>
    </row>
    <row r="177" spans="1:7" ht="12" customHeight="1" x14ac:dyDescent="0.2">
      <c r="A177" s="1763"/>
      <c r="B177" s="1777"/>
      <c r="C177" s="1778"/>
      <c r="D177" s="1779" t="s">
        <v>2052</v>
      </c>
      <c r="E177" s="1780"/>
      <c r="F177" s="1782">
        <f>F175+F176</f>
        <v>10439447</v>
      </c>
    </row>
    <row r="178" spans="1:7" ht="12" customHeight="1" x14ac:dyDescent="0.2">
      <c r="A178" s="1763"/>
      <c r="B178" s="1783"/>
      <c r="C178" s="1778"/>
      <c r="D178" s="1779" t="str">
        <f>D78</f>
        <v>9 Month ADA from District Average Daily Attendance/Prior General State Aid Inquiry 2018-2019</v>
      </c>
      <c r="E178" s="1780"/>
      <c r="F178" s="1784">
        <f>'PCTC-OEPP 27-28'!F78</f>
        <v>0</v>
      </c>
      <c r="G178" s="928"/>
    </row>
    <row r="179" spans="1:7" ht="12" customHeight="1" thickBot="1" x14ac:dyDescent="0.25">
      <c r="A179" s="1763"/>
      <c r="B179" s="1783"/>
      <c r="C179" s="1778"/>
      <c r="D179" s="1779" t="s">
        <v>2053</v>
      </c>
      <c r="E179" s="1780" t="s">
        <v>1545</v>
      </c>
      <c r="F179" s="1785" t="e">
        <f>F177/F178</f>
        <v>#DIV/0!</v>
      </c>
      <c r="G179" s="854">
        <v>6323</v>
      </c>
    </row>
    <row r="180" spans="1:7" ht="12" thickTop="1" x14ac:dyDescent="0.2">
      <c r="B180" s="928"/>
      <c r="C180" s="947"/>
      <c r="D180" s="928"/>
      <c r="E180" s="947"/>
      <c r="F180" s="928"/>
      <c r="G180" s="949">
        <v>6326</v>
      </c>
    </row>
    <row r="181" spans="1:7" ht="12.4" customHeight="1" x14ac:dyDescent="0.2">
      <c r="A181" s="928" t="s">
        <v>1916</v>
      </c>
      <c r="B181" s="928"/>
      <c r="C181" s="947"/>
      <c r="D181" s="928"/>
      <c r="E181" s="947"/>
      <c r="F181" s="928"/>
      <c r="G181" s="928"/>
    </row>
    <row r="182" spans="1:7" s="1914" customFormat="1" ht="12.4" customHeight="1" x14ac:dyDescent="0.2">
      <c r="A182" s="1914" t="s">
        <v>1988</v>
      </c>
      <c r="B182" s="1915"/>
      <c r="C182" s="1916"/>
      <c r="D182" s="1915"/>
      <c r="E182" s="1916"/>
      <c r="F182" s="1915"/>
      <c r="G182" s="1915"/>
    </row>
    <row r="183" spans="1:7" s="1914" customFormat="1" ht="12.4" customHeight="1" x14ac:dyDescent="0.2">
      <c r="A183" s="1917" t="s">
        <v>1990</v>
      </c>
      <c r="C183" s="1916"/>
      <c r="D183" s="1915"/>
      <c r="E183" s="1916"/>
      <c r="F183" s="1915"/>
      <c r="G183" s="1915"/>
    </row>
    <row r="184" spans="1:7" ht="12" customHeight="1" x14ac:dyDescent="0.2">
      <c r="C184" s="947"/>
      <c r="D184" s="928"/>
      <c r="E184" s="947"/>
      <c r="F184" s="928"/>
      <c r="G184" s="928"/>
    </row>
    <row r="185" spans="1:7" x14ac:dyDescent="0.2">
      <c r="A185" s="1918" t="s">
        <v>1920</v>
      </c>
      <c r="B185" s="1919"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6"/>
  <sheetViews>
    <sheetView showGridLines="0" zoomScaleNormal="100" workbookViewId="0">
      <selection activeCell="D24" sqref="D24"/>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95" customHeight="1" x14ac:dyDescent="0.25">
      <c r="A4" s="2289" t="s">
        <v>1814</v>
      </c>
      <c r="B4" s="2290"/>
      <c r="C4" s="2290"/>
      <c r="D4" s="2290"/>
      <c r="E4" s="2290"/>
      <c r="F4" s="2290"/>
      <c r="G4" s="2291"/>
    </row>
    <row r="5" spans="1:7" x14ac:dyDescent="0.25">
      <c r="A5" s="2292"/>
      <c r="B5" s="2293"/>
      <c r="C5" s="2293"/>
      <c r="D5" s="2293"/>
      <c r="E5" s="2293"/>
      <c r="F5" s="2293"/>
      <c r="G5" s="2294"/>
    </row>
    <row r="6" spans="1:7" ht="18.75" x14ac:dyDescent="0.25">
      <c r="A6" s="1928" t="s">
        <v>2060</v>
      </c>
      <c r="B6" s="1929"/>
      <c r="C6" s="1929"/>
      <c r="D6" s="1929"/>
      <c r="E6" s="1929"/>
      <c r="F6" s="1929"/>
      <c r="G6" s="1930"/>
    </row>
    <row r="7" spans="1:7" ht="18.75" x14ac:dyDescent="0.25">
      <c r="A7" s="1531" t="s">
        <v>1815</v>
      </c>
      <c r="B7" s="1532"/>
      <c r="C7" s="1532"/>
      <c r="D7" s="1532"/>
      <c r="E7" s="1532"/>
      <c r="F7" s="1532"/>
      <c r="G7" s="1533"/>
    </row>
    <row r="8" spans="1:7" ht="30.75" customHeight="1" x14ac:dyDescent="0.25">
      <c r="A8" s="2295" t="s">
        <v>1927</v>
      </c>
      <c r="B8" s="2296"/>
      <c r="C8" s="2296"/>
      <c r="D8" s="2296"/>
      <c r="E8" s="2296"/>
      <c r="F8" s="2296"/>
      <c r="G8" s="2297"/>
    </row>
    <row r="9" spans="1:7" ht="15.75" customHeight="1" x14ac:dyDescent="0.25">
      <c r="A9" s="2298" t="s">
        <v>1902</v>
      </c>
      <c r="B9" s="2299"/>
      <c r="C9" s="2299"/>
      <c r="D9" s="2299"/>
      <c r="E9" s="2299"/>
      <c r="F9" s="2299"/>
      <c r="G9" s="2300"/>
    </row>
    <row r="10" spans="1:7" ht="35.25" customHeight="1" x14ac:dyDescent="0.25">
      <c r="A10" s="2295" t="s">
        <v>2059</v>
      </c>
      <c r="B10" s="2296"/>
      <c r="C10" s="2296"/>
      <c r="D10" s="2296"/>
      <c r="E10" s="2296"/>
      <c r="F10" s="2296"/>
      <c r="G10" s="2297"/>
    </row>
    <row r="11" spans="1:7" ht="15" customHeight="1" x14ac:dyDescent="0.25">
      <c r="A11" s="1534" t="s">
        <v>1816</v>
      </c>
      <c r="B11" s="1535"/>
      <c r="C11" s="1535"/>
      <c r="D11" s="1535"/>
      <c r="E11" s="1535"/>
      <c r="F11" s="1535"/>
      <c r="G11" s="1536"/>
    </row>
    <row r="12" spans="1:7" ht="17.25" customHeight="1" x14ac:dyDescent="0.25">
      <c r="A12" s="2295" t="s">
        <v>1929</v>
      </c>
      <c r="B12" s="2296"/>
      <c r="C12" s="2296"/>
      <c r="D12" s="2296"/>
      <c r="E12" s="2296"/>
      <c r="F12" s="2296"/>
      <c r="G12" s="2297"/>
    </row>
    <row r="13" spans="1:7" ht="15" customHeight="1" x14ac:dyDescent="0.25">
      <c r="A13" s="1534" t="s">
        <v>1821</v>
      </c>
      <c r="B13" s="1535"/>
      <c r="C13" s="1535"/>
      <c r="D13" s="1535"/>
      <c r="E13" s="1535"/>
      <c r="F13" s="1535"/>
      <c r="G13" s="1536"/>
    </row>
    <row r="14" spans="1:7" ht="32.25" customHeight="1" x14ac:dyDescent="0.25">
      <c r="A14" s="2286" t="s">
        <v>1970</v>
      </c>
      <c r="B14" s="2287"/>
      <c r="C14" s="2287"/>
      <c r="D14" s="2287"/>
      <c r="E14" s="2287"/>
      <c r="F14" s="2287"/>
      <c r="G14" s="2288"/>
    </row>
    <row r="15" spans="1:7" x14ac:dyDescent="0.25">
      <c r="A15" s="1656" t="s">
        <v>1829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49" t="s">
        <v>2164</v>
      </c>
      <c r="B18" s="1951" t="s">
        <v>2169</v>
      </c>
      <c r="C18" s="1950" t="s">
        <v>2163</v>
      </c>
      <c r="D18" s="1836">
        <v>450394</v>
      </c>
      <c r="E18" s="1537">
        <f t="shared" ref="E18:E36" si="0">IF(D18&lt;=25000,D18,IF(D18&gt;25000,25000,0))</f>
        <v>25000</v>
      </c>
      <c r="F18" s="1927">
        <f t="shared" ref="F18:F3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425394</v>
      </c>
      <c r="H18" s="1644"/>
    </row>
    <row r="19" spans="1:8" x14ac:dyDescent="0.25">
      <c r="A19" s="1949" t="s">
        <v>2166</v>
      </c>
      <c r="B19" s="1951" t="s">
        <v>2168</v>
      </c>
      <c r="C19" s="1950" t="s">
        <v>2165</v>
      </c>
      <c r="D19" s="1836">
        <v>106418</v>
      </c>
      <c r="E19" s="1537">
        <f t="shared" ref="E19:E35" si="2">IF(D19&lt;=25000,D19,IF(D19&gt;25000,25000,0))</f>
        <v>25000</v>
      </c>
      <c r="F19" s="1927">
        <f t="shared" si="1"/>
        <v>25000</v>
      </c>
      <c r="G19" s="1786">
        <f t="shared" ref="G19:G35" si="3">IF(F19=0,0,D19-F19)</f>
        <v>81418</v>
      </c>
    </row>
    <row r="20" spans="1:8" x14ac:dyDescent="0.25">
      <c r="A20" s="1949" t="s">
        <v>2166</v>
      </c>
      <c r="B20" s="1951" t="s">
        <v>2168</v>
      </c>
      <c r="C20" s="1952" t="s">
        <v>2167</v>
      </c>
      <c r="D20" s="1836">
        <v>55096</v>
      </c>
      <c r="E20" s="1537">
        <f t="shared" si="2"/>
        <v>25000</v>
      </c>
      <c r="F20" s="1927">
        <f t="shared" si="1"/>
        <v>25000</v>
      </c>
      <c r="G20" s="1786">
        <f t="shared" si="3"/>
        <v>30096</v>
      </c>
    </row>
    <row r="21" spans="1:8" x14ac:dyDescent="0.25">
      <c r="A21" s="1949" t="s">
        <v>2170</v>
      </c>
      <c r="B21" s="1951" t="s">
        <v>2171</v>
      </c>
      <c r="C21" s="1950" t="s">
        <v>2172</v>
      </c>
      <c r="D21" s="1836">
        <v>31682</v>
      </c>
      <c r="E21" s="1537">
        <f t="shared" si="2"/>
        <v>25000</v>
      </c>
      <c r="F21" s="1927">
        <f t="shared" si="1"/>
        <v>25000</v>
      </c>
      <c r="G21" s="1786">
        <f t="shared" si="3"/>
        <v>6682</v>
      </c>
    </row>
    <row r="22" spans="1:8" x14ac:dyDescent="0.25">
      <c r="A22" s="1933"/>
      <c r="B22" s="1934"/>
      <c r="C22" s="1935"/>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650"/>
      <c r="B34" s="1925"/>
      <c r="C34" s="1651"/>
      <c r="D34" s="1836"/>
      <c r="E34" s="1537">
        <f t="shared" si="2"/>
        <v>0</v>
      </c>
      <c r="F34" s="1927">
        <f t="shared" si="1"/>
        <v>0</v>
      </c>
      <c r="G34" s="1786">
        <f t="shared" si="3"/>
        <v>0</v>
      </c>
    </row>
    <row r="35" spans="1:7" x14ac:dyDescent="0.25">
      <c r="A35" s="1650"/>
      <c r="B35" s="1925"/>
      <c r="C35" s="1651"/>
      <c r="D35" s="1836"/>
      <c r="E35" s="1537">
        <f t="shared" si="2"/>
        <v>0</v>
      </c>
      <c r="F35" s="1927">
        <f t="shared" si="1"/>
        <v>0</v>
      </c>
      <c r="G35" s="1786">
        <f t="shared" si="3"/>
        <v>0</v>
      </c>
    </row>
    <row r="36" spans="1:7" x14ac:dyDescent="0.25">
      <c r="A36" s="1789" t="s">
        <v>156</v>
      </c>
      <c r="B36" s="1790"/>
      <c r="C36" s="1791"/>
      <c r="D36" s="1787">
        <f>SUM(D18:D35)</f>
        <v>643590</v>
      </c>
      <c r="E36" s="1538">
        <f t="shared" si="0"/>
        <v>25000</v>
      </c>
      <c r="F36" s="1924">
        <f>SUM(F18:F35)</f>
        <v>100000</v>
      </c>
      <c r="G36" s="1788">
        <f>SUM(G18:G35)</f>
        <v>543590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E15" sqref="E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301" t="s">
        <v>1679</v>
      </c>
      <c r="B5" s="2302"/>
      <c r="C5" s="2302"/>
      <c r="D5" s="2302"/>
      <c r="E5" s="2302"/>
      <c r="F5" s="2302"/>
      <c r="G5" s="2303"/>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v>110551</v>
      </c>
      <c r="F8" s="972"/>
      <c r="G8" s="973"/>
      <c r="H8" s="162"/>
      <c r="I8" s="162"/>
    </row>
    <row r="9" spans="1:9" s="666" customFormat="1" ht="12" customHeight="1" x14ac:dyDescent="0.2">
      <c r="A9" s="968" t="s">
        <v>130</v>
      </c>
      <c r="B9" s="969"/>
      <c r="C9" s="969"/>
      <c r="D9" s="970"/>
      <c r="E9" s="971">
        <v>18380</v>
      </c>
      <c r="F9" s="972"/>
      <c r="G9" s="973"/>
      <c r="H9" s="162"/>
      <c r="I9" s="162"/>
    </row>
    <row r="10" spans="1:9" s="666" customFormat="1" ht="12" customHeight="1" x14ac:dyDescent="0.2">
      <c r="A10" s="968" t="s">
        <v>1928</v>
      </c>
      <c r="B10" s="969"/>
      <c r="C10" s="974"/>
      <c r="D10" s="970"/>
      <c r="E10" s="971"/>
      <c r="F10" s="972"/>
      <c r="G10" s="973"/>
      <c r="H10" s="162"/>
      <c r="I10" s="162"/>
    </row>
    <row r="11" spans="1:9" s="666" customFormat="1" ht="22.7" customHeight="1" x14ac:dyDescent="0.2">
      <c r="A11" s="2306" t="s">
        <v>1971</v>
      </c>
      <c r="B11" s="2307"/>
      <c r="C11" s="2307"/>
      <c r="D11" s="2308"/>
      <c r="E11" s="975"/>
      <c r="F11" s="972"/>
      <c r="G11" s="976"/>
      <c r="H11" s="162"/>
      <c r="I11" s="162"/>
    </row>
    <row r="12" spans="1:9" s="666" customFormat="1" ht="12" customHeight="1" x14ac:dyDescent="0.2">
      <c r="A12" s="968" t="s">
        <v>131</v>
      </c>
      <c r="B12" s="969"/>
      <c r="C12" s="969"/>
      <c r="D12" s="970"/>
      <c r="E12" s="971">
        <v>2355</v>
      </c>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v>31682</v>
      </c>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9365851</v>
      </c>
      <c r="F19" s="1792"/>
      <c r="G19" s="1794">
        <f>'Expenditures 15-22'!K33-SUM('Expenditures 15-22'!G33,'Expenditures 15-22'!I33)+'Expenditures 15-22'!D229</f>
        <v>9365851</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3190746</v>
      </c>
      <c r="F21" s="1795"/>
      <c r="G21" s="1798">
        <f>'Expenditures 15-22'!K42-SUM('Expenditures 15-22'!G42,'Expenditures 15-22'!I42)+'Expenditures 15-22'!K120-SUM('Expenditures 15-22'!G120,'Expenditures 15-22'!I120)+'Expenditures 15-22'!K180-SUM('Expenditures 15-22'!G180,'Expenditures 15-22'!I180)+'Expenditures 15-22'!D238</f>
        <v>3190746</v>
      </c>
      <c r="H21" s="985"/>
      <c r="I21" s="162"/>
    </row>
    <row r="22" spans="1:9" s="666" customFormat="1" ht="12" customHeight="1" x14ac:dyDescent="0.2">
      <c r="A22" s="992" t="s">
        <v>564</v>
      </c>
      <c r="B22" s="993"/>
      <c r="C22" s="991">
        <v>2200</v>
      </c>
      <c r="D22" s="1795"/>
      <c r="E22" s="1797">
        <f>'Expenditures 15-22'!K47-SUM('Expenditures 15-22'!G47,'Expenditures 15-22'!I47)+'Expenditures 15-22'!D243</f>
        <v>108469</v>
      </c>
      <c r="F22" s="1795"/>
      <c r="G22" s="1798">
        <f>'Expenditures 15-22'!K47-SUM('Expenditures 15-22'!G47,'Expenditures 15-22'!I47)+'Expenditures 15-22'!D243</f>
        <v>108469</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1231361</v>
      </c>
      <c r="F23" s="1795"/>
      <c r="G23" s="1797">
        <f>'Expenditures 15-22'!K53-SUM('Expenditures 15-22'!G53,'Expenditures 15-22'!I53)+'Expenditures 15-22'!D257+'Expenditures 15-22'!K330-SUM('Expenditures 15-22'!G330,'Expenditures 15-22'!I330)</f>
        <v>1231361</v>
      </c>
      <c r="H23" s="985"/>
      <c r="I23" s="162"/>
    </row>
    <row r="24" spans="1:9" s="666" customFormat="1" ht="12" customHeight="1" x14ac:dyDescent="0.2">
      <c r="A24" s="992" t="s">
        <v>566</v>
      </c>
      <c r="B24" s="993"/>
      <c r="C24" s="991">
        <v>2400</v>
      </c>
      <c r="D24" s="1795"/>
      <c r="E24" s="1797">
        <f>'Expenditures 15-22'!K57-SUM('Expenditures 15-22'!G57,'Expenditures 15-22'!I57)+'Expenditures 15-22'!D261</f>
        <v>0</v>
      </c>
      <c r="F24" s="1795"/>
      <c r="G24" s="1798">
        <f>'Expenditures 15-22'!K57-SUM('Expenditures 15-22'!G57,'Expenditures 15-22'!I57)+'Expenditures 15-22'!D261</f>
        <v>0</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862</v>
      </c>
      <c r="E27" s="1797">
        <f>E8</f>
        <v>110551</v>
      </c>
      <c r="F27" s="1797">
        <f>'Expenditures 15-22'!K60-SUM('Expenditures 15-22'!G60,'Expenditures 15-22'!I60)+'Expenditures 15-22'!D264-E8</f>
        <v>862</v>
      </c>
      <c r="G27" s="1798">
        <f>E8</f>
        <v>110551</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19974</v>
      </c>
      <c r="F28" s="1799">
        <f>'Expenditures 15-22'!K61-SUM('Expenditures 15-22'!G61,'Expenditures 15-22'!I61)+'Expenditures 15-22'!K124-SUM('Expenditures 15-22'!G124,'Expenditures 15-22'!I124)+'Expenditures 15-22'!D266-E9</f>
        <v>1594</v>
      </c>
      <c r="G28" s="1798">
        <f>E9</f>
        <v>18380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120</v>
      </c>
      <c r="F29" s="1795"/>
      <c r="G29" s="1798">
        <f>'Expenditures 15-22'!K62-SUM('Expenditures 15-22'!G62,'Expenditures 15-22'!I62)+'Expenditures 15-22'!K125-SUM('Expenditures 15-22'!G125,'Expenditures 15-22'!I125)+'Expenditures 15-22'!K182-SUM('Expenditures 15-22'!G182,'Expenditures 15-22'!I182)+'Expenditures 15-22'!D267</f>
        <v>120</v>
      </c>
      <c r="H29" s="983"/>
    </row>
    <row r="30" spans="1:9" ht="12" customHeight="1" x14ac:dyDescent="0.2">
      <c r="A30" s="992" t="s">
        <v>100</v>
      </c>
      <c r="B30" s="995"/>
      <c r="C30" s="991">
        <v>2560</v>
      </c>
      <c r="D30" s="1795"/>
      <c r="E30" s="1797">
        <f>'Expenditures 15-22'!K63-SUM('Expenditures 15-22'!G63,'Expenditures 15-22'!I63)+'Expenditures 15-22'!D268-E10</f>
        <v>0</v>
      </c>
      <c r="F30" s="1795"/>
      <c r="G30" s="1797">
        <f>'Expenditures 15-22'!K63-SUM('Expenditures 15-22'!G63,'Expenditures 15-22'!I63)+'Expenditures 15-22'!D268-E10</f>
        <v>0</v>
      </c>
    </row>
    <row r="31" spans="1:9" ht="12" customHeight="1" x14ac:dyDescent="0.2">
      <c r="A31" s="992" t="s">
        <v>101</v>
      </c>
      <c r="B31" s="995"/>
      <c r="C31" s="991">
        <v>2570</v>
      </c>
      <c r="D31" s="1797">
        <f>'Expenditures 15-22'!K64-SUM('Expenditures 15-22'!G64,'Expenditures 15-22'!I64)+'Expenditures 15-22'!D269-E12</f>
        <v>0</v>
      </c>
      <c r="E31" s="1797">
        <f>E12</f>
        <v>2355</v>
      </c>
      <c r="F31" s="1797">
        <f>'Expenditures 15-22'!K64-SUM('Expenditures 15-22'!G64,'Expenditures 15-22'!I64)+'Expenditures 15-22'!D269-E12</f>
        <v>0</v>
      </c>
      <c r="G31" s="1797">
        <f>E12</f>
        <v>2355</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0</v>
      </c>
      <c r="E37" s="1797">
        <f>E14</f>
        <v>31682</v>
      </c>
      <c r="F37" s="1797">
        <f>'Expenditures 15-22'!K71-SUM('Expenditures 15-22'!G71,'Expenditures 15-22'!I71)+'Expenditures 15-22'!D276-E14</f>
        <v>0</v>
      </c>
      <c r="G37" s="1797">
        <f>E14</f>
        <v>31682</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0</v>
      </c>
      <c r="F39" s="1795"/>
      <c r="G39" s="179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1819</v>
      </c>
      <c r="B40" s="989"/>
      <c r="C40" s="991"/>
      <c r="D40" s="1795"/>
      <c r="E40" s="1799">
        <f>-'Contracts Paid in CY 29'!G36</f>
        <v>-543590</v>
      </c>
      <c r="F40" s="1795"/>
      <c r="G40" s="1799">
        <f>-'Contracts Paid in CY 29'!G36</f>
        <v>-543590</v>
      </c>
    </row>
    <row r="41" spans="1:7" ht="12" customHeight="1" x14ac:dyDescent="0.2">
      <c r="A41" s="996" t="s">
        <v>156</v>
      </c>
      <c r="B41" s="997"/>
      <c r="C41" s="998"/>
      <c r="D41" s="1799">
        <f>SUM(D19:D39)</f>
        <v>862</v>
      </c>
      <c r="E41" s="1799">
        <f>SUM(E19:E40)</f>
        <v>13517519</v>
      </c>
      <c r="F41" s="1799">
        <f>SUM(F19:F39)</f>
        <v>2456</v>
      </c>
      <c r="G41" s="1799">
        <f>SUM(G19:G40)</f>
        <v>13515925</v>
      </c>
    </row>
    <row r="42" spans="1:7" x14ac:dyDescent="0.2">
      <c r="A42" s="985"/>
      <c r="B42" s="162"/>
      <c r="C42" s="999"/>
      <c r="D42" s="2304" t="s">
        <v>522</v>
      </c>
      <c r="E42" s="2305"/>
      <c r="F42" s="1000" t="s">
        <v>523</v>
      </c>
      <c r="G42" s="1001"/>
    </row>
    <row r="43" spans="1:7" ht="12" customHeight="1" x14ac:dyDescent="0.2">
      <c r="A43" s="985"/>
      <c r="B43" s="162"/>
      <c r="C43" s="999"/>
      <c r="D43" s="1800" t="s">
        <v>473</v>
      </c>
      <c r="E43" s="1801">
        <f>D41</f>
        <v>862</v>
      </c>
      <c r="F43" s="1800" t="s">
        <v>473</v>
      </c>
      <c r="G43" s="1801">
        <f>F41</f>
        <v>2456</v>
      </c>
    </row>
    <row r="44" spans="1:7" ht="12" customHeight="1" x14ac:dyDescent="0.2">
      <c r="A44" s="985"/>
      <c r="B44" s="162"/>
      <c r="C44" s="999"/>
      <c r="D44" s="1800" t="s">
        <v>474</v>
      </c>
      <c r="E44" s="1801">
        <f>E41</f>
        <v>13517519</v>
      </c>
      <c r="F44" s="1800" t="s">
        <v>474</v>
      </c>
      <c r="G44" s="1801">
        <f>G41</f>
        <v>13515925</v>
      </c>
    </row>
    <row r="45" spans="1:7" ht="12" customHeight="1" x14ac:dyDescent="0.2">
      <c r="A45" s="985"/>
      <c r="B45" s="162"/>
      <c r="C45" s="162"/>
      <c r="D45" s="1802" t="s">
        <v>1006</v>
      </c>
      <c r="E45" s="1803">
        <f>(E43/E44)</f>
        <v>6.3769098456602875E-5</v>
      </c>
      <c r="F45" s="1802" t="s">
        <v>1006</v>
      </c>
      <c r="G45" s="1803">
        <f>(G43/G44)</f>
        <v>1.8171157356969649E-4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N17" sqref="N17"/>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7.5703125" style="1870" bestFit="1" customWidth="1"/>
    <col min="9" max="9" width="4" style="1870" bestFit="1" customWidth="1"/>
    <col min="10" max="10" width="2.7109375" style="1870" bestFit="1" customWidth="1"/>
    <col min="11" max="11" width="9" style="1870" customWidth="1"/>
    <col min="12" max="16384" width="9.140625" style="1839"/>
  </cols>
  <sheetData>
    <row r="1" spans="1:10" x14ac:dyDescent="0.2">
      <c r="A1" s="2312" t="s">
        <v>1379</v>
      </c>
      <c r="B1" s="2312"/>
      <c r="C1" s="2312"/>
      <c r="D1" s="2312"/>
      <c r="E1" s="2312"/>
      <c r="F1" s="2312"/>
    </row>
    <row r="2" spans="1:10" x14ac:dyDescent="0.2">
      <c r="A2" s="1879" t="s">
        <v>1907</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313" t="s">
        <v>1546</v>
      </c>
      <c r="B5" s="2314"/>
      <c r="C5" s="2315"/>
      <c r="D5" s="2315"/>
      <c r="E5" s="2315"/>
      <c r="F5" s="2315"/>
    </row>
    <row r="6" spans="1:10" ht="12" customHeight="1" x14ac:dyDescent="0.25">
      <c r="A6" s="1842"/>
      <c r="B6" s="1843"/>
      <c r="C6" s="2316" t="str">
        <f>COVER!A17</f>
        <v>Mid-State Spec Educ Jnt Agr</v>
      </c>
      <c r="D6" s="2316"/>
      <c r="E6" s="2316"/>
      <c r="F6" s="1844"/>
    </row>
    <row r="7" spans="1:10" ht="11.25" customHeight="1" thickBot="1" x14ac:dyDescent="0.3">
      <c r="A7" s="1842"/>
      <c r="B7" s="1843"/>
      <c r="C7" s="2317">
        <f>COVER!A13</f>
        <v>3011801060</v>
      </c>
      <c r="D7" s="2317"/>
      <c r="E7" s="2317"/>
      <c r="F7" s="1844"/>
    </row>
    <row r="8" spans="1:10" ht="25.5" customHeight="1" thickBot="1" x14ac:dyDescent="0.25">
      <c r="A8" s="1885" t="s">
        <v>1903</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9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t="s">
        <v>2061</v>
      </c>
      <c r="D12" s="1857" t="s">
        <v>2061</v>
      </c>
      <c r="E12" s="1860"/>
      <c r="F12" s="1859" t="s">
        <v>2084</v>
      </c>
      <c r="H12" s="1870">
        <f t="shared" ref="H12:H33" si="0">IF(C12="X",5,0)</f>
        <v>5</v>
      </c>
      <c r="I12" s="1870">
        <f t="shared" ref="I12:I33" si="1">IF(D12="X",5,0)</f>
        <v>5</v>
      </c>
      <c r="J12" s="1870">
        <f t="shared" ref="J12:J33" si="2">IF(E12="X",5,0)</f>
        <v>0</v>
      </c>
    </row>
    <row r="13" spans="1:10" ht="12" customHeight="1" x14ac:dyDescent="0.2">
      <c r="A13" s="1855" t="s">
        <v>1385</v>
      </c>
      <c r="B13" s="1856"/>
      <c r="C13" s="1857"/>
      <c r="D13" s="1857"/>
      <c r="E13" s="1860"/>
      <c r="F13" s="1859"/>
      <c r="H13" s="1870">
        <f t="shared" si="0"/>
        <v>0</v>
      </c>
      <c r="I13" s="1870">
        <f t="shared" si="1"/>
        <v>0</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t="s">
        <v>2061</v>
      </c>
      <c r="D15" s="1857" t="s">
        <v>2061</v>
      </c>
      <c r="E15" s="1860"/>
      <c r="F15" s="1859" t="s">
        <v>2085</v>
      </c>
      <c r="H15" s="1870">
        <f t="shared" si="0"/>
        <v>5</v>
      </c>
      <c r="I15" s="1870">
        <f t="shared" si="1"/>
        <v>5</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t="s">
        <v>2061</v>
      </c>
      <c r="D18" s="1857" t="s">
        <v>2061</v>
      </c>
      <c r="E18" s="1860"/>
      <c r="F18" s="1859" t="s">
        <v>2086</v>
      </c>
      <c r="H18" s="1870">
        <f t="shared" si="0"/>
        <v>5</v>
      </c>
      <c r="I18" s="1870">
        <f t="shared" si="1"/>
        <v>5</v>
      </c>
      <c r="J18" s="1870">
        <f t="shared" si="2"/>
        <v>0</v>
      </c>
    </row>
    <row r="19" spans="1:12" ht="12" customHeight="1" x14ac:dyDescent="0.2">
      <c r="A19" s="1855" t="s">
        <v>1527</v>
      </c>
      <c r="B19" s="1856"/>
      <c r="C19" s="1857" t="s">
        <v>2061</v>
      </c>
      <c r="D19" s="1857" t="s">
        <v>2061</v>
      </c>
      <c r="E19" s="1860"/>
      <c r="F19" s="1859" t="s">
        <v>2087</v>
      </c>
      <c r="H19" s="1870">
        <f t="shared" si="0"/>
        <v>5</v>
      </c>
      <c r="I19" s="1870">
        <f t="shared" si="1"/>
        <v>5</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t="s">
        <v>2088</v>
      </c>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c r="D24" s="1857"/>
      <c r="E24" s="1860"/>
      <c r="F24" s="1859"/>
      <c r="H24" s="1870">
        <f t="shared" si="0"/>
        <v>0</v>
      </c>
      <c r="I24" s="1870">
        <f t="shared" si="1"/>
        <v>0</v>
      </c>
      <c r="J24" s="1870">
        <f t="shared" si="2"/>
        <v>0</v>
      </c>
    </row>
    <row r="25" spans="1:12" ht="12" customHeight="1" x14ac:dyDescent="0.2">
      <c r="A25" s="1855" t="s">
        <v>1533</v>
      </c>
      <c r="B25" s="1856"/>
      <c r="C25" s="1857" t="s">
        <v>2061</v>
      </c>
      <c r="D25" s="1857" t="s">
        <v>2061</v>
      </c>
      <c r="E25" s="1860"/>
      <c r="F25" s="1859" t="s">
        <v>2089</v>
      </c>
      <c r="H25" s="1870">
        <f t="shared" si="0"/>
        <v>5</v>
      </c>
      <c r="I25" s="1870">
        <f t="shared" si="1"/>
        <v>5</v>
      </c>
      <c r="J25" s="1870">
        <f t="shared" si="2"/>
        <v>0</v>
      </c>
    </row>
    <row r="26" spans="1:12" ht="12" customHeight="1" x14ac:dyDescent="0.2">
      <c r="A26" s="1855" t="s">
        <v>1534</v>
      </c>
      <c r="B26" s="1856"/>
      <c r="C26" s="1857"/>
      <c r="D26" s="1857"/>
      <c r="E26" s="1860"/>
      <c r="F26" s="1859"/>
      <c r="H26" s="1870">
        <f t="shared" si="0"/>
        <v>0</v>
      </c>
      <c r="I26" s="1870">
        <f t="shared" si="1"/>
        <v>0</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c r="D28" s="1857"/>
      <c r="E28" s="1860"/>
      <c r="F28" s="1859"/>
      <c r="H28" s="1870">
        <f t="shared" si="0"/>
        <v>0</v>
      </c>
      <c r="I28" s="1870">
        <f t="shared" si="1"/>
        <v>0</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t="s">
        <v>2061</v>
      </c>
      <c r="D30" s="1857" t="s">
        <v>2061</v>
      </c>
      <c r="E30" s="1860"/>
      <c r="F30" s="1859" t="s">
        <v>2090</v>
      </c>
      <c r="H30" s="1870">
        <f t="shared" si="0"/>
        <v>5</v>
      </c>
      <c r="I30" s="1870">
        <f t="shared" si="1"/>
        <v>5</v>
      </c>
      <c r="J30" s="1870">
        <f t="shared" si="2"/>
        <v>0</v>
      </c>
    </row>
    <row r="31" spans="1:12" ht="12" customHeight="1" x14ac:dyDescent="0.2">
      <c r="A31" s="1855" t="s">
        <v>1539</v>
      </c>
      <c r="B31" s="1856"/>
      <c r="C31" s="1857"/>
      <c r="D31" s="1857"/>
      <c r="E31" s="1860"/>
      <c r="F31" s="1859"/>
      <c r="H31" s="1870">
        <f t="shared" si="0"/>
        <v>0</v>
      </c>
      <c r="I31" s="1870">
        <f t="shared" si="1"/>
        <v>0</v>
      </c>
      <c r="J31" s="1870">
        <f t="shared" si="2"/>
        <v>0</v>
      </c>
      <c r="L31" s="1861"/>
    </row>
    <row r="32" spans="1:12" ht="12" customHeight="1" x14ac:dyDescent="0.2">
      <c r="A32" s="1855" t="s">
        <v>1540</v>
      </c>
      <c r="B32" s="1856"/>
      <c r="C32" s="1857"/>
      <c r="D32" s="1857"/>
      <c r="E32" s="1860"/>
      <c r="F32" s="1859"/>
      <c r="H32" s="1870">
        <f t="shared" si="0"/>
        <v>0</v>
      </c>
      <c r="I32" s="1870">
        <f t="shared" si="1"/>
        <v>0</v>
      </c>
      <c r="J32" s="1870">
        <f t="shared" si="2"/>
        <v>0</v>
      </c>
    </row>
    <row r="33" spans="1:11" ht="12" customHeight="1" x14ac:dyDescent="0.2">
      <c r="A33" s="1855" t="s">
        <v>1541</v>
      </c>
      <c r="B33" s="1856"/>
      <c r="C33" s="1857" t="s">
        <v>2061</v>
      </c>
      <c r="D33" s="1857" t="s">
        <v>2061</v>
      </c>
      <c r="E33" s="1860"/>
      <c r="F33" s="1859" t="s">
        <v>2091</v>
      </c>
      <c r="H33" s="1870">
        <f t="shared" si="0"/>
        <v>5</v>
      </c>
      <c r="I33" s="1870">
        <f t="shared" si="1"/>
        <v>5</v>
      </c>
      <c r="J33" s="1870">
        <f t="shared" si="2"/>
        <v>0</v>
      </c>
    </row>
    <row r="34" spans="1:11" ht="12" customHeight="1" x14ac:dyDescent="0.25">
      <c r="A34" s="1862"/>
      <c r="B34" s="1862"/>
      <c r="C34" s="1862"/>
      <c r="D34" s="1862"/>
      <c r="E34" s="1862"/>
      <c r="F34" s="1862"/>
      <c r="H34" s="1870">
        <f>SUM(H11:H32)</f>
        <v>30</v>
      </c>
      <c r="I34" s="1870">
        <f>SUM(I11:I32)</f>
        <v>30</v>
      </c>
      <c r="J34" s="1870">
        <f>SUM(J11:J32)</f>
        <v>0</v>
      </c>
      <c r="K34" s="1870">
        <f>SUM(H34:J34)</f>
        <v>60</v>
      </c>
    </row>
    <row r="35" spans="1:11" ht="12" customHeight="1" x14ac:dyDescent="0.2">
      <c r="A35" s="1863" t="s">
        <v>1392</v>
      </c>
      <c r="B35" s="1864"/>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7" hidden="1" customHeight="1" x14ac:dyDescent="0.2">
      <c r="A39" s="1865"/>
      <c r="B39" s="1865"/>
      <c r="C39" s="1865"/>
      <c r="D39" s="1865"/>
      <c r="E39" s="1865"/>
      <c r="F39" s="1865"/>
    </row>
    <row r="40" spans="1:11" s="1862" customFormat="1" ht="12" customHeight="1" x14ac:dyDescent="0.25">
      <c r="A40" s="1866" t="s">
        <v>1391</v>
      </c>
      <c r="B40" s="1867"/>
      <c r="C40" s="2326"/>
      <c r="D40" s="2326"/>
      <c r="E40" s="2326"/>
      <c r="F40" s="2327"/>
      <c r="H40" s="1871"/>
      <c r="I40" s="1871"/>
      <c r="J40" s="1871"/>
      <c r="K40" s="1871"/>
    </row>
    <row r="41" spans="1:11" s="1862" customFormat="1" ht="12" customHeight="1" x14ac:dyDescent="0.25">
      <c r="A41" s="2328"/>
      <c r="B41" s="2329"/>
      <c r="C41" s="2329"/>
      <c r="D41" s="2329"/>
      <c r="E41" s="2329"/>
      <c r="F41" s="2330"/>
      <c r="H41" s="1871"/>
      <c r="I41" s="1871"/>
      <c r="J41" s="1871"/>
      <c r="K41" s="1871"/>
    </row>
    <row r="42" spans="1:11" s="1862" customFormat="1" ht="12" customHeight="1" x14ac:dyDescent="0.25">
      <c r="A42" s="2328"/>
      <c r="B42" s="2329"/>
      <c r="C42" s="2329"/>
      <c r="D42" s="2329"/>
      <c r="E42" s="2329"/>
      <c r="F42" s="2330"/>
      <c r="H42" s="1871"/>
      <c r="I42" s="1871"/>
      <c r="J42" s="1871"/>
      <c r="K42" s="1871"/>
    </row>
    <row r="43" spans="1:11" s="1862" customFormat="1" ht="15" x14ac:dyDescent="0.25">
      <c r="A43" s="2320"/>
      <c r="B43" s="2321"/>
      <c r="C43" s="2321"/>
      <c r="D43" s="2321"/>
      <c r="E43" s="2321"/>
      <c r="F43" s="2322"/>
      <c r="H43" s="1871"/>
      <c r="I43" s="1871"/>
      <c r="J43" s="1871"/>
      <c r="K43" s="1871"/>
    </row>
    <row r="44" spans="1:11" s="1862" customFormat="1" ht="12" hidden="1" customHeight="1" x14ac:dyDescent="0.25">
      <c r="A44" s="2320"/>
      <c r="B44" s="2321"/>
      <c r="C44" s="2321"/>
      <c r="D44" s="2321"/>
      <c r="E44" s="2321"/>
      <c r="F44" s="2322"/>
      <c r="H44" s="1871"/>
      <c r="I44" s="1871"/>
      <c r="J44" s="1871"/>
      <c r="K44" s="1871"/>
    </row>
    <row r="45" spans="1:11" s="1862" customFormat="1" ht="12" customHeight="1" x14ac:dyDescent="0.25">
      <c r="H45" s="1871"/>
      <c r="I45" s="1871"/>
      <c r="J45" s="1871"/>
      <c r="K45" s="1871"/>
    </row>
    <row r="46" spans="1:11" s="1862" customFormat="1" ht="9.9499999999999993" customHeight="1" x14ac:dyDescent="0.25">
      <c r="H46" s="1871"/>
      <c r="I46" s="1871"/>
      <c r="J46" s="1871"/>
      <c r="K46" s="1871"/>
    </row>
    <row r="47" spans="1:11" s="1862" customFormat="1" ht="13.7"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2" sqref="H12"/>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4" customHeight="1" x14ac:dyDescent="0.2">
      <c r="F5" s="1012"/>
    </row>
    <row r="6" spans="1:17" x14ac:dyDescent="0.2">
      <c r="A6" s="1886" t="s">
        <v>672</v>
      </c>
      <c r="B6" s="1639"/>
      <c r="C6" s="1639"/>
      <c r="D6" s="1639"/>
      <c r="E6" s="1640"/>
      <c r="F6" s="1013"/>
      <c r="G6" s="1007"/>
      <c r="H6" s="1014" t="s">
        <v>1028</v>
      </c>
      <c r="I6" s="2336" t="str">
        <f>COVER!A17</f>
        <v>Mid-State Spec Educ Jnt Agr</v>
      </c>
      <c r="J6" s="2337"/>
      <c r="Q6" s="1659"/>
    </row>
    <row r="7" spans="1:17" x14ac:dyDescent="0.2">
      <c r="A7" s="2338" t="s">
        <v>869</v>
      </c>
      <c r="B7" s="2339"/>
      <c r="C7" s="2339"/>
      <c r="D7" s="2339"/>
      <c r="E7" s="2340"/>
      <c r="F7" s="1015"/>
      <c r="G7" s="1007"/>
      <c r="H7" s="1014" t="s">
        <v>372</v>
      </c>
      <c r="I7" s="2341">
        <f>COVER!A13</f>
        <v>3011801060</v>
      </c>
      <c r="J7" s="2341"/>
    </row>
    <row r="8" spans="1:17" ht="8.25" customHeight="1" x14ac:dyDescent="0.2">
      <c r="A8" s="1641"/>
      <c r="B8" s="1642"/>
      <c r="C8" s="1642"/>
      <c r="D8" s="1642"/>
      <c r="E8" s="1643"/>
      <c r="F8" s="1016"/>
      <c r="G8" s="1017"/>
      <c r="H8" s="1017"/>
      <c r="I8" s="1017"/>
      <c r="J8" s="1017"/>
    </row>
    <row r="9" spans="1:17" ht="13.7" customHeight="1" x14ac:dyDescent="0.2">
      <c r="A9" s="1018"/>
      <c r="B9" s="1019"/>
      <c r="C9" s="1019"/>
      <c r="D9" s="1020"/>
      <c r="E9" s="1887" t="s">
        <v>1973</v>
      </c>
      <c r="F9" s="1021"/>
      <c r="G9" s="1021"/>
      <c r="H9" s="1888" t="s">
        <v>1974</v>
      </c>
      <c r="I9" s="1021"/>
      <c r="J9" s="1022"/>
    </row>
    <row r="10" spans="1:17" s="1030" customFormat="1" ht="13.7"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42" t="s">
        <v>481</v>
      </c>
      <c r="B11" s="2343"/>
      <c r="C11" s="2344"/>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1231361</v>
      </c>
      <c r="F12" s="1037"/>
      <c r="G12" s="1804">
        <f t="shared" ref="G12:G18" si="0">SUM(E12:F12)</f>
        <v>1231361</v>
      </c>
      <c r="H12" s="1038"/>
      <c r="I12" s="1037"/>
      <c r="J12" s="1804">
        <f t="shared" ref="J12:J18" si="1">SUM(H12:I12)</f>
        <v>0</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2355</v>
      </c>
      <c r="F16" s="1037"/>
      <c r="G16" s="1804">
        <f t="shared" si="0"/>
        <v>2355</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7" customHeight="1" x14ac:dyDescent="0.2">
      <c r="A18" s="1040">
        <v>7</v>
      </c>
      <c r="B18" s="2345" t="s">
        <v>7</v>
      </c>
      <c r="C18" s="2346"/>
      <c r="D18" s="2347"/>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1233716</v>
      </c>
      <c r="F19" s="1806">
        <f t="shared" si="2"/>
        <v>0</v>
      </c>
      <c r="G19" s="1806">
        <f t="shared" si="2"/>
        <v>1233716</v>
      </c>
      <c r="H19" s="1806">
        <f t="shared" si="2"/>
        <v>0</v>
      </c>
      <c r="I19" s="1806">
        <f t="shared" si="2"/>
        <v>0</v>
      </c>
      <c r="J19" s="1806">
        <f t="shared" si="2"/>
        <v>0</v>
      </c>
    </row>
    <row r="20" spans="1:10" ht="13.5" thickTop="1" x14ac:dyDescent="0.2">
      <c r="A20" s="1033">
        <v>9</v>
      </c>
      <c r="B20" s="2348" t="s">
        <v>1975</v>
      </c>
      <c r="C20" s="2348"/>
      <c r="D20" s="2349"/>
      <c r="E20" s="1044"/>
      <c r="F20" s="1044"/>
      <c r="G20" s="1044"/>
      <c r="H20" s="1044"/>
      <c r="I20" s="1044"/>
      <c r="J20" s="1807" t="str">
        <f>IF(AND(G19&gt;0,J19&gt;0),(((J19-G19)/G19)),"Enter Budget Data")</f>
        <v>Enter Budget Data</v>
      </c>
    </row>
    <row r="21" spans="1:10" ht="9" customHeight="1" x14ac:dyDescent="0.2">
      <c r="B21" s="1045"/>
    </row>
    <row r="22" spans="1:10" x14ac:dyDescent="0.2">
      <c r="A22" s="1046" t="s">
        <v>133</v>
      </c>
      <c r="B22" s="1045"/>
    </row>
    <row r="23" spans="1:10" x14ac:dyDescent="0.2">
      <c r="A23" s="1009" t="s">
        <v>1976</v>
      </c>
      <c r="B23" s="1045"/>
    </row>
    <row r="24" spans="1:10" x14ac:dyDescent="0.2">
      <c r="A24" s="1009" t="s">
        <v>1989</v>
      </c>
      <c r="B24" s="1045"/>
    </row>
    <row r="25" spans="1:10" x14ac:dyDescent="0.2">
      <c r="A25" s="1047"/>
      <c r="B25" s="1045"/>
    </row>
    <row r="26" spans="1:10" ht="20.100000000000001" customHeight="1" x14ac:dyDescent="0.2">
      <c r="B26" s="1045"/>
      <c r="C26" s="2354"/>
      <c r="D26" s="2354"/>
      <c r="E26" s="1048"/>
      <c r="F26" s="2353"/>
      <c r="G26" s="2353"/>
    </row>
    <row r="27" spans="1:10" x14ac:dyDescent="0.2">
      <c r="B27" s="1045"/>
      <c r="C27" s="1049" t="s">
        <v>1033</v>
      </c>
      <c r="D27" s="1050"/>
      <c r="E27" s="1051"/>
      <c r="F27" s="2350" t="s">
        <v>1509</v>
      </c>
      <c r="G27" s="2350"/>
    </row>
    <row r="28" spans="1:10" ht="28.5" customHeight="1" x14ac:dyDescent="0.2">
      <c r="B28" s="1045"/>
      <c r="C28" s="2352"/>
      <c r="D28" s="2352"/>
      <c r="E28" s="1052"/>
      <c r="F28" s="2352"/>
      <c r="G28" s="2352"/>
    </row>
    <row r="29" spans="1:10" x14ac:dyDescent="0.2">
      <c r="B29" s="1045"/>
      <c r="C29" s="1053" t="s">
        <v>1561</v>
      </c>
      <c r="E29" s="1054"/>
      <c r="F29" s="2351" t="s">
        <v>1510</v>
      </c>
      <c r="G29" s="2351"/>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33" t="s">
        <v>132</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0"/>
    </row>
    <row r="36" spans="1:10" ht="13.7" customHeight="1" x14ac:dyDescent="0.2">
      <c r="B36" s="1059"/>
      <c r="C36" s="2335" t="s">
        <v>1977</v>
      </c>
      <c r="D36" s="2334"/>
      <c r="E36" s="2334"/>
      <c r="F36" s="2334"/>
      <c r="G36" s="2334"/>
      <c r="H36" s="2334"/>
      <c r="I36" s="2334"/>
      <c r="J36" s="1061"/>
    </row>
    <row r="37" spans="1:10" ht="22.7" customHeight="1" x14ac:dyDescent="0.2">
      <c r="C37" s="2334"/>
      <c r="D37" s="2334"/>
      <c r="E37" s="2334"/>
      <c r="F37" s="2334"/>
      <c r="G37" s="2334"/>
      <c r="H37" s="2334"/>
      <c r="I37" s="2334"/>
      <c r="J37" s="1061"/>
    </row>
    <row r="38" spans="1:10" ht="7.5" customHeight="1" x14ac:dyDescent="0.2">
      <c r="C38" s="1060"/>
      <c r="D38" s="1062"/>
      <c r="E38" s="1063"/>
      <c r="F38" s="1064"/>
      <c r="G38" s="1063"/>
    </row>
    <row r="39" spans="1:10" ht="13.7" customHeight="1" x14ac:dyDescent="0.2">
      <c r="B39" s="1059"/>
      <c r="C39" s="2331" t="s">
        <v>882</v>
      </c>
      <c r="D39" s="2332"/>
      <c r="E39" s="2332"/>
      <c r="F39" s="2332"/>
      <c r="G39" s="2332"/>
      <c r="H39" s="2332"/>
      <c r="I39" s="2332"/>
    </row>
    <row r="40" spans="1:10" ht="1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0"/>
  <sheetViews>
    <sheetView showGridLines="0" topLeftCell="A49" zoomScale="110" zoomScaleNormal="110" workbookViewId="0">
      <selection activeCell="B59" sqref="B5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c r="B5" s="329" t="s">
        <v>2156</v>
      </c>
    </row>
    <row r="6" spans="1:2" x14ac:dyDescent="0.2">
      <c r="A6" s="1066"/>
      <c r="B6" s="329" t="s">
        <v>2157</v>
      </c>
    </row>
    <row r="7" spans="1:2" x14ac:dyDescent="0.2">
      <c r="A7" s="1066"/>
      <c r="B7" s="329" t="s">
        <v>2158</v>
      </c>
    </row>
    <row r="8" spans="1:2" x14ac:dyDescent="0.2">
      <c r="A8" s="1066"/>
      <c r="B8" s="329" t="s">
        <v>2159</v>
      </c>
    </row>
    <row r="9" spans="1:2" x14ac:dyDescent="0.2">
      <c r="A9" s="1067"/>
    </row>
    <row r="10" spans="1:2" x14ac:dyDescent="0.2">
      <c r="A10" s="1067"/>
    </row>
    <row r="11" spans="1:2" x14ac:dyDescent="0.2">
      <c r="A11" s="1067"/>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c r="B59" s="258" t="str">
        <f>COVER!A17</f>
        <v>Mid-State Spec Educ Jnt Agr</v>
      </c>
    </row>
    <row r="60" spans="1:2" x14ac:dyDescent="0.2">
      <c r="B60" s="1068">
        <f>COVER!A13</f>
        <v>3011801060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7" customHeight="1" x14ac:dyDescent="0.2">
      <c r="B5" s="18" t="s">
        <v>941</v>
      </c>
      <c r="C5" s="16" t="s">
        <v>894</v>
      </c>
    </row>
    <row r="6" spans="1:4" ht="13.7" customHeight="1" x14ac:dyDescent="0.2">
      <c r="A6" s="23"/>
      <c r="B6" s="25" t="s">
        <v>942</v>
      </c>
      <c r="C6" s="65" t="s">
        <v>1414</v>
      </c>
      <c r="D6" s="24"/>
    </row>
    <row r="7" spans="1:4" ht="13.7" customHeight="1" x14ac:dyDescent="0.2">
      <c r="A7" s="23"/>
      <c r="B7" s="25"/>
      <c r="C7" s="65" t="s">
        <v>1415</v>
      </c>
      <c r="D7" s="24"/>
    </row>
    <row r="8" spans="1:4" ht="13.7" customHeight="1" x14ac:dyDescent="0.2">
      <c r="A8" s="23"/>
      <c r="B8" s="146" t="s">
        <v>943</v>
      </c>
      <c r="C8" s="65" t="s">
        <v>1400</v>
      </c>
      <c r="D8" s="24"/>
    </row>
    <row r="9" spans="1:4" ht="13.7" customHeight="1" x14ac:dyDescent="0.2">
      <c r="A9" s="14"/>
      <c r="B9" s="144" t="s">
        <v>944</v>
      </c>
      <c r="C9" s="142" t="s">
        <v>1319</v>
      </c>
    </row>
    <row r="10" spans="1:4" ht="13.7"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6" sqref="C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55" t="s">
        <v>1685</v>
      </c>
      <c r="B18" s="23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104775</xdr:colOff>
                <xdr:row>0</xdr:row>
                <xdr:rowOff>85725</xdr:rowOff>
              </from>
              <to>
                <xdr:col>1</xdr:col>
                <xdr:colOff>895350</xdr:colOff>
                <xdr:row>4</xdr:row>
                <xdr:rowOff>123825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1000125</xdr:colOff>
                <xdr:row>0</xdr:row>
                <xdr:rowOff>85725</xdr:rowOff>
              </from>
              <to>
                <xdr:col>1</xdr:col>
                <xdr:colOff>1905000</xdr:colOff>
                <xdr:row>4</xdr:row>
                <xdr:rowOff>123825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0</xdr:col>
                <xdr:colOff>104775</xdr:colOff>
                <xdr:row>5</xdr:row>
                <xdr:rowOff>47625</xdr:rowOff>
              </from>
              <to>
                <xdr:col>1</xdr:col>
                <xdr:colOff>895350</xdr:colOff>
                <xdr:row>9</xdr:row>
                <xdr:rowOff>85725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2019300</xdr:colOff>
                <xdr:row>0</xdr:row>
                <xdr:rowOff>95250</xdr:rowOff>
              </from>
              <to>
                <xdr:col>1</xdr:col>
                <xdr:colOff>2924175</xdr:colOff>
                <xdr:row>4</xdr:row>
                <xdr:rowOff>133350</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1000125</xdr:colOff>
                <xdr:row>5</xdr:row>
                <xdr:rowOff>28575</xdr:rowOff>
              </from>
              <to>
                <xdr:col>1</xdr:col>
                <xdr:colOff>1914525</xdr:colOff>
                <xdr:row>9</xdr:row>
                <xdr:rowOff>57150</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2019300</xdr:colOff>
                <xdr:row>5</xdr:row>
                <xdr:rowOff>38100</xdr:rowOff>
              </from>
              <to>
                <xdr:col>1</xdr:col>
                <xdr:colOff>2924175</xdr:colOff>
                <xdr:row>9</xdr:row>
                <xdr:rowOff>66675</xdr:rowOff>
              </to>
            </anchor>
          </objectPr>
        </oleObject>
      </mc:Choice>
      <mc:Fallback>
        <oleObject progId="Acrobat Document" dvAspect="DVASPECT_ICON" shapeId="36870"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1690</v>
      </c>
      <c r="B1" s="2357"/>
      <c r="C1" s="2357"/>
      <c r="D1" s="2357"/>
      <c r="E1" s="2357"/>
      <c r="F1" s="2358"/>
    </row>
    <row r="2" spans="1:8" ht="45" customHeight="1" x14ac:dyDescent="0.2">
      <c r="A2" s="2366" t="s">
        <v>1981</v>
      </c>
      <c r="B2" s="2367"/>
      <c r="C2" s="2367"/>
      <c r="D2" s="2367"/>
      <c r="E2" s="2367"/>
      <c r="F2" s="2368"/>
      <c r="G2" s="1072"/>
      <c r="H2" s="1072"/>
    </row>
    <row r="3" spans="1:8" ht="57" customHeight="1" x14ac:dyDescent="0.2">
      <c r="A3" s="2369" t="s">
        <v>1686</v>
      </c>
      <c r="B3" s="2370"/>
      <c r="C3" s="2370"/>
      <c r="D3" s="2370"/>
      <c r="E3" s="2370"/>
      <c r="F3" s="2371"/>
      <c r="G3" s="1072"/>
      <c r="H3" s="1072"/>
    </row>
    <row r="4" spans="1:8" ht="14.25" customHeight="1" x14ac:dyDescent="0.2">
      <c r="A4" s="2375" t="s">
        <v>1982</v>
      </c>
      <c r="B4" s="2376"/>
      <c r="C4" s="2376"/>
      <c r="D4" s="2376"/>
      <c r="E4" s="2376"/>
      <c r="F4" s="2377"/>
      <c r="G4" s="1072"/>
      <c r="H4" s="1072"/>
    </row>
    <row r="5" spans="1:8" ht="14.25" customHeight="1" x14ac:dyDescent="0.2">
      <c r="A5" s="2378" t="s">
        <v>1978</v>
      </c>
      <c r="B5" s="2379"/>
      <c r="C5" s="2379"/>
      <c r="D5" s="2379"/>
      <c r="E5" s="2379"/>
      <c r="F5" s="2380"/>
      <c r="G5" s="1072"/>
      <c r="H5" s="1072"/>
    </row>
    <row r="6" spans="1:8" s="1073" customFormat="1" ht="41.25" customHeight="1" x14ac:dyDescent="0.2">
      <c r="A6" s="2372" t="s">
        <v>1691</v>
      </c>
      <c r="B6" s="2373"/>
      <c r="C6" s="2373"/>
      <c r="D6" s="2373"/>
      <c r="E6" s="2373"/>
      <c r="F6" s="2374"/>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8">
        <f>'Acct Summary 7-8'!C8</f>
        <v>17067710</v>
      </c>
      <c r="C8" s="1808">
        <f>'Acct Summary 7-8'!D8</f>
        <v>0</v>
      </c>
      <c r="D8" s="1808">
        <f>'Acct Summary 7-8'!F8</f>
        <v>0</v>
      </c>
      <c r="E8" s="1808">
        <f>'Acct Summary 7-8'!I8</f>
        <v>0</v>
      </c>
      <c r="F8" s="1808">
        <f>SUM(B8:E8)</f>
        <v>17067710</v>
      </c>
    </row>
    <row r="9" spans="1:8" s="1077" customFormat="1" ht="14.25" customHeight="1" thickBot="1" x14ac:dyDescent="0.25">
      <c r="A9" s="1076" t="s">
        <v>1369</v>
      </c>
      <c r="B9" s="1809">
        <f>'Acct Summary 7-8'!C17</f>
        <v>16848748</v>
      </c>
      <c r="C9" s="1809">
        <f>'Acct Summary 7-8'!D17</f>
        <v>0</v>
      </c>
      <c r="D9" s="1809">
        <f>'Acct Summary 7-8'!F17</f>
        <v>0</v>
      </c>
      <c r="E9" s="1808"/>
      <c r="F9" s="1808">
        <f>SUM(B9:E9)</f>
        <v>16848748</v>
      </c>
    </row>
    <row r="10" spans="1:8" s="1077" customFormat="1" ht="14.25" thickTop="1" thickBot="1" x14ac:dyDescent="0.25">
      <c r="A10" s="1078" t="s">
        <v>1370</v>
      </c>
      <c r="B10" s="1810">
        <f>(B8-B9)</f>
        <v>218962</v>
      </c>
      <c r="C10" s="1810">
        <f>(C8-C9)</f>
        <v>0</v>
      </c>
      <c r="D10" s="1810">
        <f>(D8-D9)</f>
        <v>0</v>
      </c>
      <c r="E10" s="1809">
        <f>(E8-E9)</f>
        <v>0</v>
      </c>
      <c r="F10" s="1811">
        <f>SUM(F8-F9)</f>
        <v>218962</v>
      </c>
    </row>
    <row r="11" spans="1:8" s="1077" customFormat="1" ht="14.25" thickTop="1" thickBot="1" x14ac:dyDescent="0.25">
      <c r="A11" s="1079" t="s">
        <v>1979</v>
      </c>
      <c r="B11" s="1812">
        <f>'Acct Summary 7-8'!C81</f>
        <v>2296863</v>
      </c>
      <c r="C11" s="1812">
        <f>'Acct Summary 7-8'!D81</f>
        <v>0</v>
      </c>
      <c r="D11" s="1812">
        <f>'Acct Summary 7-8'!F81</f>
        <v>0</v>
      </c>
      <c r="E11" s="1812">
        <f>'Acct Summary 7-8'!I81</f>
        <v>0</v>
      </c>
      <c r="F11" s="1813">
        <f>SUM(B11:E11)</f>
        <v>2296863</v>
      </c>
    </row>
    <row r="12" spans="1:8" ht="16.5" customHeight="1" thickTop="1" x14ac:dyDescent="0.2">
      <c r="A12" s="1080"/>
      <c r="B12" s="1081"/>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2"/>
      <c r="B13" s="1083"/>
      <c r="C13" s="2360"/>
      <c r="D13" s="2361"/>
      <c r="E13" s="2361"/>
      <c r="F13" s="2362"/>
      <c r="H13" s="1072"/>
    </row>
    <row r="14" spans="1:8" ht="19.5" customHeight="1" x14ac:dyDescent="0.2">
      <c r="A14" s="1082"/>
      <c r="B14" s="1083"/>
      <c r="C14" s="2360"/>
      <c r="D14" s="2361"/>
      <c r="E14" s="2361"/>
      <c r="F14" s="2362"/>
      <c r="H14" s="1072"/>
    </row>
    <row r="15" spans="1:8" ht="17.25" customHeight="1" x14ac:dyDescent="0.2">
      <c r="A15" s="1082"/>
      <c r="B15" s="1083"/>
      <c r="C15" s="2363"/>
      <c r="D15" s="2364"/>
      <c r="E15" s="2364"/>
      <c r="F15" s="2365"/>
      <c r="H15" s="1072"/>
    </row>
    <row r="16" spans="1:8" s="310" customFormat="1" ht="51.75" hidden="1" customHeight="1" x14ac:dyDescent="0.2">
      <c r="A16" s="2359" t="s">
        <v>1687</v>
      </c>
      <c r="B16" s="2359"/>
      <c r="C16" s="2359"/>
      <c r="D16" s="2359"/>
      <c r="E16" s="2359"/>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G8" sqref="G8"/>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7" customHeight="1" thickBot="1" x14ac:dyDescent="0.25">
      <c r="A1" s="1086"/>
      <c r="B1" s="1087"/>
      <c r="C1" s="1088"/>
      <c r="D1" s="1089"/>
    </row>
    <row r="2" spans="1:4" ht="7.5" customHeight="1" thickTop="1" x14ac:dyDescent="0.2">
      <c r="A2" s="1889"/>
      <c r="B2" s="1890"/>
      <c r="C2" s="1891"/>
      <c r="D2" s="1892"/>
    </row>
    <row r="3" spans="1:4" ht="36" customHeight="1" x14ac:dyDescent="0.2">
      <c r="A3" s="2381" t="s">
        <v>665</v>
      </c>
      <c r="B3" s="2382"/>
      <c r="C3" s="2382"/>
      <c r="D3" s="2383"/>
    </row>
    <row r="4" spans="1:4" x14ac:dyDescent="0.2">
      <c r="A4" s="1150" t="s">
        <v>1692</v>
      </c>
      <c r="B4" s="1151"/>
      <c r="C4" s="1152"/>
      <c r="D4" s="1153"/>
    </row>
    <row r="5" spans="1:4" ht="21" customHeight="1" x14ac:dyDescent="0.2">
      <c r="A5" s="1146"/>
      <c r="B5" s="1147">
        <v>1</v>
      </c>
      <c r="C5" s="1148" t="s">
        <v>1831</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92" t="s">
        <v>1504</v>
      </c>
      <c r="D7" s="2393"/>
    </row>
    <row r="8" spans="1:4" s="666" customFormat="1" ht="12.75" x14ac:dyDescent="0.2">
      <c r="A8" s="1136"/>
      <c r="B8" s="1091"/>
      <c r="C8" s="1094" t="s">
        <v>1503</v>
      </c>
      <c r="D8" s="1095"/>
    </row>
    <row r="9" spans="1:4" s="666" customFormat="1" ht="14.25" customHeight="1" x14ac:dyDescent="0.2">
      <c r="A9" s="1136"/>
      <c r="B9" s="1091">
        <f>B7+1</f>
        <v>4</v>
      </c>
      <c r="C9" s="1092" t="s">
        <v>1908</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84" t="s">
        <v>1008</v>
      </c>
      <c r="B15" s="2385"/>
      <c r="C15" s="2385"/>
      <c r="D15" s="2386"/>
    </row>
    <row r="16" spans="1:4" s="666" customFormat="1" ht="24" customHeight="1" x14ac:dyDescent="0.2">
      <c r="A16" s="2387" t="s">
        <v>663</v>
      </c>
      <c r="B16" s="2388"/>
      <c r="C16" s="2388"/>
      <c r="D16" s="2389"/>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96" t="s">
        <v>314</v>
      </c>
      <c r="D21" s="2397"/>
    </row>
    <row r="22" spans="1:10" ht="12.75" x14ac:dyDescent="0.2">
      <c r="A22" s="1137"/>
      <c r="B22" s="1138">
        <v>2</v>
      </c>
      <c r="C22" s="2394" t="s">
        <v>1524</v>
      </c>
      <c r="D22" s="2395"/>
    </row>
    <row r="23" spans="1:10" ht="12.4" customHeight="1" x14ac:dyDescent="0.2">
      <c r="A23" s="1137"/>
      <c r="B23" s="1138"/>
      <c r="C23" s="1139" t="s">
        <v>954</v>
      </c>
      <c r="D23" s="1140" t="str">
        <f>IF(COVER!O11="X","CASH",IF(COVER!O12="X","ACCRUAL ","PLEASE CHECK AN ACCOUNTING BASIS."))</f>
        <v>CASH</v>
      </c>
    </row>
    <row r="24" spans="1:10" ht="12.4"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98" t="s">
        <v>536</v>
      </c>
      <c r="D43" s="2399"/>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90" t="s">
        <v>784</v>
      </c>
      <c r="D56" s="2391"/>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1909</v>
      </c>
      <c r="D66" s="1123"/>
    </row>
    <row r="67" spans="1:4" x14ac:dyDescent="0.2">
      <c r="A67" s="1117"/>
      <c r="B67" s="1138"/>
      <c r="C67" s="1145" t="s">
        <v>1021</v>
      </c>
      <c r="D67" s="1123"/>
    </row>
    <row r="68" spans="1:4" x14ac:dyDescent="0.2">
      <c r="A68" s="1098"/>
      <c r="B68" s="1108"/>
      <c r="C68" s="1100" t="s">
        <v>1910</v>
      </c>
      <c r="D68" s="1122" t="str">
        <f>IF('Short-Term Long-Term Debt 24'!F49=SUM(,'Acct Summary 7-8'!C33:K33),"OK","ERROR!")</f>
        <v>OK</v>
      </c>
    </row>
    <row r="69" spans="1:4" x14ac:dyDescent="0.2">
      <c r="A69" s="1098"/>
      <c r="B69" s="1108"/>
      <c r="C69" s="1100" t="s">
        <v>1911</v>
      </c>
      <c r="D69" s="1122" t="str">
        <f>IF('Expenditures 15-22'!H170&lt;&gt;'Short-Term Long-Term Debt 24'!H49,"ERROR!","OK")</f>
        <v>OK</v>
      </c>
    </row>
    <row r="70" spans="1:4" x14ac:dyDescent="0.2">
      <c r="A70" s="1096"/>
      <c r="B70" s="1118">
        <f>B66+1</f>
        <v>9</v>
      </c>
      <c r="C70" s="2390" t="s">
        <v>1696</v>
      </c>
      <c r="D70" s="2391"/>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1912</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1913</v>
      </c>
      <c r="D78" s="1122" t="str">
        <f>IF(ISNUMBER('Acct Summary 7-8'!C9),"OK","ENTRY IS REQUIRED!")</f>
        <v>OK</v>
      </c>
    </row>
    <row r="79" spans="1:4" x14ac:dyDescent="0.2">
      <c r="A79" s="1117"/>
      <c r="B79" s="1118">
        <f>B74+1+1</f>
        <v>12</v>
      </c>
      <c r="C79" s="1128" t="s">
        <v>1898</v>
      </c>
      <c r="D79" s="1129" t="str">
        <f>IF(OR(COVER!$B$6="X",'PCTC-OEPP 27-28'!F78&gt;0),"OK","PLEASE ENTER 9 MO ADA.")</f>
        <v>OK</v>
      </c>
    </row>
    <row r="80" spans="1:4" x14ac:dyDescent="0.2">
      <c r="A80" s="1096"/>
      <c r="B80" s="1118">
        <v>13</v>
      </c>
      <c r="C80" s="1128" t="s">
        <v>1914</v>
      </c>
      <c r="D80" s="1129" t="str">
        <f>IF('Contracts Paid in CY 29'!D36&gt;0,"OK","PLEASE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3011801060</v>
      </c>
    </row>
    <row r="3" spans="1:2" x14ac:dyDescent="0.2">
      <c r="A3" t="s">
        <v>956</v>
      </c>
      <c r="B3" s="138" t="str">
        <f>COVER!A15</f>
        <v>CHRISTIAN</v>
      </c>
    </row>
    <row r="4" spans="1:2" x14ac:dyDescent="0.2">
      <c r="A4" t="s">
        <v>1007</v>
      </c>
      <c r="B4" s="138" t="str">
        <f>COVER!A17</f>
        <v>Mid-State Spec Educ Jnt Agr</v>
      </c>
    </row>
    <row r="5" spans="1:2" x14ac:dyDescent="0.2">
      <c r="A5" t="s">
        <v>704</v>
      </c>
      <c r="B5" s="138" t="str">
        <f>COVER!A38</f>
        <v>ANGELA ARMOUR</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1112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2302996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6133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6133</v>
      </c>
      <c r="C91" s="2" t="s">
        <v>573</v>
      </c>
      <c r="D91" s="2" t="str">
        <f t="shared" si="0"/>
        <v>Error?</v>
      </c>
    </row>
    <row r="92" spans="1:4" x14ac:dyDescent="0.2">
      <c r="A92" s="5">
        <v>31</v>
      </c>
      <c r="B92" s="138">
        <f>'Assets-Liab 5-6'!C39</f>
        <v>2296863</v>
      </c>
      <c r="D92" s="2" t="str">
        <f t="shared" si="0"/>
        <v>Error?</v>
      </c>
    </row>
    <row r="93" spans="1:4" x14ac:dyDescent="0.2">
      <c r="A93" s="5">
        <v>32</v>
      </c>
      <c r="B93" s="138">
        <f>'Assets-Liab 5-6'!C41</f>
        <v>2302996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455343</v>
      </c>
      <c r="D274" s="2" t="str">
        <f t="shared" si="3"/>
        <v>Error?</v>
      </c>
    </row>
    <row r="275" spans="1:4" x14ac:dyDescent="0.2">
      <c r="A275" s="5">
        <v>214</v>
      </c>
      <c r="B275" s="138">
        <f>'Assets-Liab 5-6'!M18</f>
        <v>0</v>
      </c>
      <c r="D275" s="2" t="str">
        <f t="shared" si="3"/>
        <v>Error?</v>
      </c>
    </row>
    <row r="276" spans="1:4" x14ac:dyDescent="0.2">
      <c r="A276" s="5">
        <v>215</v>
      </c>
      <c r="B276" s="138">
        <f>'Assets-Liab 5-6'!M19</f>
        <v>295456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750799</v>
      </c>
      <c r="C279" s="2" t="s">
        <v>573</v>
      </c>
      <c r="D279" s="2" t="str">
        <f t="shared" si="3"/>
        <v>Error?</v>
      </c>
    </row>
    <row r="280" spans="1:4" x14ac:dyDescent="0.2">
      <c r="A280" s="5">
        <v>219</v>
      </c>
      <c r="B280" s="138">
        <f>'Assets-Liab 5-6'!M40</f>
        <v>750799</v>
      </c>
      <c r="D280" s="2" t="str">
        <f t="shared" si="3"/>
        <v>Error?</v>
      </c>
    </row>
    <row r="281" spans="1:4" x14ac:dyDescent="0.2">
      <c r="A281" s="5">
        <v>220</v>
      </c>
      <c r="B281" s="138">
        <f>'Assets-Liab 5-6'!M41</f>
        <v>750799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174924</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10439</v>
      </c>
      <c r="D719" s="2" t="str">
        <f t="shared" si="10"/>
        <v>Error?</v>
      </c>
    </row>
    <row r="720" spans="1:4" x14ac:dyDescent="0.2">
      <c r="A720" s="5">
        <v>659</v>
      </c>
      <c r="B720" s="138">
        <f>'Expenditures 15-22'!C33</f>
        <v>7235748</v>
      </c>
      <c r="C720" s="2" t="s">
        <v>573</v>
      </c>
      <c r="D720" s="2" t="str">
        <f t="shared" si="10"/>
        <v>Error?</v>
      </c>
    </row>
    <row r="721" spans="1:4" x14ac:dyDescent="0.2">
      <c r="A721" s="5">
        <v>660</v>
      </c>
      <c r="B721" s="138">
        <f>'Expenditures 15-22'!C36</f>
        <v>697705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118983</v>
      </c>
      <c r="D723" s="2" t="str">
        <f t="shared" si="10"/>
        <v>Error?</v>
      </c>
    </row>
    <row r="724" spans="1:4" x14ac:dyDescent="0.2">
      <c r="A724" s="5">
        <v>663</v>
      </c>
      <c r="B724" s="138">
        <f>'Expenditures 15-22'!C39</f>
        <v>565594</v>
      </c>
      <c r="D724" s="2" t="str">
        <f t="shared" si="10"/>
        <v>Error?</v>
      </c>
    </row>
    <row r="725" spans="1:4" x14ac:dyDescent="0.2">
      <c r="A725" s="5">
        <v>664</v>
      </c>
      <c r="B725" s="138">
        <f>'Expenditures 15-22'!C40</f>
        <v>822017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2204299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744094</v>
      </c>
      <c r="D733" s="2" t="str">
        <f t="shared" si="10"/>
        <v>Error?</v>
      </c>
    </row>
    <row r="734" spans="1:4" x14ac:dyDescent="0.2">
      <c r="A734" s="5">
        <v>673</v>
      </c>
      <c r="B734" s="138">
        <f>'Expenditures 15-22'!C53</f>
        <v>744094</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79398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79398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3027791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10263539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35539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1229</v>
      </c>
      <c r="D777" s="2" t="str">
        <f t="shared" si="11"/>
        <v>Error?</v>
      </c>
    </row>
    <row r="778" spans="1:4" x14ac:dyDescent="0.2">
      <c r="A778" s="5">
        <v>717</v>
      </c>
      <c r="B778" s="138">
        <f>'Expenditures 15-22'!D33</f>
        <v>1996363</v>
      </c>
      <c r="C778" s="2" t="s">
        <v>573</v>
      </c>
      <c r="D778" s="2" t="str">
        <f t="shared" si="11"/>
        <v>Error?</v>
      </c>
    </row>
    <row r="779" spans="1:4" x14ac:dyDescent="0.2">
      <c r="A779" s="5">
        <v>718</v>
      </c>
      <c r="B779" s="138">
        <f>'Expenditures 15-22'!D36</f>
        <v>141689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24724</v>
      </c>
      <c r="D781" s="2" t="str">
        <f t="shared" si="11"/>
        <v>Error?</v>
      </c>
    </row>
    <row r="782" spans="1:4" x14ac:dyDescent="0.2">
      <c r="A782" s="5">
        <v>721</v>
      </c>
      <c r="B782" s="138">
        <f>'Expenditures 15-22'!D39</f>
        <v>84814</v>
      </c>
      <c r="D782" s="2" t="str">
        <f t="shared" si="11"/>
        <v>Error?</v>
      </c>
    </row>
    <row r="783" spans="1:4" x14ac:dyDescent="0.2">
      <c r="A783" s="5">
        <v>722</v>
      </c>
      <c r="B783" s="138">
        <f>'Expenditures 15-22'!D40</f>
        <v>194281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445508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129079</v>
      </c>
      <c r="D791" s="2" t="str">
        <f t="shared" si="11"/>
        <v>Error?</v>
      </c>
    </row>
    <row r="792" spans="1:4" x14ac:dyDescent="0.2">
      <c r="A792" s="5">
        <v>731</v>
      </c>
      <c r="B792" s="138">
        <f>'Expenditures 15-22'!D53</f>
        <v>129079</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15269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15269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589856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2586219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9513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1507</v>
      </c>
      <c r="D835" s="2" t="str">
        <f t="shared" si="12"/>
        <v>Error?</v>
      </c>
    </row>
    <row r="836" spans="1:4" x14ac:dyDescent="0.2">
      <c r="A836" s="5">
        <v>775</v>
      </c>
      <c r="B836" s="138">
        <f>'Expenditures 15-22'!E33</f>
        <v>70653</v>
      </c>
      <c r="C836" s="2" t="s">
        <v>573</v>
      </c>
      <c r="D836" s="2" t="str">
        <f t="shared" si="12"/>
        <v>Error?</v>
      </c>
    </row>
    <row r="837" spans="1:4" x14ac:dyDescent="0.2">
      <c r="A837" s="5">
        <v>776</v>
      </c>
      <c r="B837" s="138">
        <f>'Expenditures 15-22'!E36</f>
        <v>16372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461607</v>
      </c>
      <c r="D839" s="2" t="str">
        <f t="shared" si="12"/>
        <v>Error?</v>
      </c>
    </row>
    <row r="840" spans="1:4" x14ac:dyDescent="0.2">
      <c r="A840" s="5">
        <v>779</v>
      </c>
      <c r="B840" s="138">
        <f>'Expenditures 15-22'!E39</f>
        <v>17832</v>
      </c>
      <c r="D840" s="2" t="str">
        <f t="shared" si="12"/>
        <v>Error?</v>
      </c>
    </row>
    <row r="841" spans="1:4" x14ac:dyDescent="0.2">
      <c r="A841" s="5">
        <v>780</v>
      </c>
      <c r="B841" s="138">
        <f>'Expenditures 15-22'!E40</f>
        <v>1516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497327</v>
      </c>
      <c r="C843" s="2" t="s">
        <v>573</v>
      </c>
      <c r="D843" s="2" t="str">
        <f t="shared" si="12"/>
        <v>Error?</v>
      </c>
    </row>
    <row r="844" spans="1:4" x14ac:dyDescent="0.2">
      <c r="A844" s="5">
        <v>783</v>
      </c>
      <c r="B844" s="138">
        <f>'Expenditures 15-22'!E44</f>
        <v>79156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79156</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337864</v>
      </c>
      <c r="D849" s="2" t="str">
        <f t="shared" si="12"/>
        <v>Error?</v>
      </c>
    </row>
    <row r="850" spans="1:4" x14ac:dyDescent="0.2">
      <c r="A850" s="5">
        <v>789</v>
      </c>
      <c r="B850" s="138">
        <f>'Expenditures 15-22'!E53</f>
        <v>337864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16746</v>
      </c>
      <c r="D855" s="2" t="str">
        <f t="shared" si="12"/>
        <v>Error?</v>
      </c>
    </row>
    <row r="856" spans="1:4" x14ac:dyDescent="0.2">
      <c r="A856" s="5">
        <v>795</v>
      </c>
      <c r="B856" s="138">
        <f>'Expenditures 15-22'!E61</f>
        <v>9673</v>
      </c>
      <c r="D856" s="2" t="str">
        <f t="shared" si="12"/>
        <v>Error?</v>
      </c>
    </row>
    <row r="857" spans="1:4" x14ac:dyDescent="0.2">
      <c r="A857" s="5">
        <v>796</v>
      </c>
      <c r="B857" s="138">
        <f>'Expenditures 15-22'!E62</f>
        <v>120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26539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31682</v>
      </c>
      <c r="D867" s="2" t="str">
        <f t="shared" si="12"/>
        <v>Error?</v>
      </c>
    </row>
    <row r="868" spans="1:4" x14ac:dyDescent="0.2">
      <c r="A868" s="10">
        <v>807</v>
      </c>
      <c r="D868" s="2" t="str">
        <f t="shared" si="12"/>
        <v>OK</v>
      </c>
    </row>
    <row r="869" spans="1:4" x14ac:dyDescent="0.2">
      <c r="A869" s="5">
        <v>808</v>
      </c>
      <c r="B869" s="138">
        <f>'Expenditures 15-22'!E72</f>
        <v>31682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972568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1043221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21897</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192</v>
      </c>
      <c r="D893" s="2" t="str">
        <f t="shared" si="12"/>
        <v>Error?</v>
      </c>
    </row>
    <row r="894" spans="1:4" x14ac:dyDescent="0.2">
      <c r="A894" s="5">
        <v>833</v>
      </c>
      <c r="B894" s="138">
        <f>'Expenditures 15-22'!F33</f>
        <v>63087</v>
      </c>
      <c r="C894" s="2" t="s">
        <v>573</v>
      </c>
      <c r="D894" s="2" t="str">
        <f t="shared" si="12"/>
        <v>Error?</v>
      </c>
    </row>
    <row r="895" spans="1:4" x14ac:dyDescent="0.2">
      <c r="A895" s="5">
        <v>834</v>
      </c>
      <c r="B895" s="138">
        <f>'Expenditures 15-22'!F36</f>
        <v>11981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3400</v>
      </c>
      <c r="D897" s="2" t="str">
        <f t="shared" si="13"/>
        <v>Error?</v>
      </c>
    </row>
    <row r="898" spans="1:4" x14ac:dyDescent="0.2">
      <c r="A898" s="5">
        <v>837</v>
      </c>
      <c r="B898" s="138">
        <f>'Expenditures 15-22'!F39</f>
        <v>18915</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34296</v>
      </c>
      <c r="C901" s="2" t="s">
        <v>573</v>
      </c>
      <c r="D901" s="2" t="str">
        <f t="shared" si="13"/>
        <v>Error?</v>
      </c>
    </row>
    <row r="902" spans="1:4" x14ac:dyDescent="0.2">
      <c r="A902" s="5">
        <v>841</v>
      </c>
      <c r="B902" s="138">
        <f>'Expenditures 15-22'!F44</f>
        <v>26157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26157</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20324</v>
      </c>
      <c r="D907" s="2" t="str">
        <f t="shared" si="13"/>
        <v>Error?</v>
      </c>
    </row>
    <row r="908" spans="1:4" x14ac:dyDescent="0.2">
      <c r="A908" s="5">
        <v>847</v>
      </c>
      <c r="B908" s="138">
        <f>'Expenditures 15-22'!F53</f>
        <v>20324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10301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2355</v>
      </c>
      <c r="D917" s="2" t="str">
        <f t="shared" si="13"/>
        <v>Error?</v>
      </c>
    </row>
    <row r="918" spans="1:4" x14ac:dyDescent="0.2">
      <c r="A918" s="10">
        <v>857</v>
      </c>
      <c r="D918" s="2" t="str">
        <f t="shared" si="13"/>
        <v>OK</v>
      </c>
    </row>
    <row r="919" spans="1:4" x14ac:dyDescent="0.2">
      <c r="A919" s="5">
        <v>858</v>
      </c>
      <c r="B919" s="138">
        <f>'Expenditures 15-22'!F65</f>
        <v>12656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93433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156520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9316</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9316</v>
      </c>
      <c r="C1017" s="2" t="s">
        <v>573</v>
      </c>
      <c r="D1017" s="2" t="str">
        <f t="shared" si="14"/>
        <v>Error?</v>
      </c>
    </row>
    <row r="1018" spans="1:4" x14ac:dyDescent="0.2">
      <c r="A1018" s="5">
        <v>957</v>
      </c>
      <c r="B1018" s="138">
        <f>'Expenditures 15-22'!H44</f>
        <v>3156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3156</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12472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2786777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2799249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241873</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13367</v>
      </c>
      <c r="C1107" s="2" t="s">
        <v>573</v>
      </c>
      <c r="D1107" s="2" t="str">
        <f t="shared" si="16"/>
        <v>Error?</v>
      </c>
    </row>
    <row r="1108" spans="1:4" x14ac:dyDescent="0.2">
      <c r="A1108" s="5">
        <v>1047</v>
      </c>
      <c r="B1108" s="138">
        <f>'Expenditures 15-22'!K33</f>
        <v>9365851</v>
      </c>
      <c r="C1108" s="2" t="s">
        <v>573</v>
      </c>
      <c r="D1108" s="2" t="str">
        <f t="shared" si="16"/>
        <v>Error?</v>
      </c>
    </row>
    <row r="1109" spans="1:4" x14ac:dyDescent="0.2">
      <c r="A1109" s="5">
        <v>1048</v>
      </c>
      <c r="B1109" s="138">
        <f>'Expenditures 15-22'!K36</f>
        <v>867747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608714</v>
      </c>
      <c r="C1111" s="2" t="s">
        <v>573</v>
      </c>
      <c r="D1111" s="2" t="str">
        <f t="shared" si="16"/>
        <v>Error?</v>
      </c>
    </row>
    <row r="1112" spans="1:4" x14ac:dyDescent="0.2">
      <c r="A1112" s="5">
        <v>1051</v>
      </c>
      <c r="B1112" s="138">
        <f>'Expenditures 15-22'!K39</f>
        <v>687155</v>
      </c>
      <c r="C1112" s="2" t="s">
        <v>573</v>
      </c>
      <c r="D1112" s="2" t="str">
        <f t="shared" si="16"/>
        <v>Error?</v>
      </c>
    </row>
    <row r="1113" spans="1:4" x14ac:dyDescent="0.2">
      <c r="A1113" s="5">
        <v>1052</v>
      </c>
      <c r="B1113" s="138">
        <f>'Expenditures 15-22'!K40</f>
        <v>1027130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3190746</v>
      </c>
      <c r="C1115" s="2" t="s">
        <v>573</v>
      </c>
      <c r="D1115" s="2" t="str">
        <f t="shared" si="16"/>
        <v>Error?</v>
      </c>
    </row>
    <row r="1116" spans="1:4" x14ac:dyDescent="0.2">
      <c r="A1116" s="5">
        <v>1055</v>
      </c>
      <c r="B1116" s="138">
        <f>'Expenditures 15-22'!K44</f>
        <v>108469</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108469</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1231361</v>
      </c>
      <c r="C1121" s="2" t="s">
        <v>573</v>
      </c>
      <c r="D1121" s="2" t="str">
        <f t="shared" si="16"/>
        <v>Error?</v>
      </c>
    </row>
    <row r="1122" spans="1:4" x14ac:dyDescent="0.2">
      <c r="A1122" s="5">
        <v>1061</v>
      </c>
      <c r="B1122" s="138">
        <f>'Expenditures 15-22'!K53</f>
        <v>1231361</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111413</v>
      </c>
      <c r="C1127" s="2" t="s">
        <v>573</v>
      </c>
      <c r="D1127" s="2" t="str">
        <f t="shared" si="16"/>
        <v>Error?</v>
      </c>
    </row>
    <row r="1128" spans="1:4" x14ac:dyDescent="0.2">
      <c r="A1128" s="5">
        <v>1067</v>
      </c>
      <c r="B1128" s="138">
        <f>'Expenditures 15-22'!K61</f>
        <v>19974</v>
      </c>
      <c r="C1128" s="2" t="s">
        <v>573</v>
      </c>
      <c r="D1128" s="2" t="str">
        <f t="shared" si="16"/>
        <v>Error?</v>
      </c>
    </row>
    <row r="1129" spans="1:4" x14ac:dyDescent="0.2">
      <c r="A1129" s="5">
        <v>1068</v>
      </c>
      <c r="B1129" s="138">
        <f>'Expenditures 15-22'!K62</f>
        <v>120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2355</v>
      </c>
      <c r="C1131" s="2" t="s">
        <v>573</v>
      </c>
      <c r="D1131" s="2" t="str">
        <f t="shared" si="16"/>
        <v>Error?</v>
      </c>
    </row>
    <row r="1132" spans="1:4" x14ac:dyDescent="0.2">
      <c r="A1132" s="10">
        <v>1071</v>
      </c>
      <c r="D1132" s="2" t="str">
        <f t="shared" si="16"/>
        <v>OK</v>
      </c>
    </row>
    <row r="1133" spans="1:4" x14ac:dyDescent="0.2">
      <c r="A1133" s="5">
        <v>1072</v>
      </c>
      <c r="B1133" s="138">
        <f>'Expenditures 15-22'!K65</f>
        <v>133862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31682</v>
      </c>
      <c r="C1139" s="2" t="s">
        <v>573</v>
      </c>
      <c r="D1139" s="2" t="str">
        <f t="shared" si="16"/>
        <v>Error?</v>
      </c>
    </row>
    <row r="1140" spans="1:4" x14ac:dyDescent="0.2">
      <c r="A1140" s="10">
        <v>1079</v>
      </c>
      <c r="D1140" s="2" t="str">
        <f t="shared" si="16"/>
        <v>OK</v>
      </c>
    </row>
    <row r="1141" spans="1:4" x14ac:dyDescent="0.2">
      <c r="A1141" s="5">
        <v>1080</v>
      </c>
      <c r="B1141" s="138">
        <f>'Expenditures 15-22'!K72</f>
        <v>31682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4696120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2786777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16848748</v>
      </c>
      <c r="C1152" s="2" t="s">
        <v>573</v>
      </c>
      <c r="D1152" s="2" t="str">
        <f t="shared" si="17"/>
        <v>Error?</v>
      </c>
    </row>
    <row r="1153" spans="1:4" x14ac:dyDescent="0.2">
      <c r="A1153" s="5">
        <v>1092</v>
      </c>
      <c r="B1153" s="138">
        <f>'Expenditures 15-22'!K115</f>
        <v>218962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2077901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2296863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t="str">
        <f>'Tax Sched 23'!B11</f>
        <v xml:space="preserve"> </v>
      </c>
      <c r="C1752" s="2" t="s">
        <v>573</v>
      </c>
      <c r="D1752" s="2" t="e">
        <f t="shared" si="26"/>
        <v>#VALUE!</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t="e">
        <f>'Tax Sched 23'!D11</f>
        <v>#VALUE!</v>
      </c>
      <c r="C1768" s="2" t="s">
        <v>573</v>
      </c>
      <c r="D1768" s="2" t="e">
        <f t="shared" si="26"/>
        <v>#VALUE!</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t="e">
        <f>'Tax Sched 23'!D19</f>
        <v>#VALUE!</v>
      </c>
      <c r="C1775" s="2" t="s">
        <v>573</v>
      </c>
      <c r="D1775" s="2" t="e">
        <f t="shared" si="26"/>
        <v>#VALUE!</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455343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395963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851306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100507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100507</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455343</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295456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750799</v>
      </c>
      <c r="C2031" s="2" t="s">
        <v>573</v>
      </c>
      <c r="D2031" s="2" t="str">
        <f t="shared" si="30"/>
        <v>Error?</v>
      </c>
    </row>
    <row r="2032" spans="1:4" x14ac:dyDescent="0.2">
      <c r="A2032" s="10">
        <v>1971</v>
      </c>
      <c r="D2032" s="2" t="str">
        <f t="shared" si="30"/>
        <v>OK</v>
      </c>
    </row>
    <row r="2033" spans="1:4" x14ac:dyDescent="0.2">
      <c r="A2033" s="5">
        <v>1972</v>
      </c>
      <c r="B2033" s="138">
        <f>'Cap Outlay Deprec 26'!H8</f>
        <v>84624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324142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408766</v>
      </c>
      <c r="C2037" s="2" t="s">
        <v>573</v>
      </c>
      <c r="D2037" s="2" t="str">
        <f t="shared" si="30"/>
        <v>Error?</v>
      </c>
    </row>
    <row r="2038" spans="1:4" x14ac:dyDescent="0.2">
      <c r="A2038" s="10">
        <v>1977</v>
      </c>
      <c r="D2038" s="2" t="str">
        <f t="shared" si="30"/>
        <v>OK</v>
      </c>
    </row>
    <row r="2039" spans="1:4" x14ac:dyDescent="0.2">
      <c r="A2039" s="5">
        <v>1978</v>
      </c>
      <c r="B2039" s="138">
        <f>'Cap Outlay Deprec 26'!I8</f>
        <v>9107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24839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33946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100507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100507</v>
      </c>
      <c r="C2049" s="2" t="s">
        <v>573</v>
      </c>
      <c r="D2049" s="2" t="str">
        <f t="shared" si="31"/>
        <v>Error?</v>
      </c>
    </row>
    <row r="2050" spans="1:4" x14ac:dyDescent="0.2">
      <c r="A2050" s="10">
        <v>1989</v>
      </c>
      <c r="D2050" s="2" t="str">
        <f t="shared" si="31"/>
        <v>OK</v>
      </c>
    </row>
    <row r="2051" spans="1:4" x14ac:dyDescent="0.2">
      <c r="A2051" s="5">
        <v>1990</v>
      </c>
      <c r="B2051" s="138">
        <f>'Cap Outlay Deprec 26'!K8</f>
        <v>93731</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248474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342205</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361612</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46982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408594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60460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11140095</v>
      </c>
      <c r="C2551" s="2" t="s">
        <v>573</v>
      </c>
      <c r="D2551" s="2" t="str">
        <f t="shared" si="38"/>
        <v>Error?</v>
      </c>
    </row>
    <row r="2552" spans="1:4" x14ac:dyDescent="0.2">
      <c r="A2552" s="10">
        <v>2491</v>
      </c>
      <c r="D2552" s="2" t="str">
        <f t="shared" si="38"/>
        <v>OK</v>
      </c>
    </row>
    <row r="2553" spans="1:4" x14ac:dyDescent="0.2">
      <c r="A2553" s="5">
        <v>2492</v>
      </c>
      <c r="B2553" s="138">
        <f>'Acct Summary 7-8'!C6</f>
        <v>0</v>
      </c>
      <c r="C2553" s="2" t="s">
        <v>573</v>
      </c>
      <c r="D2553" s="2" t="str">
        <f t="shared" si="38"/>
        <v>Error?</v>
      </c>
    </row>
    <row r="2554" spans="1:4" x14ac:dyDescent="0.2">
      <c r="A2554" s="5">
        <v>2493</v>
      </c>
      <c r="B2554" s="138">
        <f>'Acct Summary 7-8'!C7</f>
        <v>3201298</v>
      </c>
      <c r="C2554" s="2" t="s">
        <v>573</v>
      </c>
      <c r="D2554" s="2" t="str">
        <f t="shared" si="38"/>
        <v>Error?</v>
      </c>
    </row>
    <row r="2555" spans="1:4" x14ac:dyDescent="0.2">
      <c r="A2555" s="5">
        <v>2494</v>
      </c>
      <c r="B2555" s="138">
        <f>'Acct Summary 7-8'!C8</f>
        <v>17067710</v>
      </c>
      <c r="C2555" s="2" t="s">
        <v>573</v>
      </c>
      <c r="D2555" s="2" t="str">
        <f t="shared" si="38"/>
        <v>Error?</v>
      </c>
    </row>
    <row r="2556" spans="1:4" x14ac:dyDescent="0.2">
      <c r="A2556" s="5">
        <v>2495</v>
      </c>
      <c r="B2556" s="138">
        <f>'Acct Summary 7-8'!C12</f>
        <v>9365851</v>
      </c>
      <c r="C2556" s="2" t="s">
        <v>573</v>
      </c>
      <c r="D2556" s="2" t="str">
        <f t="shared" si="38"/>
        <v>Error?</v>
      </c>
    </row>
    <row r="2557" spans="1:4" x14ac:dyDescent="0.2">
      <c r="A2557" s="5">
        <v>2496</v>
      </c>
      <c r="B2557" s="138">
        <f>'Acct Summary 7-8'!C13</f>
        <v>4696120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2786777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16848748</v>
      </c>
      <c r="C2561" s="2" t="s">
        <v>573</v>
      </c>
      <c r="D2561" s="2" t="str">
        <f t="shared" si="39"/>
        <v>Error?</v>
      </c>
    </row>
    <row r="2562" spans="1:4" x14ac:dyDescent="0.2">
      <c r="A2562" s="5">
        <v>2501</v>
      </c>
      <c r="B2562" s="138">
        <f>'Acct Summary 7-8'!C20</f>
        <v>218962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110551</v>
      </c>
      <c r="D2855" s="2" t="str">
        <f t="shared" si="43"/>
        <v>Error?</v>
      </c>
    </row>
    <row r="2856" spans="1:4" x14ac:dyDescent="0.2">
      <c r="A2856" s="5">
        <v>2795</v>
      </c>
      <c r="B2856" s="138">
        <f>'ICR Computation 30'!E12</f>
        <v>2355</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31682</v>
      </c>
      <c r="D2860" s="2" t="str">
        <f t="shared" si="43"/>
        <v>Error?</v>
      </c>
    </row>
    <row r="2861" spans="1:4" x14ac:dyDescent="0.2">
      <c r="A2861" s="10">
        <v>2800</v>
      </c>
      <c r="D2861" s="2" t="str">
        <f t="shared" si="43"/>
        <v>OK</v>
      </c>
    </row>
    <row r="2862" spans="1:4" x14ac:dyDescent="0.2">
      <c r="A2862" s="5">
        <v>2801</v>
      </c>
      <c r="B2862" s="138">
        <f>'ICR Computation 30'!E9</f>
        <v>18380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218962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6611685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1835201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59050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40998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8546934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2726317</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2301884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5801243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22868953</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5801243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22649991</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2296863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148457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77341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10920159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10920159</v>
      </c>
      <c r="C5087" s="2" t="s">
        <v>573</v>
      </c>
      <c r="D5087" s="2" t="str">
        <f t="shared" si="78"/>
        <v>Error?</v>
      </c>
    </row>
    <row r="5088" spans="1:4" x14ac:dyDescent="0.2">
      <c r="A5088" s="5">
        <v>5027</v>
      </c>
      <c r="B5088" s="138">
        <f>'Revenues 9-14'!C65</f>
        <v>16901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16901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1661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6296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195078</v>
      </c>
      <c r="D5119" s="2" t="str">
        <f t="shared" ref="D5119:D5182" si="79">IF(ISBLANK(B5119),"OK",IF(A5119-B5119=0,"OK","Error?"))</f>
        <v>Error?</v>
      </c>
    </row>
    <row r="5120" spans="1:4" x14ac:dyDescent="0.2">
      <c r="A5120" s="5">
        <v>5059</v>
      </c>
      <c r="B5120" s="138">
        <f>'Revenues 9-14'!C108</f>
        <v>203035</v>
      </c>
      <c r="C5120" s="2" t="s">
        <v>573</v>
      </c>
      <c r="D5120" s="2" t="str">
        <f t="shared" si="79"/>
        <v>Error?</v>
      </c>
    </row>
    <row r="5121" spans="1:4" x14ac:dyDescent="0.2">
      <c r="A5121" s="5">
        <v>5060</v>
      </c>
      <c r="B5121" s="138">
        <f>'Revenues 9-14'!C109</f>
        <v>11140095</v>
      </c>
      <c r="C5121" s="2" t="s">
        <v>573</v>
      </c>
      <c r="D5121" s="2" t="str">
        <f t="shared" si="79"/>
        <v>Error?</v>
      </c>
    </row>
    <row r="5122" spans="1:4" x14ac:dyDescent="0.2">
      <c r="A5122" s="5">
        <v>5061</v>
      </c>
      <c r="B5122" s="138">
        <f>'Revenues 9-14'!C111</f>
        <v>1831035</v>
      </c>
      <c r="D5122" s="2" t="str">
        <f t="shared" si="79"/>
        <v>Error?</v>
      </c>
    </row>
    <row r="5123" spans="1:4" x14ac:dyDescent="0.2">
      <c r="A5123" s="5">
        <v>5062</v>
      </c>
      <c r="B5123" s="138">
        <f>'Revenues 9-14'!C112</f>
        <v>895282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2726317</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121872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2853628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2975500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3201298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3201298</v>
      </c>
      <c r="C5326" s="2" t="s">
        <v>573</v>
      </c>
      <c r="D5326" s="2" t="str">
        <f t="shared" si="82"/>
        <v>Error?</v>
      </c>
    </row>
    <row r="5327" spans="1:5" x14ac:dyDescent="0.2">
      <c r="A5327" s="5">
        <v>5266</v>
      </c>
      <c r="B5327" s="138">
        <f>'Revenues 9-14'!C268</f>
        <v>17067710</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t="str">
        <f>'Acct Summary 7-8'!D54</f>
        <v xml:space="preserve"> </v>
      </c>
      <c r="D6241" s="2" t="e">
        <f t="shared" si="96"/>
        <v>#VALUE!</v>
      </c>
      <c r="E6241" s="2" t="s">
        <v>190</v>
      </c>
    </row>
    <row r="6242" spans="1:5" x14ac:dyDescent="0.2">
      <c r="A6242">
        <v>6181</v>
      </c>
      <c r="B6242" s="138" t="str">
        <f>'Acct Summary 7-8'!H54</f>
        <v xml:space="preserve"> </v>
      </c>
      <c r="D6242" s="2" t="e">
        <f t="shared" si="96"/>
        <v>#VALUE!</v>
      </c>
      <c r="E6242" s="2" t="s">
        <v>190</v>
      </c>
    </row>
    <row r="6243" spans="1:5" x14ac:dyDescent="0.2">
      <c r="A6243">
        <v>6182</v>
      </c>
      <c r="B6243" s="138">
        <f>'Acct Summary 7-8'!C58</f>
        <v>0</v>
      </c>
      <c r="D6243" s="2" t="str">
        <f t="shared" si="96"/>
        <v>Error?</v>
      </c>
      <c r="E6243" s="2" t="s">
        <v>190</v>
      </c>
    </row>
    <row r="6244" spans="1:5" x14ac:dyDescent="0.2">
      <c r="A6244">
        <v>6183</v>
      </c>
      <c r="B6244" s="138" t="str">
        <f>'Acct Summary 7-8'!D58</f>
        <v xml:space="preserve"> </v>
      </c>
      <c r="D6244" s="2" t="e">
        <f t="shared" si="96"/>
        <v>#VALUE!</v>
      </c>
      <c r="E6244" s="2" t="s">
        <v>190</v>
      </c>
    </row>
    <row r="6245" spans="1:5" x14ac:dyDescent="0.2">
      <c r="A6245">
        <v>6184</v>
      </c>
      <c r="B6245" s="138" t="str">
        <f>'Acct Summary 7-8'!H58</f>
        <v xml:space="preserve"> </v>
      </c>
      <c r="D6245" s="2" t="e">
        <f t="shared" si="96"/>
        <v>#VALUE!</v>
      </c>
      <c r="E6245" s="2" t="s">
        <v>190</v>
      </c>
    </row>
    <row r="6246" spans="1:5" x14ac:dyDescent="0.2">
      <c r="A6246">
        <v>6185</v>
      </c>
      <c r="B6246" s="138">
        <f>'Acct Summary 7-8'!C62</f>
        <v>0</v>
      </c>
      <c r="D6246" s="2" t="str">
        <f t="shared" si="96"/>
        <v>Error?</v>
      </c>
      <c r="E6246" s="2" t="s">
        <v>190</v>
      </c>
    </row>
    <row r="6247" spans="1:5" x14ac:dyDescent="0.2">
      <c r="A6247">
        <v>6186</v>
      </c>
      <c r="B6247" s="138" t="str">
        <f>'Acct Summary 7-8'!D62</f>
        <v xml:space="preserve"> </v>
      </c>
      <c r="D6247" s="2" t="e">
        <f t="shared" si="96"/>
        <v>#VALUE!</v>
      </c>
      <c r="E6247" s="2" t="s">
        <v>190</v>
      </c>
    </row>
    <row r="6248" spans="1:5" x14ac:dyDescent="0.2">
      <c r="A6248">
        <v>6187</v>
      </c>
      <c r="B6248" s="138">
        <f>'Acct Summary 7-8'!C66</f>
        <v>0</v>
      </c>
      <c r="D6248" s="2" t="str">
        <f t="shared" si="96"/>
        <v>Error?</v>
      </c>
      <c r="E6248" s="2" t="s">
        <v>190</v>
      </c>
    </row>
    <row r="6249" spans="1:5" x14ac:dyDescent="0.2">
      <c r="A6249">
        <v>6188</v>
      </c>
      <c r="B6249" s="138" t="str">
        <f>'Acct Summary 7-8'!D66</f>
        <v xml:space="preserve"> </v>
      </c>
      <c r="D6249" s="2" t="e">
        <f t="shared" si="96"/>
        <v>#VALUE!</v>
      </c>
      <c r="E6249" s="2" t="s">
        <v>190</v>
      </c>
    </row>
    <row r="6250" spans="1:5" x14ac:dyDescent="0.2">
      <c r="A6250">
        <v>6189</v>
      </c>
      <c r="B6250" s="138">
        <f>'Acct Summary 7-8'!C70</f>
        <v>0</v>
      </c>
      <c r="D6250" s="2" t="str">
        <f t="shared" si="96"/>
        <v>Error?</v>
      </c>
      <c r="E6250" s="2" t="s">
        <v>190</v>
      </c>
    </row>
    <row r="6251" spans="1:5" x14ac:dyDescent="0.2">
      <c r="A6251">
        <v>6190</v>
      </c>
      <c r="B6251" s="138" t="str">
        <f>'Acct Summary 7-8'!D70</f>
        <v xml:space="preserve"> </v>
      </c>
      <c r="D6251" s="2" t="e">
        <f t="shared" si="96"/>
        <v>#VALUE!</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218962</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9.5330892613098822E-2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t="str">
        <f>'Revenues 9-14'!J5</f>
        <v xml:space="preserve"> </v>
      </c>
      <c r="D6298" s="2" t="e">
        <f t="shared" si="97"/>
        <v>#VALUE!</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563677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60460</v>
      </c>
      <c r="D6983" s="2" t="str">
        <f t="shared" si="108"/>
        <v>Error?</v>
      </c>
    </row>
    <row r="6984" spans="1:4" x14ac:dyDescent="0.2">
      <c r="A6984">
        <v>6923</v>
      </c>
      <c r="B6984" s="138">
        <f>'Expenditures 15-22'!K86</f>
        <v>60460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60460</v>
      </c>
      <c r="D6995" s="2" t="str">
        <f t="shared" si="108"/>
        <v>Error?</v>
      </c>
    </row>
    <row r="6996" spans="1:4" x14ac:dyDescent="0.2">
      <c r="A6996">
        <v>6935</v>
      </c>
      <c r="B6996" s="138">
        <f>'Expenditures 15-22'!H93</f>
        <v>1831035</v>
      </c>
      <c r="D6996" s="2" t="str">
        <f t="shared" si="108"/>
        <v>Error?</v>
      </c>
    </row>
    <row r="6997" spans="1:4" x14ac:dyDescent="0.2">
      <c r="A6997">
        <v>6936</v>
      </c>
      <c r="B6997" s="138">
        <f>'Expenditures 15-22'!K93</f>
        <v>1831035</v>
      </c>
      <c r="D6997" s="2" t="str">
        <f t="shared" si="108"/>
        <v>Error?</v>
      </c>
    </row>
    <row r="6998" spans="1:4" x14ac:dyDescent="0.2">
      <c r="A6998">
        <v>6937</v>
      </c>
      <c r="B6998" s="138">
        <f>'Expenditures 15-22'!H94</f>
        <v>895282</v>
      </c>
      <c r="D6998" s="2" t="str">
        <f t="shared" si="108"/>
        <v>Error?</v>
      </c>
    </row>
    <row r="6999" spans="1:4" x14ac:dyDescent="0.2">
      <c r="A6999">
        <v>6938</v>
      </c>
      <c r="B6999" s="138">
        <f>'Expenditures 15-22'!K94</f>
        <v>895282</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2726317</v>
      </c>
      <c r="D7012" s="2" t="str">
        <f t="shared" si="108"/>
        <v>Error?</v>
      </c>
    </row>
    <row r="7013" spans="1:4" x14ac:dyDescent="0.2">
      <c r="A7013">
        <v>6952</v>
      </c>
      <c r="B7013" s="138">
        <f>'Expenditures 15-22'!K100</f>
        <v>2726317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438700</v>
      </c>
      <c r="D7251" s="2" t="str">
        <f t="shared" si="112"/>
        <v>Error?</v>
      </c>
    </row>
    <row r="7252" spans="1:4" x14ac:dyDescent="0.2">
      <c r="A7252">
        <f t="shared" si="113"/>
        <v>7191</v>
      </c>
      <c r="B7252" s="138">
        <f>'Expenditures 15-22'!D9</f>
        <v>124394</v>
      </c>
      <c r="D7252" s="2" t="str">
        <f t="shared" si="112"/>
        <v>Error?</v>
      </c>
    </row>
    <row r="7253" spans="1:4" x14ac:dyDescent="0.2">
      <c r="A7253">
        <f t="shared" si="113"/>
        <v>7192</v>
      </c>
      <c r="B7253" s="138">
        <f>'Expenditures 15-22'!E9</f>
        <v>583</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33946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t="str">
        <f>'Acct Summary 7-8'!D55</f>
        <v xml:space="preserve"> </v>
      </c>
      <c r="D7652" s="2" t="e">
        <f t="shared" si="124"/>
        <v>#VALUE!</v>
      </c>
      <c r="E7652" s="2" t="s">
        <v>827</v>
      </c>
    </row>
    <row r="7653" spans="1:5" x14ac:dyDescent="0.2">
      <c r="A7653">
        <v>7592</v>
      </c>
      <c r="B7653" s="138" t="str">
        <f>'Acct Summary 7-8'!H55</f>
        <v xml:space="preserve"> </v>
      </c>
      <c r="D7653" s="2" t="e">
        <f t="shared" si="124"/>
        <v>#VALUE!</v>
      </c>
      <c r="E7653" s="2" t="s">
        <v>827</v>
      </c>
    </row>
    <row r="7654" spans="1:5" x14ac:dyDescent="0.2">
      <c r="A7654">
        <v>7593</v>
      </c>
      <c r="B7654" s="138">
        <f>'Acct Summary 7-8'!C56</f>
        <v>0</v>
      </c>
      <c r="D7654" s="2" t="str">
        <f t="shared" si="124"/>
        <v>Error?</v>
      </c>
      <c r="E7654" s="2" t="s">
        <v>827</v>
      </c>
    </row>
    <row r="7655" spans="1:5" x14ac:dyDescent="0.2">
      <c r="A7655">
        <v>7594</v>
      </c>
      <c r="B7655" s="138" t="str">
        <f>'Acct Summary 7-8'!D56</f>
        <v xml:space="preserve"> </v>
      </c>
      <c r="D7655" s="2" t="e">
        <f t="shared" si="124"/>
        <v>#VALUE!</v>
      </c>
      <c r="E7655" s="2" t="s">
        <v>827</v>
      </c>
    </row>
    <row r="7656" spans="1:5" x14ac:dyDescent="0.2">
      <c r="A7656">
        <v>7595</v>
      </c>
      <c r="B7656" s="138" t="str">
        <f>'Acct Summary 7-8'!H56</f>
        <v xml:space="preserve"> </v>
      </c>
      <c r="D7656" s="2" t="e">
        <f t="shared" si="124"/>
        <v>#VALUE!</v>
      </c>
      <c r="E7656" s="2" t="s">
        <v>827</v>
      </c>
    </row>
    <row r="7657" spans="1:5" x14ac:dyDescent="0.2">
      <c r="A7657">
        <v>7596</v>
      </c>
      <c r="B7657" s="138">
        <f>'Acct Summary 7-8'!C57</f>
        <v>0</v>
      </c>
      <c r="D7657" s="2" t="str">
        <f t="shared" si="124"/>
        <v>Error?</v>
      </c>
      <c r="E7657" s="2" t="s">
        <v>827</v>
      </c>
    </row>
    <row r="7658" spans="1:5" x14ac:dyDescent="0.2">
      <c r="A7658">
        <v>7597</v>
      </c>
      <c r="B7658" s="138" t="str">
        <f>'Acct Summary 7-8'!D57</f>
        <v xml:space="preserve"> </v>
      </c>
      <c r="D7658" s="2" t="e">
        <f t="shared" si="124"/>
        <v>#VALUE!</v>
      </c>
      <c r="E7658" s="2" t="s">
        <v>827</v>
      </c>
    </row>
    <row r="7659" spans="1:5" x14ac:dyDescent="0.2">
      <c r="A7659">
        <v>7598</v>
      </c>
      <c r="B7659" s="138" t="str">
        <f>'Acct Summary 7-8'!H57</f>
        <v xml:space="preserve"> </v>
      </c>
      <c r="D7659" s="2" t="e">
        <f t="shared" si="124"/>
        <v>#VALUE!</v>
      </c>
      <c r="E7659" s="2" t="s">
        <v>827</v>
      </c>
    </row>
    <row r="7660" spans="1:5" x14ac:dyDescent="0.2">
      <c r="A7660">
        <v>7599</v>
      </c>
      <c r="B7660" s="138">
        <f>'Acct Summary 7-8'!C59</f>
        <v>0</v>
      </c>
      <c r="D7660" s="2" t="str">
        <f t="shared" si="124"/>
        <v>Error?</v>
      </c>
      <c r="E7660" s="2" t="s">
        <v>827</v>
      </c>
    </row>
    <row r="7661" spans="1:5" x14ac:dyDescent="0.2">
      <c r="A7661">
        <v>7600</v>
      </c>
      <c r="B7661" s="138" t="str">
        <f>'Acct Summary 7-8'!D59</f>
        <v xml:space="preserve"> </v>
      </c>
      <c r="D7661" s="2" t="e">
        <f t="shared" si="124"/>
        <v>#VALUE!</v>
      </c>
      <c r="E7661" s="2" t="s">
        <v>827</v>
      </c>
    </row>
    <row r="7662" spans="1:5" x14ac:dyDescent="0.2">
      <c r="A7662">
        <v>7601</v>
      </c>
      <c r="B7662" s="138" t="str">
        <f>'Acct Summary 7-8'!H59</f>
        <v xml:space="preserve"> </v>
      </c>
      <c r="D7662" s="2" t="e">
        <f t="shared" si="124"/>
        <v>#VALUE!</v>
      </c>
      <c r="E7662" s="2" t="s">
        <v>827</v>
      </c>
    </row>
    <row r="7663" spans="1:5" x14ac:dyDescent="0.2">
      <c r="A7663">
        <v>7602</v>
      </c>
      <c r="B7663" s="138">
        <f>'Acct Summary 7-8'!C60</f>
        <v>0</v>
      </c>
      <c r="D7663" s="2" t="str">
        <f t="shared" si="124"/>
        <v>Error?</v>
      </c>
      <c r="E7663" s="2" t="s">
        <v>827</v>
      </c>
    </row>
    <row r="7664" spans="1:5" x14ac:dyDescent="0.2">
      <c r="A7664">
        <v>7603</v>
      </c>
      <c r="B7664" s="138" t="str">
        <f>'Acct Summary 7-8'!D60</f>
        <v xml:space="preserve"> </v>
      </c>
      <c r="D7664" s="2" t="e">
        <f t="shared" si="124"/>
        <v>#VALUE!</v>
      </c>
      <c r="E7664" s="2" t="s">
        <v>827</v>
      </c>
    </row>
    <row r="7665" spans="1:5" x14ac:dyDescent="0.2">
      <c r="A7665">
        <v>7604</v>
      </c>
      <c r="B7665" s="138" t="str">
        <f>'Acct Summary 7-8'!H60</f>
        <v xml:space="preserve"> </v>
      </c>
      <c r="D7665" s="2" t="e">
        <f t="shared" si="124"/>
        <v>#VALUE!</v>
      </c>
      <c r="E7665" s="2" t="s">
        <v>827</v>
      </c>
    </row>
    <row r="7666" spans="1:5" x14ac:dyDescent="0.2">
      <c r="A7666">
        <v>7605</v>
      </c>
      <c r="B7666" s="138">
        <f>'Acct Summary 7-8'!C61</f>
        <v>0</v>
      </c>
      <c r="D7666" s="2" t="str">
        <f t="shared" si="124"/>
        <v>Error?</v>
      </c>
      <c r="E7666" s="2" t="s">
        <v>827</v>
      </c>
    </row>
    <row r="7667" spans="1:5" x14ac:dyDescent="0.2">
      <c r="A7667">
        <v>7606</v>
      </c>
      <c r="B7667" s="138" t="str">
        <f>'Acct Summary 7-8'!D61</f>
        <v xml:space="preserve"> </v>
      </c>
      <c r="D7667" s="2" t="e">
        <f t="shared" si="124"/>
        <v>#VALUE!</v>
      </c>
      <c r="E7667" s="2" t="s">
        <v>827</v>
      </c>
    </row>
    <row r="7668" spans="1:5" x14ac:dyDescent="0.2">
      <c r="A7668">
        <v>7607</v>
      </c>
      <c r="B7668" s="138" t="str">
        <f>'Acct Summary 7-8'!H61</f>
        <v xml:space="preserve"> </v>
      </c>
      <c r="D7668" s="2" t="e">
        <f t="shared" si="124"/>
        <v>#VALUE!</v>
      </c>
      <c r="E7668" s="2" t="s">
        <v>827</v>
      </c>
    </row>
    <row r="7669" spans="1:5" x14ac:dyDescent="0.2">
      <c r="A7669">
        <v>7608</v>
      </c>
      <c r="B7669" s="138">
        <f>'Acct Summary 7-8'!C63</f>
        <v>0</v>
      </c>
      <c r="D7669" s="2" t="str">
        <f t="shared" si="124"/>
        <v>Error?</v>
      </c>
      <c r="E7669" s="2" t="s">
        <v>827</v>
      </c>
    </row>
    <row r="7670" spans="1:5" x14ac:dyDescent="0.2">
      <c r="A7670">
        <v>7609</v>
      </c>
      <c r="B7670" s="138" t="str">
        <f>'Acct Summary 7-8'!D63</f>
        <v xml:space="preserve"> </v>
      </c>
      <c r="D7670" s="2" t="e">
        <f t="shared" si="124"/>
        <v>#VALUE!</v>
      </c>
      <c r="E7670" s="2" t="s">
        <v>827</v>
      </c>
    </row>
    <row r="7671" spans="1:5" x14ac:dyDescent="0.2">
      <c r="A7671">
        <v>7610</v>
      </c>
      <c r="B7671" s="138">
        <f>'Acct Summary 7-8'!C64</f>
        <v>0</v>
      </c>
      <c r="D7671" s="2" t="str">
        <f t="shared" si="124"/>
        <v>Error?</v>
      </c>
      <c r="E7671" s="2" t="s">
        <v>827</v>
      </c>
    </row>
    <row r="7672" spans="1:5" x14ac:dyDescent="0.2">
      <c r="A7672">
        <v>7611</v>
      </c>
      <c r="B7672" s="138" t="str">
        <f>'Acct Summary 7-8'!D64</f>
        <v xml:space="preserve"> </v>
      </c>
      <c r="D7672" s="2" t="e">
        <f t="shared" si="124"/>
        <v>#VALUE!</v>
      </c>
      <c r="E7672" s="2" t="s">
        <v>827</v>
      </c>
    </row>
    <row r="7673" spans="1:5" x14ac:dyDescent="0.2">
      <c r="A7673">
        <v>7612</v>
      </c>
      <c r="B7673" s="138">
        <f>'Acct Summary 7-8'!C65</f>
        <v>0</v>
      </c>
      <c r="D7673" s="2" t="str">
        <f t="shared" si="124"/>
        <v>Error?</v>
      </c>
      <c r="E7673" s="2" t="s">
        <v>827</v>
      </c>
    </row>
    <row r="7674" spans="1:5" x14ac:dyDescent="0.2">
      <c r="A7674">
        <v>7613</v>
      </c>
      <c r="B7674" s="138" t="str">
        <f>'Acct Summary 7-8'!D65</f>
        <v xml:space="preserve"> </v>
      </c>
      <c r="D7674" s="2" t="e">
        <f t="shared" si="124"/>
        <v>#VALUE!</v>
      </c>
      <c r="E7674" s="2" t="s">
        <v>827</v>
      </c>
    </row>
    <row r="7675" spans="1:5" x14ac:dyDescent="0.2">
      <c r="A7675">
        <v>7614</v>
      </c>
      <c r="B7675" s="138">
        <f>'Acct Summary 7-8'!C67</f>
        <v>0</v>
      </c>
      <c r="D7675" s="2" t="str">
        <f t="shared" si="124"/>
        <v>Error?</v>
      </c>
      <c r="E7675" s="2" t="s">
        <v>827</v>
      </c>
    </row>
    <row r="7676" spans="1:5" x14ac:dyDescent="0.2">
      <c r="A7676">
        <v>7615</v>
      </c>
      <c r="B7676" s="138" t="str">
        <f>'Acct Summary 7-8'!D67</f>
        <v xml:space="preserve"> </v>
      </c>
      <c r="D7676" s="2" t="e">
        <f t="shared" si="124"/>
        <v>#VALUE!</v>
      </c>
      <c r="E7676" s="2" t="s">
        <v>827</v>
      </c>
    </row>
    <row r="7677" spans="1:5" x14ac:dyDescent="0.2">
      <c r="A7677">
        <v>7616</v>
      </c>
      <c r="B7677" s="138">
        <f>'Acct Summary 7-8'!C68</f>
        <v>0</v>
      </c>
      <c r="D7677" s="2" t="str">
        <f t="shared" si="124"/>
        <v>Error?</v>
      </c>
      <c r="E7677" s="2" t="s">
        <v>827</v>
      </c>
    </row>
    <row r="7678" spans="1:5" x14ac:dyDescent="0.2">
      <c r="A7678">
        <v>7617</v>
      </c>
      <c r="B7678" s="138" t="str">
        <f>'Acct Summary 7-8'!D68</f>
        <v xml:space="preserve"> </v>
      </c>
      <c r="D7678" s="2" t="e">
        <f t="shared" si="124"/>
        <v>#VALUE!</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t="str">
        <f>'Acct Summary 7-8'!D69</f>
        <v xml:space="preserve"> </v>
      </c>
      <c r="D7680" s="2" t="e">
        <f t="shared" si="126"/>
        <v>#VALUE!</v>
      </c>
      <c r="E7680" s="2" t="s">
        <v>827</v>
      </c>
    </row>
    <row r="7681" spans="1:5" x14ac:dyDescent="0.2">
      <c r="A7681">
        <v>7620</v>
      </c>
      <c r="B7681" s="138">
        <f>'Acct Summary 7-8'!C71</f>
        <v>0</v>
      </c>
      <c r="D7681" s="2" t="str">
        <f t="shared" si="126"/>
        <v>Error?</v>
      </c>
      <c r="E7681" s="2" t="s">
        <v>827</v>
      </c>
    </row>
    <row r="7682" spans="1:5" x14ac:dyDescent="0.2">
      <c r="A7682">
        <v>7621</v>
      </c>
      <c r="B7682" s="138" t="str">
        <f>'Acct Summary 7-8'!D71</f>
        <v xml:space="preserve"> </v>
      </c>
      <c r="D7682" s="2" t="e">
        <f t="shared" si="126"/>
        <v>#VALUE!</v>
      </c>
      <c r="E7682" s="2" t="s">
        <v>827</v>
      </c>
    </row>
    <row r="7683" spans="1:5" x14ac:dyDescent="0.2">
      <c r="A7683">
        <v>7622</v>
      </c>
      <c r="B7683" s="138">
        <f>'Acct Summary 7-8'!C72</f>
        <v>0</v>
      </c>
      <c r="D7683" s="2" t="str">
        <f t="shared" si="126"/>
        <v>Error?</v>
      </c>
      <c r="E7683" s="2" t="s">
        <v>827</v>
      </c>
    </row>
    <row r="7684" spans="1:5" x14ac:dyDescent="0.2">
      <c r="A7684">
        <v>7623</v>
      </c>
      <c r="B7684" s="138" t="str">
        <f>'Acct Summary 7-8'!D72</f>
        <v xml:space="preserve"> </v>
      </c>
      <c r="D7684" s="2" t="e">
        <f t="shared" si="126"/>
        <v>#VALUE!</v>
      </c>
      <c r="E7684" s="2" t="s">
        <v>827</v>
      </c>
    </row>
    <row r="7685" spans="1:5" x14ac:dyDescent="0.2">
      <c r="A7685">
        <v>7624</v>
      </c>
      <c r="B7685" s="138">
        <f>'Acct Summary 7-8'!C73</f>
        <v>0</v>
      </c>
      <c r="D7685" s="2" t="str">
        <f t="shared" si="126"/>
        <v>Error?</v>
      </c>
      <c r="E7685" s="2" t="s">
        <v>827</v>
      </c>
    </row>
    <row r="7686" spans="1:5" x14ac:dyDescent="0.2">
      <c r="A7686">
        <v>7625</v>
      </c>
      <c r="B7686" s="138" t="str">
        <f>'Acct Summary 7-8'!D73</f>
        <v xml:space="preserve"> </v>
      </c>
      <c r="D7686" s="2" t="e">
        <f t="shared" si="126"/>
        <v>#VALUE!</v>
      </c>
      <c r="E7686" s="2" t="s">
        <v>827</v>
      </c>
    </row>
    <row r="7687" spans="1:5" x14ac:dyDescent="0.2">
      <c r="A7687">
        <v>7626</v>
      </c>
      <c r="B7687" s="138">
        <f>'Revenues 9-14'!C196</f>
        <v>0</v>
      </c>
      <c r="D7687" s="2" t="str">
        <f t="shared" si="126"/>
        <v>Error?</v>
      </c>
      <c r="E7687" s="2" t="s">
        <v>827</v>
      </c>
    </row>
    <row r="7688" spans="1:5" x14ac:dyDescent="0.2">
      <c r="A7688">
        <v>7627</v>
      </c>
      <c r="B7688" s="138" t="str">
        <f>'Expenditures 15-22'!C328</f>
        <v xml:space="preserve"> </v>
      </c>
      <c r="D7688" s="2" t="e">
        <f t="shared" si="126"/>
        <v>#VALUE!</v>
      </c>
      <c r="E7688" s="2" t="s">
        <v>827</v>
      </c>
    </row>
    <row r="7689" spans="1:5" x14ac:dyDescent="0.2">
      <c r="A7689">
        <v>7628</v>
      </c>
      <c r="B7689" s="138" t="str">
        <f>'Expenditures 15-22'!D328</f>
        <v xml:space="preserve"> </v>
      </c>
      <c r="D7689" s="2" t="e">
        <f t="shared" si="126"/>
        <v>#VALUE!</v>
      </c>
      <c r="E7689" s="2" t="s">
        <v>827</v>
      </c>
    </row>
    <row r="7690" spans="1:5" x14ac:dyDescent="0.2">
      <c r="A7690">
        <v>7629</v>
      </c>
      <c r="B7690" s="138" t="str">
        <f>'Expenditures 15-22'!E328</f>
        <v xml:space="preserve"> </v>
      </c>
      <c r="D7690" s="2" t="e">
        <f t="shared" si="126"/>
        <v>#VALUE!</v>
      </c>
      <c r="E7690" s="2" t="s">
        <v>827</v>
      </c>
    </row>
    <row r="7691" spans="1:5" x14ac:dyDescent="0.2">
      <c r="A7691">
        <v>7630</v>
      </c>
      <c r="B7691" s="138" t="str">
        <f>'Expenditures 15-22'!F328</f>
        <v xml:space="preserve"> </v>
      </c>
      <c r="D7691" s="2" t="e">
        <f t="shared" si="126"/>
        <v>#VALUE!</v>
      </c>
      <c r="E7691" s="2" t="s">
        <v>827</v>
      </c>
    </row>
    <row r="7692" spans="1:5" x14ac:dyDescent="0.2">
      <c r="A7692">
        <v>7631</v>
      </c>
      <c r="B7692" s="138" t="str">
        <f>'Expenditures 15-22'!G328</f>
        <v xml:space="preserve"> </v>
      </c>
      <c r="D7692" s="2" t="e">
        <f t="shared" si="126"/>
        <v>#VALUE!</v>
      </c>
      <c r="E7692" s="2" t="s">
        <v>827</v>
      </c>
    </row>
    <row r="7693" spans="1:5" x14ac:dyDescent="0.2">
      <c r="A7693">
        <v>7632</v>
      </c>
      <c r="B7693" s="138" t="str">
        <f>'Expenditures 15-22'!H328</f>
        <v xml:space="preserve"> </v>
      </c>
      <c r="D7693" s="2" t="e">
        <f t="shared" si="126"/>
        <v>#VALUE!</v>
      </c>
      <c r="E7693" s="2" t="s">
        <v>827</v>
      </c>
    </row>
    <row r="7694" spans="1:5" x14ac:dyDescent="0.2">
      <c r="A7694">
        <v>7633</v>
      </c>
      <c r="B7694" s="138" t="str">
        <f>'Expenditures 15-22'!I328</f>
        <v xml:space="preserve"> </v>
      </c>
      <c r="D7694" s="2" t="e">
        <f t="shared" si="126"/>
        <v>#VALUE!</v>
      </c>
      <c r="E7694" s="2" t="s">
        <v>827</v>
      </c>
    </row>
    <row r="7695" spans="1:5" x14ac:dyDescent="0.2">
      <c r="A7695">
        <v>7634</v>
      </c>
      <c r="B7695" s="138" t="str">
        <f>'Expenditures 15-22'!J328</f>
        <v xml:space="preserve"> </v>
      </c>
      <c r="D7695" s="2" t="e">
        <f t="shared" si="126"/>
        <v>#VALUE!</v>
      </c>
      <c r="E7695" s="2" t="s">
        <v>827</v>
      </c>
    </row>
    <row r="7696" spans="1:5" x14ac:dyDescent="0.2">
      <c r="A7696">
        <v>7635</v>
      </c>
      <c r="B7696" s="138">
        <f>'Expenditures 15-22'!K328</f>
        <v>0</v>
      </c>
      <c r="D7696" s="2" t="str">
        <f t="shared" si="126"/>
        <v>Error?</v>
      </c>
      <c r="E7696" s="2" t="s">
        <v>827</v>
      </c>
    </row>
    <row r="7697" spans="1:5" x14ac:dyDescent="0.2">
      <c r="A7697">
        <v>7636</v>
      </c>
      <c r="B7697" s="138" t="str">
        <f>'Expenditures 15-22'!C329</f>
        <v xml:space="preserve"> </v>
      </c>
      <c r="D7697" s="2" t="e">
        <f t="shared" si="126"/>
        <v>#VALUE!</v>
      </c>
      <c r="E7697" s="2" t="s">
        <v>827</v>
      </c>
    </row>
    <row r="7698" spans="1:5" x14ac:dyDescent="0.2">
      <c r="A7698">
        <v>7637</v>
      </c>
      <c r="B7698" s="138" t="str">
        <f>'Expenditures 15-22'!D329</f>
        <v xml:space="preserve"> </v>
      </c>
      <c r="D7698" s="2" t="e">
        <f t="shared" si="126"/>
        <v>#VALUE!</v>
      </c>
      <c r="E7698" s="2" t="s">
        <v>827</v>
      </c>
    </row>
    <row r="7699" spans="1:5" x14ac:dyDescent="0.2">
      <c r="A7699">
        <v>7638</v>
      </c>
      <c r="B7699" s="138" t="str">
        <f>'Expenditures 15-22'!E329</f>
        <v xml:space="preserve"> </v>
      </c>
      <c r="D7699" s="2" t="e">
        <f t="shared" si="126"/>
        <v>#VALUE!</v>
      </c>
      <c r="E7699" s="2" t="s">
        <v>827</v>
      </c>
    </row>
    <row r="7700" spans="1:5" x14ac:dyDescent="0.2">
      <c r="A7700">
        <v>7639</v>
      </c>
      <c r="B7700" s="138" t="str">
        <f>'Expenditures 15-22'!F329</f>
        <v xml:space="preserve"> </v>
      </c>
      <c r="D7700" s="2" t="e">
        <f t="shared" si="126"/>
        <v>#VALUE!</v>
      </c>
      <c r="E7700" s="2" t="s">
        <v>827</v>
      </c>
    </row>
    <row r="7701" spans="1:5" x14ac:dyDescent="0.2">
      <c r="A7701">
        <v>7640</v>
      </c>
      <c r="B7701" s="138" t="str">
        <f>'Expenditures 15-22'!G329</f>
        <v xml:space="preserve"> </v>
      </c>
      <c r="D7701" s="2" t="e">
        <f t="shared" si="126"/>
        <v>#VALUE!</v>
      </c>
      <c r="E7701" s="2" t="s">
        <v>827</v>
      </c>
    </row>
    <row r="7702" spans="1:5" x14ac:dyDescent="0.2">
      <c r="A7702">
        <v>7641</v>
      </c>
      <c r="B7702" s="138" t="str">
        <f>'Expenditures 15-22'!H329</f>
        <v xml:space="preserve"> </v>
      </c>
      <c r="D7702" s="2" t="e">
        <f t="shared" si="126"/>
        <v>#VALUE!</v>
      </c>
      <c r="E7702" s="2" t="s">
        <v>827</v>
      </c>
    </row>
    <row r="7703" spans="1:5" x14ac:dyDescent="0.2">
      <c r="A7703">
        <v>7642</v>
      </c>
      <c r="B7703" s="138" t="str">
        <f>'Expenditures 15-22'!I329</f>
        <v xml:space="preserve"> </v>
      </c>
      <c r="D7703" s="2" t="e">
        <f t="shared" si="126"/>
        <v>#VALUE!</v>
      </c>
      <c r="E7703" s="2" t="s">
        <v>827</v>
      </c>
    </row>
    <row r="7704" spans="1:5" x14ac:dyDescent="0.2">
      <c r="A7704">
        <v>7643</v>
      </c>
      <c r="B7704" s="138" t="str">
        <f>'Expenditures 15-22'!J329</f>
        <v xml:space="preserve"> </v>
      </c>
      <c r="D7704" s="2" t="e">
        <f t="shared" si="126"/>
        <v>#VALUE!</v>
      </c>
      <c r="E7704" s="2" t="s">
        <v>827</v>
      </c>
    </row>
    <row r="7705" spans="1:5" x14ac:dyDescent="0.2">
      <c r="A7705">
        <v>7644</v>
      </c>
      <c r="B7705" s="138">
        <f>'Expenditures 15-22'!K329</f>
        <v>0</v>
      </c>
      <c r="D7705" s="2" t="str">
        <f t="shared" si="126"/>
        <v>Error?</v>
      </c>
      <c r="E7705" s="2" t="s">
        <v>827</v>
      </c>
    </row>
    <row r="7706" spans="1:5" x14ac:dyDescent="0.2">
      <c r="A7706">
        <v>7645</v>
      </c>
      <c r="B7706" s="138" t="str">
        <f>'Revenues 9-14'!H167</f>
        <v xml:space="preserve"> </v>
      </c>
      <c r="D7706" s="2" t="e">
        <f t="shared" si="126"/>
        <v>#VALUE!</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t="str">
        <f>'Revenues 9-14'!E103</f>
        <v xml:space="preserve"> </v>
      </c>
      <c r="D7728" s="2" t="e">
        <f t="shared" si="126"/>
        <v>#VALUE!</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t="str">
        <f>'Revenues 9-14'!H103</f>
        <v xml:space="preserve"> </v>
      </c>
      <c r="D7731" s="2" t="e">
        <f t="shared" si="126"/>
        <v>#VALUE!</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t="str">
        <f>'Expenditures 15-22'!H364</f>
        <v xml:space="preserve"> </v>
      </c>
      <c r="D7745" s="2" t="e">
        <f t="shared" si="127"/>
        <v>#VALUE!</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t="str">
        <f>'Acct Summary 7-8'!D25</f>
        <v xml:space="preserve"> </v>
      </c>
      <c r="D7749" s="2" t="e">
        <f t="shared" si="127"/>
        <v>#VALUE!</v>
      </c>
      <c r="E7749" s="4" t="s">
        <v>1333</v>
      </c>
    </row>
    <row r="7750" spans="1:6" x14ac:dyDescent="0.2">
      <c r="A7750">
        <v>7689</v>
      </c>
      <c r="B7750" s="138" t="str">
        <f>'Acct Summary 7-8'!E25</f>
        <v xml:space="preserve"> </v>
      </c>
      <c r="D7750" s="2" t="e">
        <f t="shared" si="127"/>
        <v>#VALUE!</v>
      </c>
      <c r="E7750" s="4" t="s">
        <v>1333</v>
      </c>
    </row>
    <row r="7751" spans="1:6" x14ac:dyDescent="0.2">
      <c r="A7751">
        <v>7690</v>
      </c>
      <c r="B7751" s="138" t="str">
        <f>'Acct Summary 7-8'!F25</f>
        <v xml:space="preserve"> </v>
      </c>
      <c r="D7751" s="2" t="e">
        <f t="shared" si="127"/>
        <v>#VALUE!</v>
      </c>
      <c r="E7751" s="4" t="s">
        <v>1333</v>
      </c>
    </row>
    <row r="7752" spans="1:6" x14ac:dyDescent="0.2">
      <c r="A7752">
        <v>7691</v>
      </c>
      <c r="B7752" s="138" t="str">
        <f>'Acct Summary 7-8'!G25</f>
        <v xml:space="preserve"> </v>
      </c>
      <c r="D7752" s="2" t="e">
        <f t="shared" si="127"/>
        <v>#VALUE!</v>
      </c>
      <c r="E7752" s="4" t="s">
        <v>1333</v>
      </c>
    </row>
    <row r="7753" spans="1:6" x14ac:dyDescent="0.2">
      <c r="A7753">
        <v>7692</v>
      </c>
      <c r="B7753" s="138" t="str">
        <f>'Acct Summary 7-8'!H25</f>
        <v xml:space="preserve"> </v>
      </c>
      <c r="D7753" s="2" t="e">
        <f t="shared" si="127"/>
        <v>#VALUE!</v>
      </c>
      <c r="E7753" s="4" t="s">
        <v>1333</v>
      </c>
    </row>
    <row r="7754" spans="1:6" x14ac:dyDescent="0.2">
      <c r="A7754">
        <v>7693</v>
      </c>
      <c r="B7754" s="138" t="str">
        <f>'Acct Summary 7-8'!J25</f>
        <v xml:space="preserve"> </v>
      </c>
      <c r="D7754" s="2" t="e">
        <f t="shared" si="127"/>
        <v>#VALUE!</v>
      </c>
      <c r="E7754" s="4" t="s">
        <v>1333</v>
      </c>
    </row>
    <row r="7755" spans="1:6" x14ac:dyDescent="0.2">
      <c r="A7755">
        <v>7694</v>
      </c>
      <c r="B7755" s="138" t="str">
        <f>'Acct Summary 7-8'!K25</f>
        <v xml:space="preserve"> </v>
      </c>
      <c r="D7755" s="2" t="e">
        <f t="shared" si="127"/>
        <v>#VALUE!</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1850</v>
      </c>
    </row>
    <row r="7775" spans="1:5" x14ac:dyDescent="0.2">
      <c r="A7775">
        <v>7714</v>
      </c>
      <c r="B7775" s="138" t="str">
        <f>'Expenditures 15-22'!H133</f>
        <v xml:space="preserve"> </v>
      </c>
      <c r="D7775" s="2" t="e">
        <f t="shared" si="127"/>
        <v>#VALUE!</v>
      </c>
      <c r="E7775" s="4" t="s">
        <v>1850</v>
      </c>
    </row>
    <row r="7776" spans="1:5" x14ac:dyDescent="0.2">
      <c r="A7776">
        <v>7715</v>
      </c>
      <c r="B7776" s="138">
        <f>'Expenditures 15-22'!K133</f>
        <v>0</v>
      </c>
      <c r="D7776" s="2" t="str">
        <f t="shared" si="127"/>
        <v>Error?</v>
      </c>
      <c r="E7776" s="4" t="s">
        <v>1850</v>
      </c>
    </row>
    <row r="7777" spans="1:5" x14ac:dyDescent="0.2">
      <c r="A7777">
        <v>7716</v>
      </c>
      <c r="B7777" s="138" t="str">
        <f>'Expenditures 15-22'!H157</f>
        <v xml:space="preserve"> </v>
      </c>
      <c r="D7777" s="2" t="e">
        <f t="shared" si="127"/>
        <v>#VALUE!</v>
      </c>
      <c r="E7777" s="4" t="s">
        <v>1850</v>
      </c>
    </row>
    <row r="7778" spans="1:5" x14ac:dyDescent="0.2">
      <c r="A7778">
        <v>7717</v>
      </c>
      <c r="B7778" s="138" t="str">
        <f>'Expenditures 15-22'!K157</f>
        <v xml:space="preserve"> </v>
      </c>
      <c r="D7778" s="2" t="e">
        <f t="shared" si="127"/>
        <v>#VALUE!</v>
      </c>
      <c r="E7778" s="4" t="s">
        <v>1850</v>
      </c>
    </row>
    <row r="7779" spans="1:5" x14ac:dyDescent="0.2">
      <c r="A7779">
        <v>7718</v>
      </c>
      <c r="B7779" s="138" t="str">
        <f>'Expenditures 15-22'!H158</f>
        <v xml:space="preserve"> </v>
      </c>
      <c r="D7779" s="2" t="e">
        <f t="shared" si="127"/>
        <v>#VALUE!</v>
      </c>
      <c r="E7779" s="4" t="s">
        <v>1850</v>
      </c>
    </row>
    <row r="7780" spans="1:5" x14ac:dyDescent="0.2">
      <c r="A7780">
        <v>7719</v>
      </c>
      <c r="B7780" s="138" t="str">
        <f>'Expenditures 15-22'!K158</f>
        <v xml:space="preserve"> </v>
      </c>
      <c r="D7780" s="2" t="e">
        <f t="shared" si="127"/>
        <v>#VALUE!</v>
      </c>
      <c r="E7780" s="4" t="s">
        <v>1850</v>
      </c>
    </row>
    <row r="7781" spans="1:5" x14ac:dyDescent="0.2">
      <c r="A7781">
        <v>7720</v>
      </c>
      <c r="B7781" s="138" t="str">
        <f>'Expenditures 15-22'!H159</f>
        <v xml:space="preserve"> </v>
      </c>
      <c r="D7781" s="2" t="e">
        <f t="shared" si="127"/>
        <v>#VALUE!</v>
      </c>
      <c r="E7781" s="4" t="s">
        <v>1850</v>
      </c>
    </row>
    <row r="7782" spans="1:5" x14ac:dyDescent="0.2">
      <c r="A7782">
        <v>7721</v>
      </c>
      <c r="B7782" s="138" t="str">
        <f>'Expenditures 15-22'!K159</f>
        <v xml:space="preserve"> </v>
      </c>
      <c r="D7782" s="2" t="e">
        <f t="shared" si="127"/>
        <v>#VALUE!</v>
      </c>
      <c r="E7782" s="4" t="s">
        <v>1850</v>
      </c>
    </row>
    <row r="7783" spans="1:5" x14ac:dyDescent="0.2">
      <c r="A7783">
        <v>7722</v>
      </c>
      <c r="B7783" s="138" t="str">
        <f>'Expenditures 15-22'!D282</f>
        <v xml:space="preserve"> </v>
      </c>
      <c r="D7783" s="2" t="e">
        <f t="shared" si="127"/>
        <v>#VALUE!</v>
      </c>
      <c r="E7783" s="4" t="s">
        <v>1850</v>
      </c>
    </row>
    <row r="7784" spans="1:5" x14ac:dyDescent="0.2">
      <c r="A7784">
        <v>7723</v>
      </c>
      <c r="B7784" s="138" t="str">
        <f>'Expenditures 15-22'!K282</f>
        <v xml:space="preserve"> </v>
      </c>
      <c r="D7784" s="2" t="e">
        <f t="shared" si="127"/>
        <v>#VALUE!</v>
      </c>
      <c r="E7784" s="4" t="s">
        <v>1850</v>
      </c>
    </row>
    <row r="7785" spans="1:5" x14ac:dyDescent="0.2">
      <c r="A7785">
        <v>7724</v>
      </c>
      <c r="B7785" s="138" t="str">
        <f>'Expenditures 15-22'!H332</f>
        <v xml:space="preserve"> </v>
      </c>
      <c r="D7785" s="2" t="e">
        <f t="shared" si="127"/>
        <v>#VALUE!</v>
      </c>
      <c r="E7785" s="4" t="s">
        <v>1850</v>
      </c>
    </row>
    <row r="7786" spans="1:5" x14ac:dyDescent="0.2">
      <c r="A7786">
        <v>7725</v>
      </c>
      <c r="B7786" s="138" t="str">
        <f>'Expenditures 15-22'!K332</f>
        <v xml:space="preserve"> </v>
      </c>
      <c r="D7786" s="2" t="e">
        <f t="shared" si="127"/>
        <v>#VALUE!</v>
      </c>
      <c r="E7786" s="4" t="s">
        <v>1850</v>
      </c>
    </row>
    <row r="7787" spans="1:5" x14ac:dyDescent="0.2">
      <c r="A7787">
        <v>7726</v>
      </c>
      <c r="B7787" s="138" t="str">
        <f>'Expenditures 15-22'!H333</f>
        <v xml:space="preserve"> </v>
      </c>
      <c r="D7787" s="2" t="e">
        <f t="shared" si="127"/>
        <v>#VALUE!</v>
      </c>
      <c r="E7787" s="4" t="s">
        <v>1850</v>
      </c>
    </row>
    <row r="7788" spans="1:5" x14ac:dyDescent="0.2">
      <c r="A7788">
        <v>7727</v>
      </c>
      <c r="B7788" s="138" t="str">
        <f>'Expenditures 15-22'!K333</f>
        <v xml:space="preserve"> </v>
      </c>
      <c r="D7788" s="2" t="e">
        <f t="shared" si="127"/>
        <v>#VALUE!</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t="str">
        <f>'Expenditures 15-22'!H354</f>
        <v xml:space="preserve"> </v>
      </c>
      <c r="D7791" s="2" t="e">
        <f t="shared" si="127"/>
        <v>#VALUE!</v>
      </c>
      <c r="E7791" s="4" t="s">
        <v>1850</v>
      </c>
    </row>
    <row r="7792" spans="1:5" x14ac:dyDescent="0.2">
      <c r="A7792">
        <v>7731</v>
      </c>
      <c r="B7792" s="138" t="str">
        <f>'Expenditures 15-22'!K354</f>
        <v xml:space="preserve"> </v>
      </c>
      <c r="D7792" s="2" t="e">
        <f t="shared" si="127"/>
        <v>#VALUE!</v>
      </c>
      <c r="E7792" s="4" t="s">
        <v>1850</v>
      </c>
    </row>
    <row r="7793" spans="1:5" x14ac:dyDescent="0.2">
      <c r="A7793">
        <v>7732</v>
      </c>
      <c r="B7793" s="138" t="str">
        <f>'Expenditures 15-22'!H355</f>
        <v xml:space="preserve"> </v>
      </c>
      <c r="D7793" s="2" t="e">
        <f t="shared" si="127"/>
        <v>#VALUE!</v>
      </c>
      <c r="E7793" s="4" t="s">
        <v>1850</v>
      </c>
    </row>
    <row r="7794" spans="1:5" x14ac:dyDescent="0.2">
      <c r="A7794">
        <v>7733</v>
      </c>
      <c r="B7794" s="138" t="str">
        <f>'Expenditures 15-22'!K355</f>
        <v xml:space="preserve"> </v>
      </c>
      <c r="D7794" s="2" t="e">
        <f t="shared" si="127"/>
        <v>#VALUE!</v>
      </c>
      <c r="E7794" s="4" t="s">
        <v>1850</v>
      </c>
    </row>
    <row r="7795" spans="1:5" x14ac:dyDescent="0.2">
      <c r="A7795">
        <v>7734</v>
      </c>
      <c r="B7795" s="138" t="str">
        <f>'Expenditures 15-22'!E138</f>
        <v xml:space="preserve"> </v>
      </c>
      <c r="D7795" s="2" t="e">
        <f t="shared" si="127"/>
        <v>#VALUE!</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29'!D36</f>
        <v>643590</v>
      </c>
      <c r="D7797" s="2" t="str">
        <f t="shared" si="127"/>
        <v>Error?</v>
      </c>
      <c r="E7797" s="4" t="s">
        <v>1899</v>
      </c>
    </row>
    <row r="7798" spans="1:5" x14ac:dyDescent="0.2">
      <c r="A7798">
        <v>7737</v>
      </c>
      <c r="B7798" s="138">
        <f>'Contracts Paid in CY 29'!F36</f>
        <v>100000</v>
      </c>
      <c r="D7798" s="2" t="str">
        <f t="shared" si="127"/>
        <v>Error?</v>
      </c>
      <c r="E7798" s="4" t="s">
        <v>1899</v>
      </c>
    </row>
    <row r="7799" spans="1:5" x14ac:dyDescent="0.2">
      <c r="A7799">
        <v>7738</v>
      </c>
      <c r="B7799" s="138">
        <f>'Contracts Paid in CY 29'!G36</f>
        <v>543590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t="str">
        <f>'Revenues 9-14'!D120</f>
        <v xml:space="preserve"> </v>
      </c>
      <c r="D7802" s="2" t="e">
        <f t="shared" si="127"/>
        <v>#VALUE!</v>
      </c>
      <c r="E7802" s="4" t="s">
        <v>1935</v>
      </c>
    </row>
    <row r="7803" spans="1:5" x14ac:dyDescent="0.2">
      <c r="A7803">
        <v>7742</v>
      </c>
      <c r="B7803" s="138" t="str">
        <f>'Revenues 9-14'!E120</f>
        <v xml:space="preserve"> </v>
      </c>
      <c r="D7803" s="2" t="e">
        <f t="shared" si="127"/>
        <v>#VALUE!</v>
      </c>
      <c r="E7803" s="4" t="s">
        <v>1935</v>
      </c>
    </row>
    <row r="7804" spans="1:5" x14ac:dyDescent="0.2">
      <c r="A7804">
        <v>7743</v>
      </c>
      <c r="B7804" s="138" t="str">
        <f>'Revenues 9-14'!F120</f>
        <v xml:space="preserve"> </v>
      </c>
      <c r="D7804" s="2" t="e">
        <f t="shared" si="127"/>
        <v>#VALUE!</v>
      </c>
      <c r="E7804" s="4" t="s">
        <v>1935</v>
      </c>
    </row>
    <row r="7805" spans="1:5" x14ac:dyDescent="0.2">
      <c r="A7805">
        <v>7744</v>
      </c>
      <c r="B7805" s="138" t="str">
        <f>'Revenues 9-14'!G120</f>
        <v xml:space="preserve"> </v>
      </c>
      <c r="D7805" s="2" t="e">
        <f t="shared" si="127"/>
        <v>#VALUE!</v>
      </c>
      <c r="E7805" s="4" t="s">
        <v>1935</v>
      </c>
    </row>
    <row r="7806" spans="1:5" x14ac:dyDescent="0.2">
      <c r="A7806">
        <v>7745</v>
      </c>
      <c r="B7806" s="138" t="str">
        <f>'Revenues 9-14'!H120</f>
        <v xml:space="preserve"> </v>
      </c>
      <c r="D7806" s="2" t="e">
        <f t="shared" si="127"/>
        <v>#VALUE!</v>
      </c>
      <c r="E7806" s="4" t="s">
        <v>1935</v>
      </c>
    </row>
    <row r="7807" spans="1:5" x14ac:dyDescent="0.2">
      <c r="A7807">
        <v>7746</v>
      </c>
      <c r="B7807" s="138" t="str">
        <f>'Revenues 9-14'!J120</f>
        <v xml:space="preserve"> </v>
      </c>
      <c r="D7807" s="2" t="e">
        <f t="shared" ref="D7807:D7816" si="128">IF(ISBLANK(B7807),"OK",IF(A7807-B7807=0,"OK","Error?"))</f>
        <v>#VALUE!</v>
      </c>
      <c r="E7807" s="4" t="s">
        <v>1935</v>
      </c>
    </row>
    <row r="7808" spans="1:5" x14ac:dyDescent="0.2">
      <c r="A7808">
        <v>7747</v>
      </c>
      <c r="B7808" s="138" t="str">
        <f>'Revenues 9-14'!K120</f>
        <v xml:space="preserve"> </v>
      </c>
      <c r="D7808" s="2" t="e">
        <f t="shared" si="128"/>
        <v>#VALUE!</v>
      </c>
      <c r="E7808" s="4" t="s">
        <v>1935</v>
      </c>
    </row>
    <row r="7809" spans="1:5" x14ac:dyDescent="0.2">
      <c r="A7809">
        <v>7748</v>
      </c>
      <c r="B7809" s="138">
        <f>'Revenues 9-14'!C261</f>
        <v>0</v>
      </c>
      <c r="D7809" s="2" t="str">
        <f t="shared" si="128"/>
        <v>Error?</v>
      </c>
      <c r="E7809" s="4" t="s">
        <v>1936</v>
      </c>
    </row>
    <row r="7810" spans="1:5" x14ac:dyDescent="0.2">
      <c r="A7810">
        <v>7749</v>
      </c>
      <c r="B7810" s="138" t="str">
        <f>'Revenues 9-14'!D261</f>
        <v xml:space="preserve"> </v>
      </c>
      <c r="D7810" s="2" t="e">
        <f t="shared" si="128"/>
        <v>#VALUE!</v>
      </c>
      <c r="E7810" s="4" t="s">
        <v>1936</v>
      </c>
    </row>
    <row r="7811" spans="1:5" x14ac:dyDescent="0.2">
      <c r="A7811">
        <v>7750</v>
      </c>
      <c r="B7811" s="138" t="str">
        <f>'Revenues 9-14'!F261</f>
        <v xml:space="preserve"> </v>
      </c>
      <c r="D7811" s="2" t="e">
        <f t="shared" si="128"/>
        <v>#VALUE!</v>
      </c>
      <c r="E7811" s="4" t="s">
        <v>1936</v>
      </c>
    </row>
    <row r="7812" spans="1:5" x14ac:dyDescent="0.2">
      <c r="A7812">
        <v>7751</v>
      </c>
      <c r="B7812" s="138" t="str">
        <f>'Revenues 9-14'!G261</f>
        <v xml:space="preserve"> </v>
      </c>
      <c r="D7812" s="2" t="e">
        <f t="shared" si="128"/>
        <v>#VALUE!</v>
      </c>
      <c r="E7812" s="4" t="s">
        <v>1936</v>
      </c>
    </row>
    <row r="7813" spans="1:5" x14ac:dyDescent="0.2">
      <c r="A7813">
        <v>7752</v>
      </c>
      <c r="B7813" s="138">
        <f>'Revenues 9-14'!C262</f>
        <v>0</v>
      </c>
      <c r="D7813" s="2" t="str">
        <f t="shared" si="128"/>
        <v>Error?</v>
      </c>
      <c r="E7813" s="4" t="s">
        <v>1937</v>
      </c>
    </row>
    <row r="7814" spans="1:5" x14ac:dyDescent="0.2">
      <c r="A7814">
        <v>7753</v>
      </c>
      <c r="B7814" s="138" t="str">
        <f>'Revenues 9-14'!D262</f>
        <v xml:space="preserve"> </v>
      </c>
      <c r="D7814" s="2" t="e">
        <f t="shared" si="128"/>
        <v>#VALUE!</v>
      </c>
      <c r="E7814" s="4" t="s">
        <v>1937</v>
      </c>
    </row>
    <row r="7815" spans="1:5" x14ac:dyDescent="0.2">
      <c r="A7815">
        <v>7754</v>
      </c>
      <c r="B7815" s="138" t="str">
        <f>'Revenues 9-14'!F262</f>
        <v xml:space="preserve"> </v>
      </c>
      <c r="D7815" s="2" t="e">
        <f t="shared" si="128"/>
        <v>#VALUE!</v>
      </c>
      <c r="E7815" s="4" t="s">
        <v>1937</v>
      </c>
    </row>
    <row r="7816" spans="1:5" x14ac:dyDescent="0.2">
      <c r="A7816">
        <v>7755</v>
      </c>
      <c r="B7816" s="138" t="str">
        <f>'Revenues 9-14'!G262</f>
        <v xml:space="preserve"> </v>
      </c>
      <c r="D7816" s="2" t="e">
        <f t="shared" si="128"/>
        <v>#VALUE!</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K14" sqref="K14"/>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7" customHeight="1" x14ac:dyDescent="0.2">
      <c r="A2" s="2400" t="s">
        <v>1191</v>
      </c>
      <c r="B2" s="2400"/>
      <c r="C2" s="2400"/>
      <c r="D2" s="2400"/>
      <c r="E2" s="2400"/>
      <c r="F2" s="2400"/>
      <c r="G2" s="2400"/>
      <c r="H2" s="2400"/>
      <c r="I2" s="2400"/>
      <c r="J2" s="2400"/>
      <c r="K2" s="2400"/>
      <c r="L2" s="2400"/>
    </row>
    <row r="3" spans="1:29" ht="13.7" customHeight="1" x14ac:dyDescent="0.2">
      <c r="A3" s="2431" t="s">
        <v>1190</v>
      </c>
      <c r="B3" s="2431"/>
      <c r="C3" s="2431"/>
      <c r="D3" s="2431"/>
      <c r="E3" s="2431"/>
      <c r="F3" s="2431"/>
      <c r="G3" s="2431"/>
      <c r="H3" s="2431"/>
      <c r="I3" s="2431"/>
      <c r="J3" s="2431"/>
      <c r="K3" s="2431"/>
      <c r="L3" s="2431"/>
    </row>
    <row r="4" spans="1:29" ht="13.7" customHeight="1" x14ac:dyDescent="0.2">
      <c r="A4" s="2400" t="s">
        <v>1983</v>
      </c>
      <c r="B4" s="2421"/>
      <c r="C4" s="2421"/>
      <c r="D4" s="2421"/>
      <c r="E4" s="2421"/>
      <c r="F4" s="2421"/>
      <c r="G4" s="2421"/>
      <c r="H4" s="2421"/>
      <c r="I4" s="2421"/>
      <c r="J4" s="2421"/>
      <c r="K4" s="2421"/>
      <c r="L4" s="242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7"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22" t="str">
        <f>COVER!A17</f>
        <v>Mid-State Spec Educ Jnt Agr</v>
      </c>
      <c r="B7" s="2423"/>
      <c r="C7" s="2423"/>
      <c r="D7" s="2424"/>
      <c r="E7" s="2425">
        <f>COVER!A13</f>
        <v>3011801060</v>
      </c>
      <c r="F7" s="2426"/>
      <c r="G7" s="2432" t="str">
        <f>COVER!T23</f>
        <v>066-003845</v>
      </c>
      <c r="H7" s="2433"/>
      <c r="I7" s="2433"/>
      <c r="J7" s="2433"/>
      <c r="K7" s="2433"/>
      <c r="L7" s="2434"/>
    </row>
    <row r="8" spans="1:29" ht="13.7" customHeight="1" x14ac:dyDescent="0.2">
      <c r="A8" s="1182" t="s">
        <v>1517</v>
      </c>
      <c r="B8" s="1183"/>
      <c r="C8" s="1184"/>
      <c r="D8" s="1184"/>
      <c r="E8" s="1189"/>
      <c r="F8" s="1188"/>
      <c r="G8" s="1190" t="s">
        <v>1186</v>
      </c>
      <c r="H8" s="1191"/>
      <c r="I8" s="1191"/>
      <c r="J8" s="1191"/>
      <c r="K8" s="1191"/>
      <c r="L8" s="1192"/>
    </row>
    <row r="9" spans="1:29" ht="13.7" customHeight="1" x14ac:dyDescent="0.2">
      <c r="A9" s="2435"/>
      <c r="B9" s="2436"/>
      <c r="C9" s="2436"/>
      <c r="D9" s="2436"/>
      <c r="E9" s="2436"/>
      <c r="F9" s="2437"/>
      <c r="G9" s="2406" t="str">
        <f>COVER!T13</f>
        <v>MOSE, YOCKEY, BROWN &amp; KULL, LLC</v>
      </c>
      <c r="H9" s="2438"/>
      <c r="I9" s="2438"/>
      <c r="J9" s="2438"/>
      <c r="K9" s="2438"/>
      <c r="L9" s="2439"/>
    </row>
    <row r="10" spans="1:29" ht="13.7" customHeight="1" x14ac:dyDescent="0.2">
      <c r="A10" s="2412" t="str">
        <f>COVER!A38</f>
        <v>ANGELA ARMOUR</v>
      </c>
      <c r="B10" s="2413"/>
      <c r="C10" s="2413"/>
      <c r="D10" s="2413"/>
      <c r="E10" s="2413"/>
      <c r="F10" s="2414"/>
      <c r="G10" s="2406" t="str">
        <f>COVER!T17</f>
        <v>230 N MORGAN, PO BOX 317</v>
      </c>
      <c r="H10" s="2407"/>
      <c r="I10" s="2407"/>
      <c r="J10" s="2407"/>
      <c r="K10" s="2407"/>
      <c r="L10" s="2408"/>
    </row>
    <row r="11" spans="1:29" ht="13.7" customHeight="1" x14ac:dyDescent="0.2">
      <c r="A11" s="1182" t="s">
        <v>1519</v>
      </c>
      <c r="B11" s="1183"/>
      <c r="C11" s="1184"/>
      <c r="D11" s="1189"/>
      <c r="E11" s="1184"/>
      <c r="F11" s="1188"/>
      <c r="G11" s="2406" t="str">
        <f>COVER!T19</f>
        <v>SHELBYVILLE</v>
      </c>
      <c r="H11" s="2407"/>
      <c r="I11" s="2407"/>
      <c r="J11" s="2407"/>
      <c r="K11" s="2407"/>
      <c r="L11" s="2408"/>
    </row>
    <row r="12" spans="1:29" ht="13.7" customHeight="1" x14ac:dyDescent="0.2">
      <c r="A12" s="2415" t="s">
        <v>1518</v>
      </c>
      <c r="B12" s="2416"/>
      <c r="C12" s="2416"/>
      <c r="D12" s="2416"/>
      <c r="E12" s="2416"/>
      <c r="F12" s="2417"/>
      <c r="G12" s="2409"/>
      <c r="H12" s="2410"/>
      <c r="I12" s="2410"/>
      <c r="J12" s="2410"/>
      <c r="K12" s="2410"/>
      <c r="L12" s="2411"/>
    </row>
    <row r="13" spans="1:29" ht="13.7" customHeight="1" x14ac:dyDescent="0.2">
      <c r="A13" s="2406"/>
      <c r="B13" s="2407"/>
      <c r="C13" s="2407"/>
      <c r="D13" s="2407"/>
      <c r="E13" s="2407"/>
      <c r="F13" s="2408"/>
      <c r="G13" s="2401" t="s">
        <v>1520</v>
      </c>
      <c r="H13" s="2402"/>
      <c r="I13" s="2418" t="str">
        <f>COVER!T25</f>
        <v>mybkcpas@consolidated.net</v>
      </c>
      <c r="J13" s="2419"/>
      <c r="K13" s="2419"/>
      <c r="L13" s="2420"/>
    </row>
    <row r="14" spans="1:29" ht="13.7" customHeight="1" x14ac:dyDescent="0.2">
      <c r="A14" s="2406" t="str">
        <f>COVER!A19</f>
        <v>202 PRAIRIE, PO BOX 46</v>
      </c>
      <c r="B14" s="2407"/>
      <c r="C14" s="2407"/>
      <c r="D14" s="2407"/>
      <c r="E14" s="2407"/>
      <c r="F14" s="2408"/>
      <c r="G14" s="1193" t="s">
        <v>1185</v>
      </c>
      <c r="H14" s="1191"/>
      <c r="I14" s="1191"/>
      <c r="J14" s="1191"/>
      <c r="K14" s="1191"/>
      <c r="L14" s="1192"/>
    </row>
    <row r="15" spans="1:29" ht="13.7" customHeight="1" x14ac:dyDescent="0.2">
      <c r="A15" s="2406" t="str">
        <f>COVER!A21</f>
        <v>MORRISONVILLE</v>
      </c>
      <c r="B15" s="2407"/>
      <c r="C15" s="2407"/>
      <c r="D15" s="2407"/>
      <c r="E15" s="2407"/>
      <c r="F15" s="2408"/>
      <c r="G15" s="2403" t="str">
        <f>COVER!T15</f>
        <v>ROBIN R. YOCKEY</v>
      </c>
      <c r="H15" s="2404"/>
      <c r="I15" s="2404"/>
      <c r="J15" s="2404"/>
      <c r="K15" s="2404"/>
      <c r="L15" s="2405"/>
    </row>
    <row r="16" spans="1:29" ht="12.4" customHeight="1" x14ac:dyDescent="0.2">
      <c r="A16" s="2428" t="str">
        <f>COVER!A25</f>
        <v>62546-0046</v>
      </c>
      <c r="B16" s="2429"/>
      <c r="C16" s="2429"/>
      <c r="D16" s="2429"/>
      <c r="E16" s="2429"/>
      <c r="F16" s="2430"/>
      <c r="G16" s="2440"/>
      <c r="H16" s="2441"/>
      <c r="I16" s="2441"/>
      <c r="J16" s="2441"/>
      <c r="K16" s="2441"/>
      <c r="L16" s="2442"/>
    </row>
    <row r="17" spans="1:13" ht="12.4" customHeight="1" x14ac:dyDescent="0.2">
      <c r="A17" s="2443"/>
      <c r="B17" s="2429"/>
      <c r="C17" s="2429"/>
      <c r="D17" s="2429"/>
      <c r="E17" s="2429"/>
      <c r="F17" s="2430"/>
      <c r="G17" s="1193" t="s">
        <v>1184</v>
      </c>
      <c r="H17" s="1191"/>
      <c r="I17" s="1191"/>
      <c r="J17" s="1191"/>
      <c r="K17" s="1195" t="s">
        <v>1183</v>
      </c>
      <c r="L17" s="1188"/>
      <c r="M17" s="1181"/>
    </row>
    <row r="18" spans="1:13" ht="12.4" customHeight="1" x14ac:dyDescent="0.2">
      <c r="A18" s="2412"/>
      <c r="B18" s="2413"/>
      <c r="C18" s="2413"/>
      <c r="D18" s="2413"/>
      <c r="E18" s="2413"/>
      <c r="F18" s="2414"/>
      <c r="G18" s="2422" t="str">
        <f>COVER!T21</f>
        <v>217-774-9587</v>
      </c>
      <c r="H18" s="2423"/>
      <c r="I18" s="2423"/>
      <c r="J18" s="2423"/>
      <c r="K18" s="2422" t="str">
        <f>COVER!X21</f>
        <v>217-774-9589</v>
      </c>
      <c r="L18" s="2427"/>
    </row>
    <row r="19" spans="1:13" ht="12.4" customHeight="1" x14ac:dyDescent="0.2">
      <c r="A19" s="1196"/>
      <c r="C19" s="1196"/>
      <c r="D19" s="1196"/>
      <c r="E19" s="1196"/>
      <c r="F19" s="1196"/>
      <c r="G19" s="1196"/>
      <c r="H19" s="1196"/>
      <c r="I19" s="1196"/>
      <c r="J19" s="1196"/>
      <c r="K19" s="1196"/>
      <c r="L19" s="1196"/>
    </row>
    <row r="20" spans="1:13" ht="12.4" customHeight="1" x14ac:dyDescent="0.2">
      <c r="A20" s="1196"/>
      <c r="C20" s="1196"/>
      <c r="D20" s="1196"/>
      <c r="E20" s="1196"/>
      <c r="F20" s="1196"/>
      <c r="G20" s="1196"/>
      <c r="H20" s="1196"/>
      <c r="I20" s="1196"/>
      <c r="J20" s="1196" t="s">
        <v>1169</v>
      </c>
      <c r="K20" s="1174" t="s">
        <v>1169</v>
      </c>
    </row>
    <row r="21" spans="1:13" ht="12.4" customHeight="1" x14ac:dyDescent="0.2">
      <c r="A21" s="1197" t="s">
        <v>1698</v>
      </c>
    </row>
    <row r="22" spans="1:13" ht="12.4" customHeight="1" x14ac:dyDescent="0.2">
      <c r="A22" s="1198"/>
    </row>
    <row r="23" spans="1:13" ht="12.4"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4" customHeight="1" x14ac:dyDescent="0.2">
      <c r="B26" s="1199"/>
      <c r="C26" s="1200" t="s">
        <v>1699</v>
      </c>
    </row>
    <row r="27" spans="1:13" s="1196" customFormat="1" ht="9" customHeight="1" x14ac:dyDescent="0.2">
      <c r="B27" s="1201"/>
      <c r="C27" s="1200"/>
    </row>
    <row r="28" spans="1:13" s="1196" customFormat="1" ht="12.4" customHeight="1" x14ac:dyDescent="0.2">
      <c r="A28" s="1203"/>
      <c r="B28" s="1199"/>
      <c r="C28" s="1200" t="s">
        <v>1700</v>
      </c>
    </row>
    <row r="29" spans="1:13" s="1196" customFormat="1" ht="9" customHeight="1" x14ac:dyDescent="0.2">
      <c r="A29" s="1203"/>
      <c r="B29" s="1201"/>
      <c r="C29" s="1200"/>
    </row>
    <row r="30" spans="1:13" s="1196" customFormat="1" ht="12.4" customHeight="1" x14ac:dyDescent="0.2">
      <c r="B30" s="1199"/>
      <c r="C30" s="1200" t="s">
        <v>1562</v>
      </c>
      <c r="D30" s="1194"/>
      <c r="E30" s="1194"/>
    </row>
    <row r="31" spans="1:13" s="1196" customFormat="1" ht="9" customHeight="1" x14ac:dyDescent="0.2">
      <c r="B31" s="1201"/>
      <c r="C31" s="1200"/>
      <c r="D31" s="1194"/>
      <c r="E31" s="1194"/>
    </row>
    <row r="32" spans="1:13" s="1196" customFormat="1" ht="12.4" customHeight="1" x14ac:dyDescent="0.2">
      <c r="B32" s="1199"/>
      <c r="C32" s="1200" t="s">
        <v>1563</v>
      </c>
      <c r="D32" s="1194"/>
      <c r="E32" s="1194"/>
    </row>
    <row r="33" spans="1:8" s="1196" customFormat="1" ht="11.1" customHeight="1" x14ac:dyDescent="0.2">
      <c r="B33" s="1201"/>
      <c r="C33" s="1204" t="s">
        <v>1701</v>
      </c>
      <c r="D33" s="1194"/>
      <c r="E33" s="1194"/>
    </row>
    <row r="34" spans="1:8" ht="9" customHeight="1" x14ac:dyDescent="0.2">
      <c r="B34" s="1201"/>
      <c r="C34" s="1204"/>
    </row>
    <row r="35" spans="1:8" s="1196" customFormat="1" ht="13.7" customHeight="1" x14ac:dyDescent="0.2">
      <c r="B35" s="1199"/>
      <c r="C35" s="1200" t="s">
        <v>1564</v>
      </c>
    </row>
    <row r="36" spans="1:8" s="1196" customFormat="1" ht="11.1" customHeight="1" x14ac:dyDescent="0.2">
      <c r="B36" s="1201"/>
      <c r="C36" s="1204" t="s">
        <v>1565</v>
      </c>
    </row>
    <row r="37" spans="1:8" ht="9" customHeight="1" x14ac:dyDescent="0.2">
      <c r="B37" s="1201"/>
      <c r="C37" s="1204"/>
    </row>
    <row r="38" spans="1:8" s="1196" customFormat="1" ht="12.4" customHeight="1" x14ac:dyDescent="0.2">
      <c r="B38" s="1199"/>
      <c r="C38" s="1200" t="s">
        <v>1566</v>
      </c>
    </row>
    <row r="39" spans="1:8" ht="9" customHeight="1" x14ac:dyDescent="0.2">
      <c r="B39" s="1201"/>
      <c r="C39" s="1204"/>
    </row>
    <row r="40" spans="1:8" s="1196" customFormat="1" ht="13.7" customHeight="1" x14ac:dyDescent="0.2">
      <c r="B40" s="1199"/>
      <c r="C40" s="1200" t="s">
        <v>1567</v>
      </c>
    </row>
    <row r="41" spans="1:8" ht="9" customHeight="1" x14ac:dyDescent="0.2">
      <c r="A41" s="1205"/>
      <c r="B41" s="1201"/>
      <c r="C41" s="1204"/>
    </row>
    <row r="42" spans="1:8" s="1196" customFormat="1" ht="13.7" customHeight="1" x14ac:dyDescent="0.2">
      <c r="B42" s="1199"/>
      <c r="C42" s="1200" t="s">
        <v>1832</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7"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4" customHeight="1" x14ac:dyDescent="0.2">
      <c r="B46" s="1199"/>
      <c r="C46" s="1207" t="s">
        <v>1568</v>
      </c>
      <c r="D46" s="1194"/>
      <c r="E46" s="1194"/>
      <c r="F46" s="1194"/>
      <c r="G46" s="1194"/>
      <c r="H46" s="1194"/>
    </row>
    <row r="47" spans="1:8" ht="9" customHeight="1" x14ac:dyDescent="0.2"/>
    <row r="48" spans="1:8" ht="12.4" customHeight="1" x14ac:dyDescent="0.2">
      <c r="B48" s="1926"/>
      <c r="C48" s="1208" t="s">
        <v>1569</v>
      </c>
    </row>
    <row r="49" spans="1:12" ht="9" customHeight="1" x14ac:dyDescent="0.2"/>
    <row r="50" spans="1:12" ht="6" customHeight="1" x14ac:dyDescent="0.2">
      <c r="C50" s="1208"/>
    </row>
    <row r="51" spans="1:12" ht="12.4" customHeight="1" x14ac:dyDescent="0.2">
      <c r="A51" s="1206"/>
    </row>
    <row r="52" spans="1:12" ht="12.4" customHeight="1" x14ac:dyDescent="0.2"/>
    <row r="53" spans="1:12" ht="12.4" customHeight="1" x14ac:dyDescent="0.2"/>
    <row r="54" spans="1:12" ht="12.4" customHeight="1" x14ac:dyDescent="0.2"/>
    <row r="55" spans="1:12" ht="12.4"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44" t="str">
        <f>'Single Audit Cover'!A7</f>
        <v>Mid-State Spec Educ Jnt Agr</v>
      </c>
      <c r="B1" s="2421"/>
      <c r="C1" s="2421"/>
      <c r="D1" s="2421"/>
    </row>
    <row r="2" spans="1:11" s="1210" customFormat="1" ht="12.75" x14ac:dyDescent="0.2">
      <c r="A2" s="2445">
        <f>'Single Audit Cover'!E7</f>
        <v>3011801060</v>
      </c>
      <c r="B2" s="2446"/>
      <c r="C2" s="2446"/>
      <c r="D2" s="2446"/>
    </row>
    <row r="3" spans="1:11" s="1210" customFormat="1" ht="12.75" x14ac:dyDescent="0.2">
      <c r="A3" s="2444" t="s">
        <v>1513</v>
      </c>
      <c r="B3" s="2421"/>
      <c r="C3" s="2421"/>
      <c r="D3" s="2421"/>
    </row>
    <row r="4" spans="1:11" s="1210" customFormat="1" ht="4.7"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7" customHeight="1" x14ac:dyDescent="0.2">
      <c r="B8" s="1214"/>
      <c r="C8" s="1215"/>
      <c r="D8" s="1216"/>
    </row>
    <row r="9" spans="1:11" x14ac:dyDescent="0.2">
      <c r="B9" s="1218" t="s">
        <v>1224</v>
      </c>
      <c r="C9" s="1219"/>
      <c r="D9" s="1216"/>
    </row>
    <row r="10" spans="1:11" ht="4.7"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9499999999999993"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7"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7" customHeight="1" x14ac:dyDescent="0.2">
      <c r="A93" s="1217"/>
      <c r="D93" s="1216"/>
    </row>
    <row r="94" spans="1:4" x14ac:dyDescent="0.2">
      <c r="A94" s="1217"/>
      <c r="B94" s="1218" t="s">
        <v>1578</v>
      </c>
      <c r="C94" s="1219"/>
      <c r="D94" s="1216"/>
    </row>
    <row r="95" spans="1:4" ht="4.7"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7" customHeight="1" x14ac:dyDescent="0.2">
      <c r="A103" s="1217"/>
      <c r="B103" s="312"/>
      <c r="C103" s="1221"/>
      <c r="D103" s="1232"/>
    </row>
    <row r="104" spans="1:4" ht="14.1" customHeight="1" x14ac:dyDescent="0.2">
      <c r="A104" s="1217"/>
      <c r="B104" s="1248" t="s">
        <v>1199</v>
      </c>
    </row>
    <row r="105" spans="1:4" ht="4.7"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1833</v>
      </c>
    </row>
    <row r="124" spans="1:4" x14ac:dyDescent="0.2">
      <c r="A124" s="1217"/>
      <c r="B124" s="312"/>
      <c r="C124" s="1221"/>
      <c r="D124" s="1232" t="s">
        <v>1192</v>
      </c>
    </row>
    <row r="125" spans="1:4" ht="4.7"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48" t="str">
        <f>'Single Audit Cover'!A7</f>
        <v>Mid-State Spec Educ Jnt Agr</v>
      </c>
      <c r="B1" s="2448"/>
      <c r="C1" s="2448"/>
      <c r="D1" s="2448"/>
      <c r="E1" s="2448"/>
    </row>
    <row r="2" spans="1:5" x14ac:dyDescent="0.2">
      <c r="A2" s="2449">
        <f>'Single Audit Cover'!E7</f>
        <v>3011801060</v>
      </c>
      <c r="B2" s="2449"/>
      <c r="C2" s="2449"/>
      <c r="D2" s="2449"/>
      <c r="E2" s="2449"/>
    </row>
    <row r="3" spans="1:5" ht="4.7" customHeight="1" x14ac:dyDescent="0.2"/>
    <row r="4" spans="1:5" x14ac:dyDescent="0.2">
      <c r="A4" s="2448" t="s">
        <v>1245</v>
      </c>
      <c r="B4" s="2448"/>
      <c r="C4" s="2448"/>
      <c r="D4" s="2448"/>
      <c r="E4" s="2448"/>
    </row>
    <row r="5" spans="1:5" x14ac:dyDescent="0.2">
      <c r="A5" s="2451" t="str">
        <f>'Single Audit Cover'!A4</f>
        <v>Year Ending June 30, 2019</v>
      </c>
      <c r="B5" s="2451"/>
      <c r="C5" s="2451"/>
      <c r="D5" s="2451"/>
      <c r="E5" s="2451"/>
    </row>
    <row r="6" spans="1:5" x14ac:dyDescent="0.2">
      <c r="A6" s="2448" t="s">
        <v>1244</v>
      </c>
      <c r="B6" s="2448"/>
      <c r="C6" s="2448"/>
      <c r="D6" s="2448"/>
      <c r="E6" s="2448"/>
    </row>
    <row r="8" spans="1:5" x14ac:dyDescent="0.2">
      <c r="A8" s="1255" t="s">
        <v>1243</v>
      </c>
    </row>
    <row r="10" spans="1:5" x14ac:dyDescent="0.2">
      <c r="A10" s="1256" t="s">
        <v>1242</v>
      </c>
      <c r="B10" s="1257" t="s">
        <v>1241</v>
      </c>
      <c r="C10" s="1257"/>
      <c r="D10" s="1258">
        <f>SUM('Acct Summary 7-8'!C7:K7)</f>
        <v>3201298</v>
      </c>
    </row>
    <row r="11" spans="1:5" ht="18" customHeight="1" x14ac:dyDescent="0.2">
      <c r="A11" s="1256" t="s">
        <v>1240</v>
      </c>
      <c r="B11" s="1257"/>
      <c r="C11" s="1257"/>
    </row>
    <row r="12" spans="1:5" x14ac:dyDescent="0.2">
      <c r="A12" s="1256" t="s">
        <v>1239</v>
      </c>
      <c r="B12" s="1257" t="s">
        <v>1238</v>
      </c>
      <c r="C12" s="1257"/>
      <c r="D12" s="1259">
        <f>SUM('Revenues 9-14'!C112:D112,'Revenues 9-14'!F112:G112)</f>
        <v>895282</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1839</v>
      </c>
      <c r="B16" s="1257"/>
      <c r="C16" s="1257"/>
    </row>
    <row r="17" spans="1:4" x14ac:dyDescent="0.2">
      <c r="A17" s="1256" t="s">
        <v>2055</v>
      </c>
      <c r="B17" s="1257" t="s">
        <v>1236</v>
      </c>
      <c r="C17" s="1257"/>
      <c r="D17" s="1259">
        <f>-SUM('Revenues 9-14'!C264:D264,'Revenues 9-14'!F264:G264)</f>
        <v>-77341</v>
      </c>
    </row>
    <row r="19" spans="1:4" ht="13.5" thickBot="1" x14ac:dyDescent="0.25">
      <c r="A19" s="1260" t="s">
        <v>1235</v>
      </c>
      <c r="D19" s="1261">
        <f>SUM(D10:D17)</f>
        <v>4019239</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50" t="s">
        <v>2151</v>
      </c>
      <c r="B24" s="2450"/>
      <c r="D24" s="1263">
        <v>1</v>
      </c>
    </row>
    <row r="25" spans="1:4" x14ac:dyDescent="0.2">
      <c r="A25" s="2447"/>
      <c r="B25" s="2447"/>
      <c r="D25" s="1263"/>
    </row>
    <row r="26" spans="1:4" x14ac:dyDescent="0.2">
      <c r="A26" s="2447"/>
      <c r="B26" s="2447"/>
      <c r="D26" s="1263"/>
    </row>
    <row r="27" spans="1:4" x14ac:dyDescent="0.2">
      <c r="A27" s="2447"/>
      <c r="B27" s="2447"/>
      <c r="D27" s="1263"/>
    </row>
    <row r="28" spans="1:4" x14ac:dyDescent="0.2">
      <c r="A28" s="2447"/>
      <c r="B28" s="2447"/>
      <c r="D28" s="1263"/>
    </row>
    <row r="29" spans="1:4" x14ac:dyDescent="0.2">
      <c r="A29" s="2447"/>
      <c r="B29" s="2447"/>
      <c r="D29" s="1263"/>
    </row>
    <row r="30" spans="1:4" x14ac:dyDescent="0.2">
      <c r="A30" s="2447"/>
      <c r="B30" s="2447"/>
      <c r="D30" s="1263"/>
    </row>
    <row r="32" spans="1:4" x14ac:dyDescent="0.2">
      <c r="A32" s="1255" t="s">
        <v>1233</v>
      </c>
      <c r="D32" s="1258">
        <f>SUM(D19:D30)</f>
        <v>4019240</v>
      </c>
    </row>
    <row r="33" spans="1:4" x14ac:dyDescent="0.2">
      <c r="D33" s="1264"/>
    </row>
    <row r="34" spans="1:4" x14ac:dyDescent="0.2">
      <c r="A34" s="317" t="s">
        <v>1232</v>
      </c>
    </row>
    <row r="35" spans="1:4" x14ac:dyDescent="0.2">
      <c r="A35" s="317" t="s">
        <v>1231</v>
      </c>
      <c r="B35" s="1253" t="s">
        <v>1230</v>
      </c>
      <c r="D35" s="1265">
        <v>4019240</v>
      </c>
    </row>
    <row r="37" spans="1:4" x14ac:dyDescent="0.2">
      <c r="A37" s="1255" t="s">
        <v>1229</v>
      </c>
    </row>
    <row r="39" spans="1:4" ht="13.5" customHeight="1" x14ac:dyDescent="0.2">
      <c r="A39" s="1262" t="s">
        <v>1228</v>
      </c>
    </row>
    <row r="40" spans="1:4" x14ac:dyDescent="0.2">
      <c r="A40" s="2447"/>
      <c r="B40" s="2447"/>
      <c r="D40" s="1263"/>
    </row>
    <row r="41" spans="1:4" x14ac:dyDescent="0.2">
      <c r="A41" s="2447"/>
      <c r="B41" s="2447"/>
      <c r="D41" s="1266"/>
    </row>
    <row r="42" spans="1:4" x14ac:dyDescent="0.2">
      <c r="A42" s="2447"/>
      <c r="B42" s="2447"/>
      <c r="D42" s="1266"/>
    </row>
    <row r="43" spans="1:4" x14ac:dyDescent="0.2">
      <c r="A43" s="2447"/>
      <c r="B43" s="2447"/>
      <c r="D43" s="1266"/>
    </row>
    <row r="44" spans="1:4" x14ac:dyDescent="0.2">
      <c r="A44" s="2447"/>
      <c r="B44" s="2447"/>
      <c r="D44" s="1266"/>
    </row>
    <row r="45" spans="1:4" x14ac:dyDescent="0.2">
      <c r="A45" s="2447"/>
      <c r="B45" s="2447"/>
      <c r="D45" s="1266"/>
    </row>
    <row r="47" spans="1:4" x14ac:dyDescent="0.2">
      <c r="B47" s="1267" t="s">
        <v>1227</v>
      </c>
      <c r="C47" s="1267"/>
      <c r="D47" s="1268">
        <f>SUM(D35:D45)</f>
        <v>4019240</v>
      </c>
    </row>
    <row r="49" spans="2:4" x14ac:dyDescent="0.2">
      <c r="B49" s="1267" t="s">
        <v>1226</v>
      </c>
      <c r="C49" s="1267"/>
      <c r="D49" s="126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13" zoomScaleNormal="100" workbookViewId="0">
      <selection activeCell="J10" sqref="J10"/>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31" t="str">
        <f>'Single Audit Cover'!A7</f>
        <v>Mid-State Spec Educ Jnt Agr</v>
      </c>
      <c r="C1" s="2452"/>
      <c r="D1" s="2452"/>
      <c r="E1" s="2452"/>
      <c r="F1" s="2452"/>
      <c r="G1" s="2452"/>
      <c r="H1" s="2452"/>
      <c r="I1" s="2452"/>
      <c r="J1" s="2452"/>
      <c r="K1" s="2452"/>
      <c r="L1" s="2452"/>
      <c r="M1" s="2452"/>
    </row>
    <row r="2" spans="2:14" ht="15" x14ac:dyDescent="0.2">
      <c r="B2" s="2453">
        <f>'Single Audit Cover'!E7</f>
        <v>3011801060</v>
      </c>
      <c r="C2" s="2453"/>
      <c r="D2" s="2453"/>
      <c r="E2" s="2453"/>
      <c r="F2" s="2453"/>
      <c r="G2" s="2453"/>
      <c r="H2" s="2453"/>
      <c r="I2" s="2453"/>
      <c r="J2" s="2453"/>
      <c r="K2" s="2453"/>
      <c r="L2" s="2453"/>
      <c r="M2" s="2453"/>
      <c r="N2" s="1297"/>
    </row>
    <row r="3" spans="2:14" ht="15" x14ac:dyDescent="0.2">
      <c r="B3" s="2454" t="s">
        <v>1219</v>
      </c>
      <c r="C3" s="2454"/>
      <c r="D3" s="2454"/>
      <c r="E3" s="2454"/>
      <c r="F3" s="2454"/>
      <c r="G3" s="2454"/>
      <c r="H3" s="2454"/>
      <c r="I3" s="2454"/>
      <c r="J3" s="2454"/>
      <c r="K3" s="2454"/>
      <c r="L3" s="2454"/>
      <c r="M3" s="2454"/>
      <c r="N3" s="1297"/>
    </row>
    <row r="4" spans="2:14" ht="15" x14ac:dyDescent="0.2">
      <c r="B4" s="2455" t="str">
        <f>'Single Audit Cover'!A4</f>
        <v>Year Ending June 30, 2019</v>
      </c>
      <c r="C4" s="2455"/>
      <c r="D4" s="2455"/>
      <c r="E4" s="2455"/>
      <c r="F4" s="2455"/>
      <c r="G4" s="2455"/>
      <c r="H4" s="2455"/>
      <c r="I4" s="2455"/>
      <c r="J4" s="2455"/>
      <c r="K4" s="2455"/>
      <c r="L4" s="2455"/>
      <c r="M4" s="2455"/>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37" t="s">
        <v>2092</v>
      </c>
      <c r="C11" s="1333"/>
      <c r="D11" s="1334"/>
      <c r="E11" s="1335"/>
      <c r="F11" s="1335"/>
      <c r="G11" s="1335"/>
      <c r="H11" s="1335"/>
      <c r="I11" s="1335"/>
      <c r="J11" s="1335"/>
      <c r="K11" s="1335"/>
      <c r="L11" s="1335">
        <f>+G11+I11+K11</f>
        <v>0</v>
      </c>
      <c r="M11" s="1335"/>
    </row>
    <row r="12" spans="2:14" ht="20.100000000000001" customHeight="1" x14ac:dyDescent="0.2">
      <c r="B12" s="1937" t="s">
        <v>2093</v>
      </c>
      <c r="C12" s="1336"/>
      <c r="D12" s="1337"/>
      <c r="E12" s="1338"/>
      <c r="F12" s="1338"/>
      <c r="G12" s="1338"/>
      <c r="H12" s="1338"/>
      <c r="I12" s="1338"/>
      <c r="J12" s="1338"/>
      <c r="K12" s="1338"/>
      <c r="L12" s="1335">
        <f t="shared" ref="L12:L27" si="0">+G12+I12+K12</f>
        <v>0</v>
      </c>
      <c r="M12" s="1338"/>
    </row>
    <row r="13" spans="2:14" ht="20.100000000000001" customHeight="1" x14ac:dyDescent="0.2">
      <c r="B13" s="1937" t="s">
        <v>2094</v>
      </c>
      <c r="C13" s="1336"/>
      <c r="D13" s="1337"/>
      <c r="E13" s="1338"/>
      <c r="F13" s="1338"/>
      <c r="G13" s="1338"/>
      <c r="H13" s="1338"/>
      <c r="I13" s="1338"/>
      <c r="J13" s="1338"/>
      <c r="K13" s="1338"/>
      <c r="L13" s="1335">
        <f t="shared" si="0"/>
        <v>0</v>
      </c>
      <c r="M13" s="1338"/>
    </row>
    <row r="14" spans="2:14" ht="20.100000000000001" customHeight="1" x14ac:dyDescent="0.2">
      <c r="B14" s="1332" t="s">
        <v>2095</v>
      </c>
      <c r="C14" s="1336" t="s">
        <v>2096</v>
      </c>
      <c r="D14" s="1337" t="s">
        <v>2097</v>
      </c>
      <c r="E14" s="1338">
        <v>158022</v>
      </c>
      <c r="F14" s="1338">
        <v>31200</v>
      </c>
      <c r="G14" s="1338">
        <v>178107</v>
      </c>
      <c r="H14" s="1338">
        <v>4135</v>
      </c>
      <c r="I14" s="1338">
        <v>11115</v>
      </c>
      <c r="J14" s="1338">
        <v>-31</v>
      </c>
      <c r="K14" s="1338"/>
      <c r="L14" s="1335">
        <f t="shared" si="0"/>
        <v>189222</v>
      </c>
      <c r="M14" s="1338">
        <v>193885</v>
      </c>
    </row>
    <row r="15" spans="2:14" ht="20.100000000000001" customHeight="1" x14ac:dyDescent="0.2">
      <c r="B15" s="1332" t="s">
        <v>2095</v>
      </c>
      <c r="C15" s="1336" t="s">
        <v>2096</v>
      </c>
      <c r="D15" s="1337" t="s">
        <v>2098</v>
      </c>
      <c r="E15" s="1936"/>
      <c r="F15" s="1936">
        <v>91107</v>
      </c>
      <c r="G15" s="1936"/>
      <c r="H15" s="1936"/>
      <c r="I15" s="1936">
        <v>91058</v>
      </c>
      <c r="J15" s="1936">
        <v>435</v>
      </c>
      <c r="K15" s="1936">
        <v>4695</v>
      </c>
      <c r="L15" s="1936">
        <f t="shared" si="0"/>
        <v>95753</v>
      </c>
      <c r="M15" s="1338">
        <v>132626</v>
      </c>
    </row>
    <row r="16" spans="2:14" ht="20.100000000000001" customHeight="1" x14ac:dyDescent="0.2">
      <c r="B16" s="1332"/>
      <c r="C16" s="1336"/>
      <c r="D16" s="1337"/>
      <c r="E16" s="1335"/>
      <c r="F16" s="1335"/>
      <c r="G16" s="1335"/>
      <c r="H16" s="1335"/>
      <c r="I16" s="1335"/>
      <c r="J16" s="1335"/>
      <c r="K16" s="1335"/>
      <c r="L16" s="1335">
        <f t="shared" si="0"/>
        <v>0</v>
      </c>
      <c r="M16" s="1338"/>
    </row>
    <row r="17" spans="2:14" ht="20.100000000000001" customHeight="1" x14ac:dyDescent="0.2">
      <c r="B17" s="1332" t="s">
        <v>2099</v>
      </c>
      <c r="C17" s="1336"/>
      <c r="D17" s="1337"/>
      <c r="E17" s="1936">
        <f>E14+E15</f>
        <v>158022</v>
      </c>
      <c r="F17" s="1936">
        <f t="shared" ref="F17:K17" si="1">F14+F15</f>
        <v>122307</v>
      </c>
      <c r="G17" s="1936">
        <f t="shared" si="1"/>
        <v>178107</v>
      </c>
      <c r="H17" s="1936">
        <f t="shared" si="1"/>
        <v>4135</v>
      </c>
      <c r="I17" s="1936">
        <f t="shared" si="1"/>
        <v>102173</v>
      </c>
      <c r="J17" s="1936">
        <f t="shared" si="1"/>
        <v>404</v>
      </c>
      <c r="K17" s="1936">
        <f t="shared" si="1"/>
        <v>4695</v>
      </c>
      <c r="L17" s="1936">
        <f t="shared" si="0"/>
        <v>284975</v>
      </c>
      <c r="M17" s="1338"/>
    </row>
    <row r="18" spans="2:14" ht="20.100000000000001" customHeight="1" x14ac:dyDescent="0.2">
      <c r="B18" s="1332"/>
      <c r="C18" s="1336"/>
      <c r="D18" s="1337"/>
      <c r="E18" s="1335"/>
      <c r="F18" s="1335"/>
      <c r="G18" s="1335"/>
      <c r="H18" s="1335"/>
      <c r="I18" s="1335"/>
      <c r="J18" s="1335"/>
      <c r="K18" s="1335"/>
      <c r="L18" s="1335">
        <f t="shared" si="0"/>
        <v>0</v>
      </c>
      <c r="M18" s="1338"/>
    </row>
    <row r="19" spans="2:14" ht="20.100000000000001" customHeight="1" x14ac:dyDescent="0.2">
      <c r="B19" s="1937" t="s">
        <v>2094</v>
      </c>
      <c r="C19" s="1336"/>
      <c r="D19" s="1337"/>
      <c r="E19" s="1338"/>
      <c r="F19" s="1338"/>
      <c r="G19" s="1338"/>
      <c r="H19" s="1338"/>
      <c r="I19" s="1338"/>
      <c r="J19" s="1338"/>
      <c r="K19" s="1338"/>
      <c r="L19" s="1335">
        <f t="shared" si="0"/>
        <v>0</v>
      </c>
      <c r="M19" s="1338"/>
    </row>
    <row r="20" spans="2:14" ht="20.100000000000001" customHeight="1" x14ac:dyDescent="0.2">
      <c r="B20" s="1332" t="s">
        <v>2100</v>
      </c>
      <c r="C20" s="1336" t="s">
        <v>2101</v>
      </c>
      <c r="D20" s="1337" t="s">
        <v>2102</v>
      </c>
      <c r="E20" s="1338">
        <v>3009917</v>
      </c>
      <c r="F20" s="1338">
        <v>586118</v>
      </c>
      <c r="G20" s="1338">
        <v>3279278</v>
      </c>
      <c r="H20" s="1338">
        <v>783727</v>
      </c>
      <c r="I20" s="1338">
        <v>316757</v>
      </c>
      <c r="J20" s="1338">
        <v>-27162</v>
      </c>
      <c r="K20" s="1338"/>
      <c r="L20" s="1335">
        <f t="shared" si="0"/>
        <v>3596035</v>
      </c>
      <c r="M20" s="1338">
        <v>3976213</v>
      </c>
    </row>
    <row r="21" spans="2:14" ht="20.100000000000001" customHeight="1" x14ac:dyDescent="0.2">
      <c r="B21" s="1332" t="s">
        <v>2100</v>
      </c>
      <c r="C21" s="1336" t="s">
        <v>2101</v>
      </c>
      <c r="D21" s="1337" t="s">
        <v>2103</v>
      </c>
      <c r="E21" s="1936"/>
      <c r="F21" s="1936">
        <v>3162357</v>
      </c>
      <c r="G21" s="1936"/>
      <c r="H21" s="1936"/>
      <c r="I21" s="1936">
        <v>3275015</v>
      </c>
      <c r="J21" s="1936">
        <v>883024</v>
      </c>
      <c r="K21" s="1936">
        <v>199015</v>
      </c>
      <c r="L21" s="1936">
        <f t="shared" si="0"/>
        <v>3474030</v>
      </c>
      <c r="M21" s="1338">
        <v>4194334</v>
      </c>
    </row>
    <row r="22" spans="2:14" ht="20.100000000000001" customHeight="1" x14ac:dyDescent="0.2">
      <c r="B22" s="1332"/>
      <c r="C22" s="1336"/>
      <c r="D22" s="1337"/>
      <c r="E22" s="1335"/>
      <c r="F22" s="1335"/>
      <c r="G22" s="1335"/>
      <c r="H22" s="1335"/>
      <c r="I22" s="1335"/>
      <c r="J22" s="1335"/>
      <c r="K22" s="1335"/>
      <c r="L22" s="1335">
        <f t="shared" si="0"/>
        <v>0</v>
      </c>
      <c r="M22" s="1338"/>
    </row>
    <row r="23" spans="2:14" ht="20.100000000000001" customHeight="1" x14ac:dyDescent="0.2">
      <c r="B23" s="1332" t="s">
        <v>2104</v>
      </c>
      <c r="C23" s="1336"/>
      <c r="D23" s="1337"/>
      <c r="E23" s="1936">
        <f>E20+E21</f>
        <v>3009917</v>
      </c>
      <c r="F23" s="1936">
        <f t="shared" ref="F23:K23" si="2">F20+F21</f>
        <v>3748475</v>
      </c>
      <c r="G23" s="1936">
        <f t="shared" si="2"/>
        <v>3279278</v>
      </c>
      <c r="H23" s="1936">
        <f t="shared" si="2"/>
        <v>783727</v>
      </c>
      <c r="I23" s="1936">
        <f t="shared" si="2"/>
        <v>3591772</v>
      </c>
      <c r="J23" s="1936">
        <f t="shared" si="2"/>
        <v>855862</v>
      </c>
      <c r="K23" s="1936">
        <f t="shared" si="2"/>
        <v>199015</v>
      </c>
      <c r="L23" s="1936">
        <f t="shared" si="0"/>
        <v>7070065</v>
      </c>
      <c r="M23" s="1338"/>
    </row>
    <row r="24" spans="2:14" ht="20.100000000000001" customHeight="1" x14ac:dyDescent="0.2">
      <c r="B24" s="1332"/>
      <c r="C24" s="1336"/>
      <c r="D24" s="1337"/>
      <c r="E24" s="1335"/>
      <c r="F24" s="1335"/>
      <c r="G24" s="1335"/>
      <c r="H24" s="1335"/>
      <c r="I24" s="1335"/>
      <c r="J24" s="1335"/>
      <c r="K24" s="1335"/>
      <c r="L24" s="1335">
        <f t="shared" si="0"/>
        <v>0</v>
      </c>
      <c r="M24" s="1338"/>
    </row>
    <row r="25" spans="2:14" ht="20.100000000000001" customHeight="1" x14ac:dyDescent="0.2">
      <c r="B25" s="1332" t="s">
        <v>2105</v>
      </c>
      <c r="C25" s="1336"/>
      <c r="D25" s="1337"/>
      <c r="E25" s="1936">
        <f>E23+E17</f>
        <v>3167939</v>
      </c>
      <c r="F25" s="1936">
        <f t="shared" ref="F25:K25" si="3">F23+F17</f>
        <v>3870782</v>
      </c>
      <c r="G25" s="1936">
        <f t="shared" si="3"/>
        <v>3457385</v>
      </c>
      <c r="H25" s="1936">
        <f t="shared" si="3"/>
        <v>787862</v>
      </c>
      <c r="I25" s="1936">
        <f t="shared" si="3"/>
        <v>3693945</v>
      </c>
      <c r="J25" s="1936">
        <f t="shared" si="3"/>
        <v>856266</v>
      </c>
      <c r="K25" s="1936">
        <f t="shared" si="3"/>
        <v>203710</v>
      </c>
      <c r="L25" s="1936">
        <f t="shared" si="0"/>
        <v>7355040</v>
      </c>
      <c r="M25" s="1338"/>
    </row>
    <row r="26" spans="2:14" ht="20.100000000000001" customHeight="1" x14ac:dyDescent="0.2">
      <c r="B26" s="1332"/>
      <c r="C26" s="1336"/>
      <c r="D26" s="1337"/>
      <c r="E26" s="1335"/>
      <c r="F26" s="1335"/>
      <c r="G26" s="1335"/>
      <c r="H26" s="1335"/>
      <c r="I26" s="1335"/>
      <c r="J26" s="1335"/>
      <c r="K26" s="1335"/>
      <c r="L26" s="1335">
        <f t="shared" si="0"/>
        <v>0</v>
      </c>
      <c r="M26" s="1338"/>
    </row>
    <row r="27" spans="2:14" ht="20.100000000000001" customHeight="1" x14ac:dyDescent="0.2">
      <c r="B27" s="1937" t="s">
        <v>2106</v>
      </c>
      <c r="C27" s="1336"/>
      <c r="D27" s="1337"/>
      <c r="E27" s="1938">
        <f>E25</f>
        <v>3167939</v>
      </c>
      <c r="F27" s="1938">
        <f t="shared" ref="F27:K27" si="4">F25</f>
        <v>3870782</v>
      </c>
      <c r="G27" s="1938">
        <f t="shared" si="4"/>
        <v>3457385</v>
      </c>
      <c r="H27" s="1938">
        <f t="shared" si="4"/>
        <v>787862</v>
      </c>
      <c r="I27" s="1938">
        <f t="shared" si="4"/>
        <v>3693945</v>
      </c>
      <c r="J27" s="1938">
        <f t="shared" si="4"/>
        <v>856266</v>
      </c>
      <c r="K27" s="1938">
        <f t="shared" si="4"/>
        <v>203710</v>
      </c>
      <c r="L27" s="1938">
        <f t="shared" si="0"/>
        <v>7355040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7"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7" customHeight="1" x14ac:dyDescent="0.2">
      <c r="B34" s="1271" t="s">
        <v>1246</v>
      </c>
      <c r="G34" s="317"/>
      <c r="H34" s="317"/>
      <c r="I34" s="317"/>
      <c r="J34" s="317"/>
    </row>
    <row r="35" spans="2:13" ht="13.7"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7" customHeight="1" x14ac:dyDescent="0.2">
      <c r="M49" s="1368"/>
    </row>
    <row r="50" spans="7:13" ht="13.7" customHeight="1" x14ac:dyDescent="0.2">
      <c r="M50" s="1368"/>
    </row>
    <row r="51" spans="7:13" ht="13.7" customHeight="1" x14ac:dyDescent="0.2">
      <c r="M51" s="1368"/>
    </row>
    <row r="52" spans="7:13" ht="13.7" customHeight="1" x14ac:dyDescent="0.2">
      <c r="G52" s="317"/>
      <c r="H52" s="317"/>
      <c r="I52" s="317"/>
      <c r="J52" s="317"/>
    </row>
    <row r="53" spans="7:13" ht="13.7" customHeight="1" x14ac:dyDescent="0.2">
      <c r="G53" s="317"/>
      <c r="H53" s="317"/>
      <c r="I53" s="317"/>
      <c r="J53" s="317"/>
    </row>
    <row r="54" spans="7:13" ht="13.7" customHeight="1" x14ac:dyDescent="0.2">
      <c r="G54" s="317"/>
      <c r="H54" s="317"/>
      <c r="I54" s="317"/>
      <c r="J54" s="317"/>
    </row>
    <row r="55" spans="7:13" ht="13.7" customHeight="1" x14ac:dyDescent="0.2">
      <c r="G55" s="317"/>
      <c r="H55" s="317"/>
      <c r="I55" s="317"/>
      <c r="J55" s="317"/>
    </row>
    <row r="56" spans="7:13" ht="13.7" customHeight="1" x14ac:dyDescent="0.2">
      <c r="G56" s="317"/>
      <c r="H56" s="317"/>
      <c r="I56" s="317"/>
      <c r="J56" s="317"/>
    </row>
    <row r="57" spans="7:13" ht="13.7" customHeight="1" x14ac:dyDescent="0.2">
      <c r="G57" s="317"/>
      <c r="H57" s="317"/>
      <c r="I57" s="317"/>
      <c r="J57" s="317"/>
    </row>
    <row r="58" spans="7:13" ht="13.7" customHeight="1" x14ac:dyDescent="0.2">
      <c r="G58" s="317"/>
      <c r="H58" s="317"/>
      <c r="I58" s="317"/>
      <c r="J58" s="317"/>
    </row>
    <row r="59" spans="7:13" ht="13.7" customHeight="1" x14ac:dyDescent="0.2"/>
    <row r="60" spans="7:13" ht="13.7" customHeight="1" x14ac:dyDescent="0.2"/>
    <row r="61" spans="7:13" ht="13.7"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7" customHeight="1" x14ac:dyDescent="0.2"/>
    <row r="75" ht="13.7" customHeight="1" x14ac:dyDescent="0.2"/>
    <row r="76" ht="13.7" customHeight="1" x14ac:dyDescent="0.2"/>
    <row r="77" ht="13.7" customHeight="1" x14ac:dyDescent="0.2"/>
    <row r="78" ht="13.7" customHeight="1" x14ac:dyDescent="0.2"/>
    <row r="79" ht="13.7" customHeight="1" x14ac:dyDescent="0.2"/>
    <row r="80" ht="13.7" customHeight="1" x14ac:dyDescent="0.2"/>
    <row r="81" ht="13.7" customHeight="1" x14ac:dyDescent="0.2"/>
    <row r="82" ht="13.7" customHeight="1" x14ac:dyDescent="0.2"/>
    <row r="83" ht="13.7" customHeight="1" x14ac:dyDescent="0.2"/>
    <row r="84" ht="13.7" customHeight="1" x14ac:dyDescent="0.2"/>
    <row r="85" ht="13.7" customHeight="1" x14ac:dyDescent="0.2"/>
    <row r="86" ht="13.7" customHeight="1" x14ac:dyDescent="0.2"/>
    <row r="87" ht="13.7" customHeight="1" x14ac:dyDescent="0.2"/>
    <row r="88" ht="13.7" customHeight="1" x14ac:dyDescent="0.2"/>
    <row r="89" ht="13.7" customHeight="1" x14ac:dyDescent="0.2"/>
    <row r="90" ht="13.7" customHeight="1" x14ac:dyDescent="0.2"/>
    <row r="91" ht="13.7" customHeight="1"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4.7" customHeight="1" x14ac:dyDescent="0.2"/>
    <row r="112" ht="12.4" customHeight="1" x14ac:dyDescent="0.2"/>
    <row r="113" ht="13.7" customHeight="1" x14ac:dyDescent="0.2"/>
    <row r="114" ht="13.7" customHeight="1" x14ac:dyDescent="0.2"/>
    <row r="115" ht="13.7" customHeight="1" x14ac:dyDescent="0.2"/>
    <row r="116" ht="13.7" customHeight="1" x14ac:dyDescent="0.2"/>
    <row r="117" ht="13.7" customHeight="1" x14ac:dyDescent="0.2"/>
    <row r="118" ht="13.7" customHeight="1" x14ac:dyDescent="0.2"/>
    <row r="119" ht="13.7" customHeight="1" x14ac:dyDescent="0.2"/>
    <row r="120" ht="13.7" customHeight="1" x14ac:dyDescent="0.2"/>
    <row r="121" ht="13.7" customHeight="1" x14ac:dyDescent="0.2"/>
    <row r="122" ht="13.7" customHeight="1" x14ac:dyDescent="0.2"/>
    <row r="123" ht="13.7" customHeight="1" x14ac:dyDescent="0.2"/>
    <row r="124" ht="13.7" customHeight="1" x14ac:dyDescent="0.2"/>
    <row r="125" ht="13.7" customHeight="1" x14ac:dyDescent="0.2"/>
    <row r="126" ht="13.7" customHeight="1" x14ac:dyDescent="0.2"/>
    <row r="127" ht="13.7" customHeight="1" x14ac:dyDescent="0.2"/>
    <row r="128"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13.7" customHeight="1" x14ac:dyDescent="0.2"/>
    <row r="137" ht="13.7" customHeight="1" x14ac:dyDescent="0.2"/>
    <row r="138" ht="13.7" customHeight="1" x14ac:dyDescent="0.2"/>
    <row r="139" ht="13.7" customHeight="1" x14ac:dyDescent="0.2"/>
    <row r="140" ht="13.7" customHeight="1" x14ac:dyDescent="0.2"/>
    <row r="141" ht="13.7" customHeight="1" x14ac:dyDescent="0.2"/>
    <row r="142" ht="13.7" customHeight="1" x14ac:dyDescent="0.2"/>
    <row r="143" ht="13.7"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4.7" customHeight="1" x14ac:dyDescent="0.2"/>
    <row r="152" ht="12.4"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I19" sqref="I19"/>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31" t="str">
        <f>'Single Audit Cover'!A7</f>
        <v>Mid-State Spec Educ Jnt Agr</v>
      </c>
      <c r="C1" s="2452"/>
      <c r="D1" s="2452"/>
      <c r="E1" s="2452"/>
      <c r="F1" s="2452"/>
      <c r="G1" s="2452"/>
      <c r="H1" s="2452"/>
      <c r="I1" s="2452"/>
      <c r="J1" s="2452"/>
      <c r="K1" s="2452"/>
      <c r="L1" s="2452"/>
      <c r="M1" s="2452"/>
    </row>
    <row r="2" spans="2:14" ht="15" x14ac:dyDescent="0.2">
      <c r="B2" s="2453">
        <f>'Single Audit Cover'!E7</f>
        <v>3011801060</v>
      </c>
      <c r="C2" s="2453"/>
      <c r="D2" s="2453"/>
      <c r="E2" s="2453"/>
      <c r="F2" s="2453"/>
      <c r="G2" s="2453"/>
      <c r="H2" s="2453"/>
      <c r="I2" s="2453"/>
      <c r="J2" s="2453"/>
      <c r="K2" s="2453"/>
      <c r="L2" s="2453"/>
      <c r="M2" s="2453"/>
      <c r="N2" s="1297"/>
    </row>
    <row r="3" spans="2:14" ht="15" x14ac:dyDescent="0.2">
      <c r="B3" s="2454" t="s">
        <v>1219</v>
      </c>
      <c r="C3" s="2454"/>
      <c r="D3" s="2454"/>
      <c r="E3" s="2454"/>
      <c r="F3" s="2454"/>
      <c r="G3" s="2454"/>
      <c r="H3" s="2454"/>
      <c r="I3" s="2454"/>
      <c r="J3" s="2454"/>
      <c r="K3" s="2454"/>
      <c r="L3" s="2454"/>
      <c r="M3" s="2454"/>
      <c r="N3" s="1297"/>
    </row>
    <row r="4" spans="2:14" ht="15" x14ac:dyDescent="0.2">
      <c r="B4" s="2455" t="str">
        <f>'Single Audit Cover'!A4</f>
        <v>Year Ending June 30, 2019</v>
      </c>
      <c r="C4" s="2455"/>
      <c r="D4" s="2455"/>
      <c r="E4" s="2455"/>
      <c r="F4" s="2455"/>
      <c r="G4" s="2455"/>
      <c r="H4" s="2455"/>
      <c r="I4" s="2455"/>
      <c r="J4" s="2455"/>
      <c r="K4" s="2455"/>
      <c r="L4" s="2455"/>
      <c r="M4" s="2455"/>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37" t="s">
        <v>2107</v>
      </c>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t="s">
        <v>2108</v>
      </c>
      <c r="C13" s="1336"/>
      <c r="D13" s="1337"/>
      <c r="E13" s="1338"/>
      <c r="F13" s="1338"/>
      <c r="G13" s="1338"/>
      <c r="H13" s="1338"/>
      <c r="I13" s="1338"/>
      <c r="J13" s="1338"/>
      <c r="K13" s="1338"/>
      <c r="L13" s="1335">
        <f t="shared" si="0"/>
        <v>0</v>
      </c>
      <c r="M13" s="1338"/>
    </row>
    <row r="14" spans="2:14" ht="20.100000000000001" customHeight="1" x14ac:dyDescent="0.2">
      <c r="B14" s="1332" t="s">
        <v>2109</v>
      </c>
      <c r="C14" s="1336">
        <v>93.778000000000006</v>
      </c>
      <c r="D14" s="1336" t="s">
        <v>2127</v>
      </c>
      <c r="E14" s="1338">
        <v>57593</v>
      </c>
      <c r="F14" s="1338">
        <v>29493</v>
      </c>
      <c r="G14" s="1338">
        <v>87086</v>
      </c>
      <c r="H14" s="1338"/>
      <c r="I14" s="1338"/>
      <c r="J14" s="1338"/>
      <c r="K14" s="1338"/>
      <c r="L14" s="1335">
        <f t="shared" si="0"/>
        <v>87086</v>
      </c>
      <c r="M14" s="1338" t="s">
        <v>2129</v>
      </c>
    </row>
    <row r="15" spans="2:14" ht="20.100000000000001" customHeight="1" x14ac:dyDescent="0.2">
      <c r="B15" s="1332" t="s">
        <v>2109</v>
      </c>
      <c r="C15" s="1336">
        <v>93.778000000000006</v>
      </c>
      <c r="D15" s="1336" t="s">
        <v>2128</v>
      </c>
      <c r="E15" s="1936"/>
      <c r="F15" s="1936">
        <v>118965</v>
      </c>
      <c r="G15" s="1936"/>
      <c r="H15" s="1936"/>
      <c r="I15" s="1936">
        <v>150567</v>
      </c>
      <c r="J15" s="1936"/>
      <c r="K15" s="1936"/>
      <c r="L15" s="1936">
        <f t="shared" si="0"/>
        <v>150567</v>
      </c>
      <c r="M15" s="1338" t="s">
        <v>2129</v>
      </c>
    </row>
    <row r="16" spans="2:14" ht="20.100000000000001" customHeight="1" x14ac:dyDescent="0.2">
      <c r="B16" s="1332"/>
      <c r="C16" s="1336"/>
      <c r="D16" s="1337"/>
      <c r="E16" s="1335"/>
      <c r="F16" s="1335"/>
      <c r="G16" s="1335"/>
      <c r="H16" s="1335"/>
      <c r="I16" s="1335"/>
      <c r="J16" s="1335"/>
      <c r="K16" s="1335"/>
      <c r="L16" s="1335">
        <f t="shared" si="0"/>
        <v>0</v>
      </c>
      <c r="M16" s="1338"/>
    </row>
    <row r="17" spans="2:14" ht="20.100000000000001" customHeight="1" x14ac:dyDescent="0.2">
      <c r="B17" s="1937" t="s">
        <v>2110</v>
      </c>
      <c r="C17" s="1336"/>
      <c r="D17" s="1337"/>
      <c r="E17" s="1936">
        <f>E14+E15</f>
        <v>57593</v>
      </c>
      <c r="F17" s="1936">
        <f t="shared" ref="F17:K17" si="1">F14+F15</f>
        <v>148458</v>
      </c>
      <c r="G17" s="1936">
        <f t="shared" si="1"/>
        <v>87086</v>
      </c>
      <c r="H17" s="1936">
        <f t="shared" si="1"/>
        <v>0</v>
      </c>
      <c r="I17" s="1936">
        <f t="shared" si="1"/>
        <v>150567</v>
      </c>
      <c r="J17" s="1936">
        <f t="shared" si="1"/>
        <v>0</v>
      </c>
      <c r="K17" s="1936">
        <f t="shared" si="1"/>
        <v>0</v>
      </c>
      <c r="L17" s="1936">
        <f t="shared" si="0"/>
        <v>237653</v>
      </c>
      <c r="M17" s="1338"/>
    </row>
    <row r="18" spans="2:14" ht="20.100000000000001" customHeight="1" x14ac:dyDescent="0.2">
      <c r="B18" s="1332"/>
      <c r="C18" s="1336"/>
      <c r="D18" s="1337"/>
      <c r="E18" s="1335"/>
      <c r="F18" s="1335"/>
      <c r="G18" s="1335"/>
      <c r="H18" s="1335"/>
      <c r="I18" s="1335"/>
      <c r="J18" s="1335"/>
      <c r="K18" s="1335"/>
      <c r="L18" s="1335">
        <f t="shared" si="0"/>
        <v>0</v>
      </c>
      <c r="M18" s="1338"/>
    </row>
    <row r="19" spans="2:14" ht="20.100000000000001" customHeight="1" thickBot="1" x14ac:dyDescent="0.25">
      <c r="B19" s="1937" t="s">
        <v>2111</v>
      </c>
      <c r="C19" s="1939"/>
      <c r="D19" s="1940"/>
      <c r="E19" s="1941">
        <f>E17+' SEFA'!E27</f>
        <v>3225532</v>
      </c>
      <c r="F19" s="1941">
        <f>F17+' SEFA'!F27</f>
        <v>4019240</v>
      </c>
      <c r="G19" s="1941">
        <f>G17+' SEFA'!G27</f>
        <v>3544471</v>
      </c>
      <c r="H19" s="1941">
        <f>H17+' SEFA'!H27</f>
        <v>787862</v>
      </c>
      <c r="I19" s="1941">
        <f>I17+' SEFA'!I27</f>
        <v>3844512</v>
      </c>
      <c r="J19" s="1941">
        <f>J17+' SEFA'!J27</f>
        <v>856266</v>
      </c>
      <c r="K19" s="1941">
        <f>K17+' SEFA'!K27</f>
        <v>203710</v>
      </c>
      <c r="L19" s="1941">
        <f t="shared" si="0"/>
        <v>7592693</v>
      </c>
      <c r="M19" s="1338"/>
    </row>
    <row r="20" spans="2:14" ht="20.100000000000001" customHeight="1" thickTop="1" x14ac:dyDescent="0.2">
      <c r="B20" s="1332"/>
      <c r="C20" s="1336"/>
      <c r="D20" s="1337"/>
      <c r="E20" s="1335"/>
      <c r="F20" s="1335"/>
      <c r="G20" s="1335"/>
      <c r="H20" s="1335"/>
      <c r="I20" s="1335"/>
      <c r="J20" s="1335"/>
      <c r="K20" s="1335"/>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7"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7" customHeight="1" x14ac:dyDescent="0.2">
      <c r="B34" s="1271" t="s">
        <v>1246</v>
      </c>
      <c r="G34" s="317"/>
      <c r="H34" s="317"/>
      <c r="I34" s="317"/>
      <c r="J34" s="317"/>
    </row>
    <row r="35" spans="2:13" ht="13.7"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7" customHeight="1" x14ac:dyDescent="0.2">
      <c r="M49" s="1368"/>
    </row>
    <row r="50" spans="7:13" ht="13.7" customHeight="1" x14ac:dyDescent="0.2">
      <c r="M50" s="1368"/>
    </row>
    <row r="51" spans="7:13" ht="13.7" customHeight="1" x14ac:dyDescent="0.2">
      <c r="M51" s="1368"/>
    </row>
    <row r="52" spans="7:13" ht="13.7" customHeight="1" x14ac:dyDescent="0.2">
      <c r="G52" s="317"/>
      <c r="H52" s="317"/>
      <c r="I52" s="317"/>
      <c r="J52" s="317"/>
    </row>
    <row r="53" spans="7:13" ht="13.7" customHeight="1" x14ac:dyDescent="0.2">
      <c r="G53" s="317"/>
      <c r="H53" s="317"/>
      <c r="I53" s="317"/>
      <c r="J53" s="317"/>
    </row>
    <row r="54" spans="7:13" ht="13.7" customHeight="1" x14ac:dyDescent="0.2">
      <c r="G54" s="317"/>
      <c r="H54" s="317"/>
      <c r="I54" s="317"/>
      <c r="J54" s="317"/>
    </row>
    <row r="55" spans="7:13" ht="13.7" customHeight="1" x14ac:dyDescent="0.2">
      <c r="G55" s="317"/>
      <c r="H55" s="317"/>
      <c r="I55" s="317"/>
      <c r="J55" s="317"/>
    </row>
    <row r="56" spans="7:13" ht="13.7" customHeight="1" x14ac:dyDescent="0.2">
      <c r="G56" s="317"/>
      <c r="H56" s="317"/>
      <c r="I56" s="317"/>
      <c r="J56" s="317"/>
    </row>
    <row r="57" spans="7:13" ht="13.7" customHeight="1" x14ac:dyDescent="0.2">
      <c r="G57" s="317"/>
      <c r="H57" s="317"/>
      <c r="I57" s="317"/>
      <c r="J57" s="317"/>
    </row>
    <row r="58" spans="7:13" ht="13.7" customHeight="1" x14ac:dyDescent="0.2">
      <c r="G58" s="317"/>
      <c r="H58" s="317"/>
      <c r="I58" s="317"/>
      <c r="J58" s="317"/>
    </row>
    <row r="59" spans="7:13" ht="13.7" customHeight="1" x14ac:dyDescent="0.2"/>
    <row r="60" spans="7:13" ht="13.7" customHeight="1" x14ac:dyDescent="0.2"/>
    <row r="61" spans="7:13" ht="13.7"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7" customHeight="1" x14ac:dyDescent="0.2"/>
    <row r="75" ht="13.7" customHeight="1" x14ac:dyDescent="0.2"/>
    <row r="76" ht="13.7" customHeight="1" x14ac:dyDescent="0.2"/>
    <row r="77" ht="13.7" customHeight="1" x14ac:dyDescent="0.2"/>
    <row r="78" ht="13.7" customHeight="1" x14ac:dyDescent="0.2"/>
    <row r="79" ht="13.7" customHeight="1" x14ac:dyDescent="0.2"/>
    <row r="80" ht="13.7" customHeight="1" x14ac:dyDescent="0.2"/>
    <row r="81" ht="13.7" customHeight="1" x14ac:dyDescent="0.2"/>
    <row r="82" ht="13.7" customHeight="1" x14ac:dyDescent="0.2"/>
    <row r="83" ht="13.7" customHeight="1" x14ac:dyDescent="0.2"/>
    <row r="84" ht="13.7" customHeight="1" x14ac:dyDescent="0.2"/>
    <row r="85" ht="13.7" customHeight="1" x14ac:dyDescent="0.2"/>
    <row r="86" ht="13.7" customHeight="1" x14ac:dyDescent="0.2"/>
    <row r="87" ht="13.7" customHeight="1" x14ac:dyDescent="0.2"/>
    <row r="88" ht="13.7" customHeight="1" x14ac:dyDescent="0.2"/>
    <row r="89" ht="13.7" customHeight="1" x14ac:dyDescent="0.2"/>
    <row r="90" ht="13.7" customHeight="1" x14ac:dyDescent="0.2"/>
    <row r="91" ht="13.7" customHeight="1"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4.7" customHeight="1" x14ac:dyDescent="0.2"/>
    <row r="112" ht="12.4" customHeight="1" x14ac:dyDescent="0.2"/>
    <row r="113" ht="13.7" customHeight="1" x14ac:dyDescent="0.2"/>
    <row r="114" ht="13.7" customHeight="1" x14ac:dyDescent="0.2"/>
    <row r="115" ht="13.7" customHeight="1" x14ac:dyDescent="0.2"/>
    <row r="116" ht="13.7" customHeight="1" x14ac:dyDescent="0.2"/>
    <row r="117" ht="13.7" customHeight="1" x14ac:dyDescent="0.2"/>
    <row r="118" ht="13.7" customHeight="1" x14ac:dyDescent="0.2"/>
    <row r="119" ht="13.7" customHeight="1" x14ac:dyDescent="0.2"/>
    <row r="120" ht="13.7" customHeight="1" x14ac:dyDescent="0.2"/>
    <row r="121" ht="13.7" customHeight="1" x14ac:dyDescent="0.2"/>
    <row r="122" ht="13.7" customHeight="1" x14ac:dyDescent="0.2"/>
    <row r="123" ht="13.7" customHeight="1" x14ac:dyDescent="0.2"/>
    <row r="124" ht="13.7" customHeight="1" x14ac:dyDescent="0.2"/>
    <row r="125" ht="13.7" customHeight="1" x14ac:dyDescent="0.2"/>
    <row r="126" ht="13.7" customHeight="1" x14ac:dyDescent="0.2"/>
    <row r="127" ht="13.7" customHeight="1" x14ac:dyDescent="0.2"/>
    <row r="128"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13.7" customHeight="1" x14ac:dyDescent="0.2"/>
    <row r="137" ht="13.7" customHeight="1" x14ac:dyDescent="0.2"/>
    <row r="138" ht="13.7" customHeight="1" x14ac:dyDescent="0.2"/>
    <row r="139" ht="13.7" customHeight="1" x14ac:dyDescent="0.2"/>
    <row r="140" ht="13.7" customHeight="1" x14ac:dyDescent="0.2"/>
    <row r="141" ht="13.7" customHeight="1" x14ac:dyDescent="0.2"/>
    <row r="142" ht="13.7" customHeight="1" x14ac:dyDescent="0.2"/>
    <row r="143" ht="13.7"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4.7" customHeight="1" x14ac:dyDescent="0.2"/>
    <row r="152" ht="12.4"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62"/>
  <sheetViews>
    <sheetView showGridLines="0" zoomScaleNormal="100" workbookViewId="0">
      <selection activeCell="B62" sqref="B62:D62"/>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7" customHeight="1" x14ac:dyDescent="0.2">
      <c r="A1" s="2467" t="str">
        <f>'Single Audit Cover'!A7</f>
        <v>Mid-State Spec Educ Jnt Agr</v>
      </c>
      <c r="B1" s="2467"/>
      <c r="C1" s="2467"/>
      <c r="D1" s="2467"/>
      <c r="E1" s="2467"/>
      <c r="F1" s="2467"/>
    </row>
    <row r="2" spans="1:7" ht="13.7" customHeight="1" x14ac:dyDescent="0.2">
      <c r="A2" s="2453">
        <f>'Single Audit Cover'!E7</f>
        <v>3011801060</v>
      </c>
      <c r="B2" s="2453"/>
      <c r="C2" s="2453"/>
      <c r="D2" s="2453"/>
      <c r="E2" s="2453"/>
      <c r="F2" s="2453"/>
      <c r="G2" s="1270"/>
    </row>
    <row r="3" spans="1:7" ht="15.75" customHeight="1" x14ac:dyDescent="0.2">
      <c r="A3" s="2468" t="s">
        <v>1271</v>
      </c>
      <c r="B3" s="2468"/>
      <c r="C3" s="2468"/>
      <c r="D3" s="2468"/>
      <c r="E3" s="2468"/>
      <c r="F3" s="2468"/>
    </row>
    <row r="4" spans="1:7" ht="13.7" customHeight="1" x14ac:dyDescent="0.2">
      <c r="A4" s="2469" t="str">
        <f>'Single Audit Cover'!A4</f>
        <v>Year Ending June 30, 2019</v>
      </c>
      <c r="B4" s="2469"/>
      <c r="C4" s="2469"/>
      <c r="D4" s="2469"/>
      <c r="E4" s="2469"/>
      <c r="F4" s="2469"/>
    </row>
    <row r="5" spans="1:7" ht="8.25" customHeight="1" x14ac:dyDescent="0.2">
      <c r="C5" s="317"/>
      <c r="D5" s="317"/>
    </row>
    <row r="6" spans="1:7" ht="13.7" customHeight="1" x14ac:dyDescent="0.2">
      <c r="A6" s="1271" t="s">
        <v>1728</v>
      </c>
      <c r="C6" s="317"/>
      <c r="D6" s="317"/>
    </row>
    <row r="7" spans="1:7" ht="60.95" customHeight="1" x14ac:dyDescent="0.2">
      <c r="A7" s="2466" t="s">
        <v>2130</v>
      </c>
      <c r="B7" s="2466"/>
      <c r="C7" s="2466"/>
      <c r="D7" s="2466"/>
      <c r="E7" s="2466"/>
      <c r="F7" s="2466"/>
    </row>
    <row r="8" spans="1:7" ht="6.75"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1547</v>
      </c>
      <c r="B10" s="1275"/>
      <c r="C10" s="1276"/>
      <c r="D10" s="1275" t="s">
        <v>1548</v>
      </c>
      <c r="E10" s="1276" t="s">
        <v>2061</v>
      </c>
      <c r="F10" s="1275" t="s">
        <v>99</v>
      </c>
      <c r="G10" s="1273"/>
    </row>
    <row r="11" spans="1:7" ht="6.75" customHeight="1" x14ac:dyDescent="0.2">
      <c r="A11" s="1274"/>
      <c r="B11" s="1275"/>
      <c r="C11" s="1894"/>
      <c r="D11" s="1275"/>
      <c r="E11" s="1894"/>
      <c r="F11" s="1275"/>
      <c r="G11" s="1273"/>
    </row>
    <row r="12" spans="1:7" x14ac:dyDescent="0.2">
      <c r="A12" s="1271" t="s">
        <v>1587</v>
      </c>
      <c r="C12" s="1255"/>
      <c r="D12" s="1255"/>
    </row>
    <row r="13" spans="1:7" ht="18.95" customHeight="1" x14ac:dyDescent="0.2">
      <c r="A13" s="2466" t="s">
        <v>2131</v>
      </c>
      <c r="B13" s="2466"/>
      <c r="C13" s="2466"/>
      <c r="D13" s="2466"/>
      <c r="E13" s="2466"/>
      <c r="F13" s="2466"/>
    </row>
    <row r="14" spans="1:7" ht="4.7" customHeight="1" x14ac:dyDescent="0.2">
      <c r="C14" s="1255"/>
      <c r="D14" s="1255"/>
    </row>
    <row r="15" spans="1:7" ht="16.5" customHeight="1" x14ac:dyDescent="0.2">
      <c r="C15" s="1838" t="s">
        <v>1270</v>
      </c>
      <c r="D15" s="2464" t="s">
        <v>1269</v>
      </c>
      <c r="E15" s="2464"/>
      <c r="F15" s="2464"/>
    </row>
    <row r="16" spans="1:7" ht="16.5" customHeight="1" x14ac:dyDescent="0.2">
      <c r="A16" s="1277"/>
      <c r="B16" s="1271" t="s">
        <v>1268</v>
      </c>
      <c r="C16" s="1838" t="s">
        <v>1267</v>
      </c>
      <c r="D16" s="2465" t="s">
        <v>1588</v>
      </c>
      <c r="E16" s="2465"/>
      <c r="F16" s="2465"/>
    </row>
    <row r="17" spans="1:6" ht="16.5" customHeight="1" x14ac:dyDescent="0.2">
      <c r="A17" s="1278"/>
      <c r="B17" s="1942" t="s">
        <v>2114</v>
      </c>
      <c r="C17" s="1280" t="s">
        <v>2096</v>
      </c>
      <c r="D17" s="2456"/>
      <c r="E17" s="2456"/>
      <c r="F17" s="2456"/>
    </row>
    <row r="18" spans="1:6" ht="16.5" customHeight="1" x14ac:dyDescent="0.2">
      <c r="A18" s="1278"/>
      <c r="B18" s="1279" t="s">
        <v>2115</v>
      </c>
      <c r="C18" s="1280"/>
      <c r="D18" s="2457">
        <v>-31</v>
      </c>
      <c r="E18" s="2457"/>
      <c r="F18" s="2457"/>
    </row>
    <row r="19" spans="1:6" ht="16.5" customHeight="1" x14ac:dyDescent="0.2">
      <c r="A19" s="1278"/>
      <c r="B19" s="1279"/>
      <c r="C19" s="1280"/>
      <c r="D19" s="2456"/>
      <c r="E19" s="2456"/>
      <c r="F19" s="2456"/>
    </row>
    <row r="20" spans="1:6" ht="16.5" customHeight="1" x14ac:dyDescent="0.2">
      <c r="A20" s="1278"/>
      <c r="B20" s="1942" t="s">
        <v>2112</v>
      </c>
      <c r="C20" s="1280" t="s">
        <v>2096</v>
      </c>
      <c r="D20" s="2456"/>
      <c r="E20" s="2456"/>
      <c r="F20" s="2456"/>
    </row>
    <row r="21" spans="1:6" ht="16.5" customHeight="1" x14ac:dyDescent="0.2">
      <c r="A21" s="1278"/>
      <c r="B21" s="1279" t="s">
        <v>2113</v>
      </c>
      <c r="C21" s="1280"/>
      <c r="D21" s="2457">
        <v>435</v>
      </c>
      <c r="E21" s="2457"/>
      <c r="F21" s="2457"/>
    </row>
    <row r="22" spans="1:6" ht="16.5" customHeight="1" x14ac:dyDescent="0.2">
      <c r="A22" s="1278"/>
      <c r="B22" s="1279"/>
      <c r="C22" s="1280"/>
      <c r="D22" s="2456"/>
      <c r="E22" s="2456"/>
      <c r="F22" s="2456"/>
    </row>
    <row r="23" spans="1:6" ht="16.5" customHeight="1" x14ac:dyDescent="0.2">
      <c r="A23" s="1278"/>
      <c r="B23" s="1942" t="s">
        <v>2116</v>
      </c>
      <c r="C23" s="1280" t="s">
        <v>2101</v>
      </c>
      <c r="D23" s="2456"/>
      <c r="E23" s="2456"/>
      <c r="F23" s="2456"/>
    </row>
    <row r="24" spans="1:6" ht="16.5" customHeight="1" x14ac:dyDescent="0.2">
      <c r="A24" s="1278"/>
      <c r="B24" s="1279" t="s">
        <v>2118</v>
      </c>
      <c r="C24" s="1280"/>
      <c r="D24" s="2456">
        <v>3472</v>
      </c>
      <c r="E24" s="2456"/>
      <c r="F24" s="2456"/>
    </row>
    <row r="25" spans="1:6" ht="16.5" customHeight="1" x14ac:dyDescent="0.2">
      <c r="A25" s="1278"/>
      <c r="B25" s="1279" t="s">
        <v>2119</v>
      </c>
      <c r="C25" s="1280"/>
      <c r="D25" s="2456">
        <v>8351</v>
      </c>
      <c r="E25" s="2456"/>
      <c r="F25" s="2456"/>
    </row>
    <row r="26" spans="1:6" ht="16.5" customHeight="1" x14ac:dyDescent="0.2">
      <c r="A26" s="1278"/>
      <c r="B26" s="1279" t="s">
        <v>2115</v>
      </c>
      <c r="C26" s="1280"/>
      <c r="D26" s="2456">
        <v>-38985</v>
      </c>
      <c r="E26" s="2456"/>
      <c r="F26" s="2456"/>
    </row>
    <row r="27" spans="1:6" ht="16.5" customHeight="1" x14ac:dyDescent="0.2">
      <c r="A27" s="1278"/>
      <c r="B27" s="1279"/>
      <c r="C27" s="1280"/>
      <c r="D27" s="2457">
        <f>SUM(D24:F26)</f>
        <v>-27162</v>
      </c>
      <c r="E27" s="2457"/>
      <c r="F27" s="2457"/>
    </row>
    <row r="28" spans="1:6" ht="16.5" customHeight="1" x14ac:dyDescent="0.2">
      <c r="A28" s="1278"/>
      <c r="B28" s="1942" t="s">
        <v>2117</v>
      </c>
      <c r="C28" s="1280" t="s">
        <v>2101</v>
      </c>
      <c r="D28" s="2456"/>
      <c r="E28" s="2456"/>
      <c r="F28" s="2456"/>
    </row>
    <row r="29" spans="1:6" ht="16.5" customHeight="1" x14ac:dyDescent="0.2">
      <c r="A29" s="1278"/>
      <c r="B29" s="1279" t="s">
        <v>2120</v>
      </c>
      <c r="C29" s="1280"/>
      <c r="D29" s="2456">
        <v>321941</v>
      </c>
      <c r="E29" s="2456"/>
      <c r="F29" s="2456"/>
    </row>
    <row r="30" spans="1:6" ht="16.5" customHeight="1" x14ac:dyDescent="0.2">
      <c r="A30" s="1278"/>
      <c r="B30" s="1279" t="s">
        <v>2118</v>
      </c>
      <c r="C30" s="1280"/>
      <c r="D30" s="2456">
        <v>69883</v>
      </c>
      <c r="E30" s="2456"/>
      <c r="F30" s="2456"/>
    </row>
    <row r="31" spans="1:6" ht="16.5" customHeight="1" x14ac:dyDescent="0.2">
      <c r="A31" s="1278"/>
      <c r="B31" s="1279" t="s">
        <v>2119</v>
      </c>
      <c r="C31" s="1280"/>
      <c r="D31" s="2456">
        <v>43354</v>
      </c>
      <c r="E31" s="2456"/>
      <c r="F31" s="2456"/>
    </row>
    <row r="32" spans="1:6" ht="16.5" customHeight="1" x14ac:dyDescent="0.2">
      <c r="A32" s="1278"/>
      <c r="B32" s="1279" t="s">
        <v>2121</v>
      </c>
      <c r="C32" s="1280"/>
      <c r="D32" s="2456">
        <v>15028</v>
      </c>
      <c r="E32" s="2456"/>
      <c r="F32" s="2456"/>
    </row>
    <row r="33" spans="1:6" ht="16.5" customHeight="1" x14ac:dyDescent="0.2">
      <c r="A33" s="1278"/>
      <c r="B33" s="1279" t="s">
        <v>2122</v>
      </c>
      <c r="C33" s="1280"/>
      <c r="D33" s="2456">
        <v>80860</v>
      </c>
      <c r="E33" s="2456"/>
      <c r="F33" s="2456"/>
    </row>
    <row r="34" spans="1:6" ht="16.5" customHeight="1" x14ac:dyDescent="0.2">
      <c r="A34" s="1278"/>
      <c r="B34" s="1279" t="s">
        <v>2124</v>
      </c>
      <c r="C34" s="1280"/>
      <c r="D34" s="2456">
        <v>60804</v>
      </c>
      <c r="E34" s="2456"/>
      <c r="F34" s="2456"/>
    </row>
    <row r="35" spans="1:6" ht="16.5" customHeight="1" x14ac:dyDescent="0.2">
      <c r="A35" s="1278"/>
      <c r="B35" s="1279" t="s">
        <v>2123</v>
      </c>
      <c r="C35" s="1280"/>
      <c r="D35" s="2456">
        <v>26088</v>
      </c>
      <c r="E35" s="2456"/>
      <c r="F35" s="2456"/>
    </row>
    <row r="36" spans="1:6" ht="16.5" customHeight="1" x14ac:dyDescent="0.2">
      <c r="A36" s="1278"/>
      <c r="B36" s="1279" t="s">
        <v>2132</v>
      </c>
      <c r="C36" s="1280"/>
      <c r="D36" s="2456">
        <v>265066</v>
      </c>
      <c r="E36" s="2456"/>
      <c r="F36" s="2456"/>
    </row>
    <row r="37" spans="1:6" ht="16.5" customHeight="1" x14ac:dyDescent="0.2">
      <c r="A37" s="1278"/>
      <c r="B37" s="1279"/>
      <c r="C37" s="1280"/>
      <c r="D37" s="2457">
        <f>SUM(D29:F36)</f>
        <v>883024</v>
      </c>
      <c r="E37" s="2457"/>
      <c r="F37" s="2457"/>
    </row>
    <row r="38" spans="1:6" ht="16.5" customHeight="1" x14ac:dyDescent="0.2">
      <c r="A38" s="1278"/>
      <c r="B38" s="1279"/>
      <c r="C38" s="1280"/>
      <c r="D38" s="2456"/>
      <c r="E38" s="2456"/>
      <c r="F38" s="2456"/>
    </row>
    <row r="39" spans="1:6" ht="16.5" customHeight="1" thickBot="1" x14ac:dyDescent="0.25">
      <c r="A39" s="1278"/>
      <c r="B39" s="1279" t="s">
        <v>2125</v>
      </c>
      <c r="C39" s="1280"/>
      <c r="D39" s="2459">
        <v>856266</v>
      </c>
      <c r="E39" s="2459"/>
      <c r="F39" s="2459"/>
    </row>
    <row r="40" spans="1:6" ht="7.5" customHeight="1" thickTop="1" x14ac:dyDescent="0.2">
      <c r="A40" s="328"/>
      <c r="B40" s="328"/>
      <c r="C40" s="1460"/>
      <c r="D40" s="1895"/>
      <c r="E40" s="1281"/>
    </row>
    <row r="41" spans="1:6" ht="12" customHeight="1" x14ac:dyDescent="0.2">
      <c r="A41" s="1282" t="s">
        <v>1549</v>
      </c>
      <c r="B41" s="328"/>
      <c r="C41" s="1460"/>
      <c r="D41" s="1895"/>
      <c r="E41" s="1281"/>
    </row>
    <row r="42" spans="1:6" ht="30" customHeight="1" x14ac:dyDescent="0.2">
      <c r="A42" s="2460" t="s">
        <v>2133</v>
      </c>
      <c r="B42" s="2460"/>
      <c r="C42" s="2460"/>
      <c r="D42" s="2460"/>
      <c r="E42" s="2460"/>
      <c r="F42" s="2460"/>
    </row>
    <row r="43" spans="1:6" ht="13.7" customHeight="1" x14ac:dyDescent="0.2">
      <c r="A43" s="328" t="s">
        <v>1434</v>
      </c>
      <c r="B43" s="328"/>
      <c r="C43" s="1283">
        <v>0</v>
      </c>
      <c r="D43" s="1895"/>
      <c r="E43" s="1281"/>
    </row>
    <row r="44" spans="1:6" ht="13.7" customHeight="1" x14ac:dyDescent="0.2">
      <c r="A44" s="328" t="s">
        <v>1834</v>
      </c>
      <c r="B44" s="328"/>
      <c r="C44" s="1284">
        <v>0</v>
      </c>
      <c r="D44" s="1895" t="s">
        <v>1589</v>
      </c>
      <c r="E44" s="2461">
        <f>+C43+C44</f>
        <v>0</v>
      </c>
      <c r="F44" s="2462"/>
    </row>
    <row r="45" spans="1:6" ht="4.7" customHeight="1" x14ac:dyDescent="0.2">
      <c r="A45" s="328"/>
      <c r="B45" s="328"/>
      <c r="C45" s="1896"/>
      <c r="D45" s="1895"/>
      <c r="E45" s="1285"/>
      <c r="F45" s="1286"/>
    </row>
    <row r="46" spans="1:6" ht="13.7" customHeight="1" x14ac:dyDescent="0.2">
      <c r="A46" s="1282" t="s">
        <v>1550</v>
      </c>
      <c r="B46" s="328"/>
      <c r="C46" s="1460"/>
      <c r="D46" s="1895"/>
      <c r="E46" s="1281"/>
    </row>
    <row r="47" spans="1:6" ht="14.25" customHeight="1" x14ac:dyDescent="0.2">
      <c r="A47" s="328" t="s">
        <v>1484</v>
      </c>
      <c r="B47" s="328"/>
      <c r="C47" s="1897"/>
      <c r="D47" s="1895"/>
      <c r="E47" s="1281"/>
    </row>
    <row r="48" spans="1:6" ht="14.25" customHeight="1" x14ac:dyDescent="0.2">
      <c r="A48" s="328"/>
      <c r="B48" s="328" t="s">
        <v>1435</v>
      </c>
      <c r="C48" s="1287" t="s">
        <v>2126</v>
      </c>
      <c r="D48" s="1895"/>
      <c r="E48" s="1281"/>
    </row>
    <row r="49" spans="1:6" ht="14.25" customHeight="1" x14ac:dyDescent="0.2">
      <c r="A49" s="328"/>
      <c r="B49" s="328" t="s">
        <v>1436</v>
      </c>
      <c r="C49" s="1287" t="s">
        <v>2126</v>
      </c>
      <c r="D49" s="1895"/>
      <c r="E49" s="1281"/>
    </row>
    <row r="50" spans="1:6" ht="14.25" customHeight="1" x14ac:dyDescent="0.2">
      <c r="A50" s="328"/>
      <c r="B50" s="328" t="s">
        <v>1437</v>
      </c>
      <c r="C50" s="1287" t="s">
        <v>2126</v>
      </c>
      <c r="D50" s="1895"/>
      <c r="E50" s="1281"/>
    </row>
    <row r="51" spans="1:6" ht="14.25" customHeight="1" x14ac:dyDescent="0.2">
      <c r="A51" s="328"/>
      <c r="B51" s="328" t="s">
        <v>1438</v>
      </c>
      <c r="C51" s="1287" t="s">
        <v>2126</v>
      </c>
      <c r="D51" s="1895"/>
      <c r="E51" s="1281"/>
    </row>
    <row r="52" spans="1:6" ht="14.25" customHeight="1" x14ac:dyDescent="0.2">
      <c r="A52" s="328" t="s">
        <v>1439</v>
      </c>
      <c r="B52" s="328"/>
      <c r="C52" s="1893" t="s">
        <v>2126</v>
      </c>
      <c r="D52" s="1895"/>
      <c r="E52" s="1281"/>
    </row>
    <row r="53" spans="1:6" ht="14.25" customHeight="1" x14ac:dyDescent="0.2">
      <c r="A53" s="328" t="s">
        <v>1440</v>
      </c>
      <c r="B53" s="328"/>
      <c r="C53" s="1288" t="s">
        <v>383</v>
      </c>
      <c r="D53" s="1895"/>
      <c r="E53" s="1281"/>
    </row>
    <row r="54" spans="1:6" ht="14.25" customHeight="1" x14ac:dyDescent="0.2">
      <c r="A54" s="328"/>
      <c r="B54" s="328"/>
      <c r="C54" s="1897" t="s">
        <v>1441</v>
      </c>
      <c r="D54" s="1895"/>
      <c r="E54" s="1281"/>
    </row>
    <row r="55" spans="1:6" ht="4.1500000000000004" customHeight="1" x14ac:dyDescent="0.2">
      <c r="B55" s="322"/>
      <c r="C55" s="1289"/>
      <c r="D55" s="1289"/>
    </row>
    <row r="56" spans="1:6" x14ac:dyDescent="0.2">
      <c r="A56" s="1290" t="s">
        <v>1730</v>
      </c>
      <c r="C56" s="317"/>
      <c r="D56" s="317"/>
    </row>
    <row r="57" spans="1:6" s="322" customFormat="1" ht="4.9000000000000004" customHeight="1" x14ac:dyDescent="0.2">
      <c r="A57" s="1291"/>
      <c r="B57" s="1292"/>
      <c r="C57" s="1292"/>
      <c r="D57" s="1292"/>
      <c r="E57" s="1292"/>
      <c r="F57" s="1292"/>
    </row>
    <row r="58" spans="1:6" s="322" customFormat="1" ht="6" customHeight="1" x14ac:dyDescent="0.2">
      <c r="A58" s="1293"/>
    </row>
    <row r="59" spans="1:6" s="1295" customFormat="1" ht="19.149999999999999" customHeight="1" x14ac:dyDescent="0.2">
      <c r="A59" s="1294">
        <v>5</v>
      </c>
      <c r="B59" s="2463" t="s">
        <v>1590</v>
      </c>
      <c r="C59" s="2463"/>
      <c r="D59" s="2463"/>
      <c r="E59" s="1394"/>
    </row>
    <row r="60" spans="1:6" s="1295" customFormat="1" ht="3.75" customHeight="1" x14ac:dyDescent="0.2">
      <c r="A60" s="1294"/>
      <c r="B60" s="1837"/>
      <c r="C60" s="1837"/>
      <c r="D60" s="1837"/>
      <c r="E60" s="1394"/>
    </row>
    <row r="61" spans="1:6" s="1295" customFormat="1" ht="20.25" customHeight="1" x14ac:dyDescent="0.2">
      <c r="A61" s="1296">
        <v>6</v>
      </c>
      <c r="B61" s="2458" t="s">
        <v>1551</v>
      </c>
      <c r="C61" s="2458"/>
      <c r="D61" s="2458"/>
    </row>
    <row r="62" spans="1:6" ht="14.25" customHeight="1" x14ac:dyDescent="0.2">
      <c r="A62" s="1296"/>
      <c r="B62" s="2458"/>
      <c r="C62" s="2458"/>
      <c r="D62" s="2458"/>
    </row>
  </sheetData>
  <mergeCells count="36">
    <mergeCell ref="A13:F13"/>
    <mergeCell ref="A7:F7"/>
    <mergeCell ref="A1:F1"/>
    <mergeCell ref="A2:F2"/>
    <mergeCell ref="A3:F3"/>
    <mergeCell ref="A4:F4"/>
    <mergeCell ref="D31:F31"/>
    <mergeCell ref="D35:F35"/>
    <mergeCell ref="D26:F26"/>
    <mergeCell ref="D15:F15"/>
    <mergeCell ref="D16:F16"/>
    <mergeCell ref="D17:F17"/>
    <mergeCell ref="D18:F18"/>
    <mergeCell ref="D19:F19"/>
    <mergeCell ref="D20:F20"/>
    <mergeCell ref="D21:F21"/>
    <mergeCell ref="D22:F22"/>
    <mergeCell ref="D23:F23"/>
    <mergeCell ref="D24:F24"/>
    <mergeCell ref="D25:F25"/>
    <mergeCell ref="D36:F36"/>
    <mergeCell ref="D37:F37"/>
    <mergeCell ref="B61:D61"/>
    <mergeCell ref="B62:D62"/>
    <mergeCell ref="D27:F27"/>
    <mergeCell ref="D28:F28"/>
    <mergeCell ref="D39:F39"/>
    <mergeCell ref="A42:F42"/>
    <mergeCell ref="E44:F44"/>
    <mergeCell ref="B59:D59"/>
    <mergeCell ref="D29:F29"/>
    <mergeCell ref="D38:F38"/>
    <mergeCell ref="D32:F32"/>
    <mergeCell ref="D33:F33"/>
    <mergeCell ref="D34:F34"/>
    <mergeCell ref="D30:F30"/>
  </mergeCells>
  <pageMargins left="0.9" right="0.27" top="0.43" bottom="0" header="0.26" footer="0.25"/>
  <pageSetup scale="86"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E28" sqref="E28"/>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Mid-State Spec Educ Jnt Agr</v>
      </c>
      <c r="C1" s="2482"/>
      <c r="D1" s="2482"/>
      <c r="E1" s="2482"/>
      <c r="F1" s="2482"/>
      <c r="G1" s="2482"/>
      <c r="H1" s="2482"/>
      <c r="I1" s="2482"/>
      <c r="J1" s="1404"/>
    </row>
    <row r="2" spans="2:10" s="317" customFormat="1" ht="12.75" customHeight="1" x14ac:dyDescent="0.2">
      <c r="B2" s="2483">
        <f>'Single Audit Cover'!E7</f>
        <v>3011801060</v>
      </c>
      <c r="C2" s="2484"/>
      <c r="D2" s="2484"/>
      <c r="E2" s="2484"/>
      <c r="F2" s="2484"/>
      <c r="G2" s="2484"/>
      <c r="H2" s="2484"/>
      <c r="I2" s="2484"/>
      <c r="J2" s="1404"/>
    </row>
    <row r="3" spans="2:10" s="317" customFormat="1" ht="12.75" customHeight="1" x14ac:dyDescent="0.2">
      <c r="B3" s="2485" t="s">
        <v>1285</v>
      </c>
      <c r="C3" s="2486"/>
      <c r="D3" s="2486"/>
      <c r="E3" s="2486"/>
      <c r="F3" s="2486"/>
      <c r="G3" s="2486"/>
      <c r="H3" s="2486"/>
      <c r="I3" s="2486"/>
      <c r="J3" s="1405"/>
    </row>
    <row r="4" spans="2:10" s="317" customFormat="1" ht="12.75" customHeight="1" x14ac:dyDescent="0.2">
      <c r="B4" s="2485" t="str">
        <f>'Single Audit Cover'!A4</f>
        <v>Year Ending June 30, 2019</v>
      </c>
      <c r="C4" s="2486"/>
      <c r="D4" s="2486"/>
      <c r="E4" s="2486"/>
      <c r="F4" s="2486"/>
      <c r="G4" s="2486"/>
      <c r="H4" s="2486"/>
      <c r="I4" s="2486"/>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7" customHeight="1" x14ac:dyDescent="0.2">
      <c r="B7" s="2485" t="s">
        <v>1284</v>
      </c>
      <c r="C7" s="2486"/>
      <c r="D7" s="2486"/>
      <c r="E7" s="2486"/>
      <c r="F7" s="2486"/>
      <c r="G7" s="2486"/>
      <c r="H7" s="2486"/>
      <c r="I7" s="2486"/>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7" customHeight="1" x14ac:dyDescent="0.2">
      <c r="B11" s="1344" t="s">
        <v>1282</v>
      </c>
      <c r="C11" s="2487" t="s">
        <v>1164</v>
      </c>
      <c r="D11" s="2487"/>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7" customHeight="1" x14ac:dyDescent="0.2">
      <c r="B15" s="1418" t="s">
        <v>1278</v>
      </c>
      <c r="C15" s="1419"/>
      <c r="D15" s="1393"/>
      <c r="E15" s="1420"/>
      <c r="F15" s="1295" t="s">
        <v>885</v>
      </c>
      <c r="G15" s="1420" t="s">
        <v>2061</v>
      </c>
      <c r="H15" s="1295" t="s">
        <v>1276</v>
      </c>
      <c r="I15" s="1295"/>
    </row>
    <row r="16" spans="2:10" s="317" customFormat="1" ht="8.65" customHeight="1" x14ac:dyDescent="0.2">
      <c r="B16" s="1363"/>
      <c r="C16" s="1277"/>
      <c r="E16" s="1378"/>
      <c r="F16" s="1295"/>
      <c r="G16" s="322"/>
      <c r="H16" s="1295"/>
      <c r="I16" s="1295"/>
    </row>
    <row r="17" spans="2:9" s="317" customFormat="1" ht="13.7"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t="s">
        <v>2061</v>
      </c>
      <c r="F18" s="1295" t="s">
        <v>885</v>
      </c>
      <c r="G18" s="1420"/>
      <c r="H18" s="1295" t="s">
        <v>1276</v>
      </c>
      <c r="I18" s="1295"/>
    </row>
    <row r="19" spans="2:9" s="317" customFormat="1" ht="8.65" customHeight="1" x14ac:dyDescent="0.2">
      <c r="B19" s="1363"/>
      <c r="C19" s="1277"/>
      <c r="E19" s="1378"/>
      <c r="F19" s="1295"/>
      <c r="G19" s="322"/>
      <c r="H19" s="1295"/>
      <c r="I19" s="1295"/>
    </row>
    <row r="20" spans="2:9" s="317" customFormat="1" ht="13.7" customHeight="1" x14ac:dyDescent="0.2">
      <c r="B20" s="1418" t="s">
        <v>1591</v>
      </c>
      <c r="C20" s="1419"/>
      <c r="D20" s="1393"/>
      <c r="E20" s="1420" t="s">
        <v>2061</v>
      </c>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7" customHeight="1" x14ac:dyDescent="0.2">
      <c r="B24" s="1418" t="s">
        <v>1278</v>
      </c>
      <c r="C24" s="1419"/>
      <c r="D24" s="1393"/>
      <c r="E24" s="1420"/>
      <c r="F24" s="1295" t="s">
        <v>885</v>
      </c>
      <c r="G24" s="1420" t="s">
        <v>2061</v>
      </c>
      <c r="H24" s="1295" t="s">
        <v>1276</v>
      </c>
      <c r="I24" s="1295"/>
    </row>
    <row r="25" spans="2:9" s="317" customFormat="1" ht="8.65" customHeight="1" x14ac:dyDescent="0.2">
      <c r="B25" s="1363"/>
      <c r="C25" s="1277"/>
      <c r="E25" s="1378"/>
      <c r="F25" s="1295"/>
      <c r="G25" s="322"/>
      <c r="H25" s="1295"/>
      <c r="I25" s="1295"/>
    </row>
    <row r="26" spans="2:9" s="317" customFormat="1" ht="13.7"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t="s">
        <v>2061</v>
      </c>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88" t="s">
        <v>2135</v>
      </c>
      <c r="E29" s="2488"/>
      <c r="F29" s="2488"/>
      <c r="G29" s="2488"/>
      <c r="H29" s="2488"/>
      <c r="I29" s="2488"/>
    </row>
    <row r="30" spans="2:9" s="317" customFormat="1" x14ac:dyDescent="0.2">
      <c r="B30" s="1363"/>
      <c r="C30" s="322"/>
      <c r="D30" s="1415" t="s">
        <v>1745</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7" customHeight="1" x14ac:dyDescent="0.2">
      <c r="B33" s="1363" t="s">
        <v>1552</v>
      </c>
      <c r="C33" s="1277"/>
      <c r="E33" s="1420"/>
      <c r="F33" s="1295" t="s">
        <v>885</v>
      </c>
      <c r="G33" s="1420" t="s">
        <v>2061</v>
      </c>
      <c r="H33" s="1295" t="s">
        <v>99</v>
      </c>
    </row>
    <row r="35" spans="2:9" x14ac:dyDescent="0.2">
      <c r="B35" s="1423" t="s">
        <v>1746</v>
      </c>
      <c r="C35" s="1424"/>
      <c r="D35" s="1262"/>
    </row>
    <row r="36" spans="2:9" ht="6" customHeight="1" x14ac:dyDescent="0.2">
      <c r="B36" s="1423"/>
      <c r="C36" s="1424"/>
      <c r="D36" s="1262"/>
    </row>
    <row r="37" spans="2:9" ht="17.25" customHeight="1" x14ac:dyDescent="0.2">
      <c r="B37" s="1425" t="s">
        <v>1747</v>
      </c>
      <c r="C37" s="2489" t="s">
        <v>1748</v>
      </c>
      <c r="D37" s="2490"/>
      <c r="E37" s="2490"/>
      <c r="F37" s="2491"/>
      <c r="G37" s="2489" t="s">
        <v>1592</v>
      </c>
      <c r="H37" s="2490"/>
      <c r="I37" s="2491"/>
    </row>
    <row r="38" spans="2:9" ht="16.5" customHeight="1" x14ac:dyDescent="0.2">
      <c r="B38" s="1426" t="s">
        <v>2136</v>
      </c>
      <c r="C38" s="2477" t="s">
        <v>2137</v>
      </c>
      <c r="D38" s="2478"/>
      <c r="E38" s="2478"/>
      <c r="F38" s="2479"/>
      <c r="G38" s="2492">
        <v>3693945</v>
      </c>
      <c r="H38" s="2493"/>
      <c r="I38" s="2494"/>
    </row>
    <row r="39" spans="2:9" ht="16.5" customHeight="1" x14ac:dyDescent="0.2">
      <c r="B39" s="1426"/>
      <c r="C39" s="2477"/>
      <c r="D39" s="2478"/>
      <c r="E39" s="2478"/>
      <c r="F39" s="2479"/>
      <c r="G39" s="2480"/>
      <c r="H39" s="2480"/>
      <c r="I39" s="2480"/>
    </row>
    <row r="40" spans="2:9" ht="16.5" customHeight="1" x14ac:dyDescent="0.2">
      <c r="B40" s="1426"/>
      <c r="C40" s="2477"/>
      <c r="D40" s="2478"/>
      <c r="E40" s="2478"/>
      <c r="F40" s="2479"/>
      <c r="G40" s="2480"/>
      <c r="H40" s="2480"/>
      <c r="I40" s="2480"/>
    </row>
    <row r="41" spans="2:9" ht="16.5" customHeight="1" x14ac:dyDescent="0.2">
      <c r="B41" s="1426"/>
      <c r="C41" s="2477"/>
      <c r="D41" s="2478"/>
      <c r="E41" s="2478"/>
      <c r="F41" s="2479"/>
      <c r="G41" s="2480"/>
      <c r="H41" s="2480"/>
      <c r="I41" s="2480"/>
    </row>
    <row r="42" spans="2:9" ht="16.5" customHeight="1" x14ac:dyDescent="0.2">
      <c r="B42" s="1426"/>
      <c r="C42" s="2477"/>
      <c r="D42" s="2478"/>
      <c r="E42" s="2478"/>
      <c r="F42" s="2479"/>
      <c r="G42" s="2480"/>
      <c r="H42" s="2480"/>
      <c r="I42" s="2480"/>
    </row>
    <row r="43" spans="2:9" ht="16.5" customHeight="1" x14ac:dyDescent="0.2">
      <c r="B43" s="1426"/>
      <c r="C43" s="2470" t="s">
        <v>1593</v>
      </c>
      <c r="D43" s="2471"/>
      <c r="E43" s="2471"/>
      <c r="F43" s="2472"/>
      <c r="G43" s="2473">
        <f>SUM(G38:I42)</f>
        <v>3693945</v>
      </c>
      <c r="H43" s="2473"/>
      <c r="I43" s="2473"/>
    </row>
    <row r="44" spans="2:9" ht="12.75" customHeight="1" x14ac:dyDescent="0.2"/>
    <row r="45" spans="2:9" ht="12.75" customHeight="1" x14ac:dyDescent="0.2">
      <c r="B45" s="1417" t="s">
        <v>2058</v>
      </c>
      <c r="D45" s="2474">
        <v>3844512</v>
      </c>
      <c r="E45" s="2475"/>
    </row>
    <row r="46" spans="2:9" ht="5.25" customHeight="1" x14ac:dyDescent="0.2">
      <c r="B46" s="1427"/>
      <c r="D46" s="1428"/>
      <c r="E46" s="1429"/>
    </row>
    <row r="47" spans="2:9" ht="12.75" customHeight="1" x14ac:dyDescent="0.2">
      <c r="B47" s="1295" t="s">
        <v>1594</v>
      </c>
      <c r="C47" s="1295"/>
      <c r="D47" s="1430">
        <f>+G43/D45</f>
        <v>0.96083586161260515</v>
      </c>
      <c r="E47" s="1431"/>
      <c r="F47" s="1432"/>
      <c r="I47" s="1433"/>
    </row>
    <row r="48" spans="2:9" ht="9.9499999999999993" customHeight="1" x14ac:dyDescent="0.2"/>
    <row r="49" spans="1:9" x14ac:dyDescent="0.2">
      <c r="B49" s="1363" t="s">
        <v>1273</v>
      </c>
      <c r="C49" s="1277"/>
      <c r="D49" s="1277"/>
      <c r="E49" s="2476">
        <v>750000</v>
      </c>
      <c r="F49" s="2476"/>
      <c r="G49" s="2476"/>
      <c r="H49" s="322"/>
    </row>
    <row r="51" spans="1:9" ht="13.7" customHeight="1" x14ac:dyDescent="0.2">
      <c r="B51" s="1363" t="s">
        <v>1272</v>
      </c>
      <c r="C51" s="1277"/>
      <c r="E51" s="1420"/>
      <c r="F51" s="1295" t="s">
        <v>885</v>
      </c>
      <c r="G51" s="1420" t="s">
        <v>2061</v>
      </c>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1749</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7" customHeight="1" x14ac:dyDescent="0.2">
      <c r="A58" s="1440"/>
      <c r="B58" s="1445" t="s">
        <v>1750</v>
      </c>
      <c r="C58" s="1446"/>
      <c r="D58" s="1446"/>
    </row>
    <row r="59" spans="1:9" s="1443" customFormat="1" ht="3.95" customHeight="1" x14ac:dyDescent="0.2">
      <c r="A59" s="1440"/>
      <c r="B59" s="1445"/>
      <c r="C59" s="1446"/>
      <c r="D59" s="1446"/>
    </row>
    <row r="60" spans="1:9" s="1443" customFormat="1" ht="13.7" customHeight="1" x14ac:dyDescent="0.2">
      <c r="A60" s="1440"/>
      <c r="B60" s="1445" t="s">
        <v>1751</v>
      </c>
      <c r="C60" s="1446"/>
      <c r="D60" s="1446"/>
    </row>
    <row r="61" spans="1:9" s="1443" customFormat="1" ht="3.95" customHeight="1" x14ac:dyDescent="0.2">
      <c r="A61" s="1440"/>
      <c r="B61" s="1445"/>
      <c r="C61" s="1446"/>
      <c r="D61" s="1446"/>
    </row>
    <row r="62" spans="1:9" s="1443" customFormat="1" ht="12.75" customHeight="1" x14ac:dyDescent="0.2">
      <c r="A62" s="1440"/>
      <c r="B62" s="1445" t="s">
        <v>1752</v>
      </c>
      <c r="C62" s="1446"/>
      <c r="D62" s="1446"/>
    </row>
    <row r="63" spans="1:9" s="1443" customFormat="1" ht="13.7"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Mid-State Spec Educ Jnt Agr</v>
      </c>
      <c r="C1" s="2481"/>
      <c r="D1" s="2481"/>
      <c r="E1" s="2481"/>
      <c r="F1" s="2481"/>
      <c r="G1" s="2481"/>
      <c r="H1" s="2481"/>
      <c r="I1" s="2481"/>
      <c r="J1" s="2481"/>
      <c r="K1" s="2481"/>
      <c r="L1" s="1369"/>
      <c r="M1" s="1369"/>
    </row>
    <row r="2" spans="1:13" ht="12" customHeight="1" x14ac:dyDescent="0.2">
      <c r="B2" s="2483">
        <f>'Single Audit Cover'!E7</f>
        <v>3011801060</v>
      </c>
      <c r="C2" s="2483"/>
      <c r="D2" s="2483"/>
      <c r="E2" s="2483"/>
      <c r="F2" s="2483"/>
      <c r="G2" s="2483"/>
      <c r="H2" s="2483"/>
      <c r="I2" s="2483"/>
      <c r="J2" s="2483"/>
      <c r="K2" s="2483"/>
      <c r="L2" s="1370"/>
      <c r="M2" s="1371"/>
    </row>
    <row r="3" spans="1:13" ht="10.35" customHeight="1" x14ac:dyDescent="0.2">
      <c r="B3" s="2497" t="s">
        <v>1285</v>
      </c>
      <c r="C3" s="2497"/>
      <c r="D3" s="2497"/>
      <c r="E3" s="2497"/>
      <c r="F3" s="2497"/>
      <c r="G3" s="2497"/>
      <c r="H3" s="2497"/>
      <c r="I3" s="2497"/>
      <c r="J3" s="2497"/>
      <c r="K3" s="2497"/>
      <c r="L3" s="1372"/>
      <c r="M3" s="1372"/>
    </row>
    <row r="4" spans="1:13" ht="14.25" customHeight="1" x14ac:dyDescent="0.2">
      <c r="B4" s="2498" t="str">
        <f>'Single Audit Cover'!A4</f>
        <v>Year Ending June 30, 2019</v>
      </c>
      <c r="C4" s="2498"/>
      <c r="D4" s="2498"/>
      <c r="E4" s="2498"/>
      <c r="F4" s="2498"/>
      <c r="G4" s="2498"/>
      <c r="H4" s="2498"/>
      <c r="I4" s="2498"/>
      <c r="J4" s="2498"/>
      <c r="K4" s="2498"/>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98" t="s">
        <v>1296</v>
      </c>
      <c r="C7" s="2498"/>
      <c r="D7" s="2499"/>
      <c r="E7" s="2499"/>
      <c r="F7" s="2499"/>
      <c r="G7" s="2499"/>
      <c r="H7" s="2499"/>
      <c r="I7" s="2499"/>
      <c r="J7" s="2499"/>
      <c r="K7" s="2499"/>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1985</v>
      </c>
      <c r="D10" s="1381">
        <v>1</v>
      </c>
      <c r="E10" s="322"/>
      <c r="F10" s="1382" t="s">
        <v>1295</v>
      </c>
      <c r="G10" s="1383" t="s">
        <v>2134</v>
      </c>
      <c r="H10" s="1384" t="s">
        <v>1294</v>
      </c>
      <c r="I10" s="1383"/>
      <c r="J10" s="1385" t="s">
        <v>1293</v>
      </c>
      <c r="K10" s="322"/>
      <c r="L10" s="1376"/>
    </row>
    <row r="11" spans="1:13" ht="13.7" customHeight="1" x14ac:dyDescent="0.2">
      <c r="B11" s="322"/>
      <c r="C11" s="322"/>
      <c r="D11" s="322"/>
      <c r="E11" s="322"/>
      <c r="F11" s="322"/>
      <c r="G11" s="1378"/>
      <c r="H11" s="322"/>
      <c r="I11" s="1386" t="s">
        <v>1292</v>
      </c>
      <c r="J11" s="322"/>
      <c r="K11" s="1387"/>
      <c r="L11" s="1376"/>
    </row>
    <row r="12" spans="1:13" ht="13.7" customHeight="1" x14ac:dyDescent="0.2">
      <c r="B12" s="1289"/>
      <c r="C12" s="1289"/>
      <c r="D12" s="322"/>
      <c r="E12" s="322"/>
      <c r="F12" s="322"/>
      <c r="G12" s="1378"/>
      <c r="H12" s="322"/>
      <c r="I12" s="1378"/>
      <c r="J12" s="322"/>
      <c r="L12" s="1376"/>
    </row>
    <row r="13" spans="1:13" s="1277" customFormat="1" ht="13.7" customHeight="1" x14ac:dyDescent="0.2">
      <c r="B13" s="1388" t="s">
        <v>1291</v>
      </c>
      <c r="C13" s="1388"/>
      <c r="D13" s="1389"/>
      <c r="E13" s="1389"/>
      <c r="F13" s="1389"/>
      <c r="G13" s="1390"/>
      <c r="H13" s="1389"/>
      <c r="I13" s="1390"/>
      <c r="J13" s="1389"/>
      <c r="K13" s="1389"/>
      <c r="L13" s="1391"/>
    </row>
    <row r="14" spans="1:13" ht="45.95" customHeight="1" x14ac:dyDescent="0.2">
      <c r="B14" s="2496" t="s">
        <v>2152</v>
      </c>
      <c r="C14" s="2496"/>
      <c r="D14" s="2496"/>
      <c r="E14" s="2496"/>
      <c r="F14" s="2496"/>
      <c r="G14" s="2496"/>
      <c r="H14" s="2496"/>
      <c r="I14" s="2496"/>
      <c r="J14" s="2496"/>
      <c r="K14" s="2496"/>
      <c r="L14" s="1392"/>
    </row>
    <row r="15" spans="1:13" ht="4.7" customHeight="1" x14ac:dyDescent="0.2">
      <c r="B15" s="1393"/>
      <c r="C15" s="1393"/>
      <c r="D15" s="1394"/>
      <c r="E15" s="1394"/>
      <c r="F15" s="1394"/>
      <c r="H15" s="1394"/>
      <c r="J15" s="1394"/>
      <c r="K15" s="1394"/>
      <c r="L15" s="1392"/>
    </row>
    <row r="16" spans="1:13" s="1277" customFormat="1" ht="13.7" customHeight="1" x14ac:dyDescent="0.2">
      <c r="B16" s="1388" t="s">
        <v>1290</v>
      </c>
      <c r="C16" s="1388"/>
      <c r="D16" s="1389"/>
      <c r="E16" s="1389"/>
      <c r="F16" s="1389"/>
      <c r="G16" s="1390"/>
      <c r="H16" s="1389"/>
      <c r="I16" s="1390"/>
      <c r="J16" s="1389"/>
      <c r="K16" s="1389"/>
      <c r="L16" s="1391"/>
    </row>
    <row r="17" spans="2:12" ht="45.95" customHeight="1" x14ac:dyDescent="0.2">
      <c r="B17" s="2496" t="s">
        <v>2149</v>
      </c>
      <c r="C17" s="2496"/>
      <c r="D17" s="2496"/>
      <c r="E17" s="2496"/>
      <c r="F17" s="2496"/>
      <c r="G17" s="2496"/>
      <c r="H17" s="2496"/>
      <c r="I17" s="2496"/>
      <c r="J17" s="2496"/>
      <c r="K17" s="2496"/>
      <c r="L17" s="1376"/>
    </row>
    <row r="18" spans="2:12" ht="4.7" customHeight="1" x14ac:dyDescent="0.2">
      <c r="B18" s="1393"/>
      <c r="C18" s="1393"/>
      <c r="L18" s="1376"/>
    </row>
    <row r="19" spans="2:12" s="1277" customFormat="1" ht="13.7" customHeight="1" x14ac:dyDescent="0.2">
      <c r="B19" s="1388" t="s">
        <v>1740</v>
      </c>
      <c r="C19" s="1388"/>
      <c r="D19" s="1389"/>
      <c r="E19" s="1389"/>
      <c r="F19" s="1389"/>
      <c r="G19" s="1390"/>
      <c r="H19" s="1389"/>
      <c r="I19" s="1390"/>
      <c r="J19" s="1389"/>
      <c r="K19" s="1389"/>
      <c r="L19" s="1391"/>
    </row>
    <row r="20" spans="2:12" ht="45.95" customHeight="1" x14ac:dyDescent="0.2">
      <c r="B20" s="2500" t="s">
        <v>2140</v>
      </c>
      <c r="C20" s="2500"/>
      <c r="D20" s="2496"/>
      <c r="E20" s="2496"/>
      <c r="F20" s="2496"/>
      <c r="G20" s="2496"/>
      <c r="H20" s="2496"/>
      <c r="I20" s="2496"/>
      <c r="J20" s="2496"/>
      <c r="K20" s="2496"/>
      <c r="L20" s="1376"/>
    </row>
    <row r="21" spans="2:12" ht="4.7" customHeight="1" x14ac:dyDescent="0.2">
      <c r="B21" s="1395"/>
      <c r="C21" s="1395"/>
      <c r="L21" s="1376"/>
    </row>
    <row r="22" spans="2:12" ht="13.7" customHeight="1" x14ac:dyDescent="0.2">
      <c r="B22" s="1388" t="s">
        <v>1289</v>
      </c>
      <c r="C22" s="1388"/>
      <c r="D22" s="1374"/>
      <c r="E22" s="1374"/>
      <c r="F22" s="1374"/>
      <c r="G22" s="1375"/>
      <c r="H22" s="1374"/>
      <c r="I22" s="1375"/>
      <c r="J22" s="1374"/>
      <c r="K22" s="1374"/>
      <c r="L22" s="1376"/>
    </row>
    <row r="23" spans="2:12" ht="45" customHeight="1" x14ac:dyDescent="0.2">
      <c r="B23" s="2496" t="s">
        <v>2138</v>
      </c>
      <c r="C23" s="2496"/>
      <c r="D23" s="2496"/>
      <c r="E23" s="2496"/>
      <c r="F23" s="2496"/>
      <c r="G23" s="2496"/>
      <c r="H23" s="2496"/>
      <c r="I23" s="2496"/>
      <c r="J23" s="2496"/>
      <c r="K23" s="2496"/>
      <c r="L23" s="1376"/>
    </row>
    <row r="24" spans="2:12" ht="4.7" customHeight="1" x14ac:dyDescent="0.2">
      <c r="B24" s="1393"/>
      <c r="C24" s="1393"/>
      <c r="L24" s="1376"/>
    </row>
    <row r="25" spans="2:12" ht="13.7" customHeight="1" x14ac:dyDescent="0.2">
      <c r="B25" s="1388" t="s">
        <v>1288</v>
      </c>
      <c r="C25" s="1388"/>
      <c r="D25" s="1374"/>
      <c r="E25" s="1374"/>
      <c r="F25" s="1374"/>
      <c r="G25" s="1375"/>
      <c r="H25" s="1374"/>
      <c r="I25" s="1375"/>
      <c r="J25" s="1374"/>
      <c r="K25" s="1374"/>
      <c r="L25" s="1376"/>
    </row>
    <row r="26" spans="2:12" ht="45.95" customHeight="1" x14ac:dyDescent="0.2">
      <c r="B26" s="2496" t="s">
        <v>2139</v>
      </c>
      <c r="C26" s="2496"/>
      <c r="D26" s="2496"/>
      <c r="E26" s="2496"/>
      <c r="F26" s="2496"/>
      <c r="G26" s="2496"/>
      <c r="H26" s="2496"/>
      <c r="I26" s="2496"/>
      <c r="J26" s="2496"/>
      <c r="K26" s="2496"/>
      <c r="L26" s="1376"/>
    </row>
    <row r="27" spans="2:12" ht="4.7" customHeight="1" x14ac:dyDescent="0.2">
      <c r="B27" s="1393"/>
      <c r="C27" s="1393"/>
      <c r="L27" s="1376"/>
    </row>
    <row r="28" spans="2:12" ht="13.7" customHeight="1" x14ac:dyDescent="0.2">
      <c r="B28" s="1396" t="s">
        <v>1287</v>
      </c>
      <c r="C28" s="1396"/>
      <c r="D28" s="1374"/>
      <c r="E28" s="1374"/>
      <c r="F28" s="1374"/>
      <c r="G28" s="1375"/>
      <c r="H28" s="1374"/>
      <c r="I28" s="1375"/>
      <c r="J28" s="1374"/>
      <c r="K28" s="1374"/>
      <c r="L28" s="1376"/>
    </row>
    <row r="29" spans="2:12" ht="45.95" customHeight="1" x14ac:dyDescent="0.2">
      <c r="B29" s="2495" t="s">
        <v>2141</v>
      </c>
      <c r="C29" s="2495"/>
      <c r="D29" s="2496"/>
      <c r="E29" s="2496"/>
      <c r="F29" s="2496"/>
      <c r="G29" s="2496"/>
      <c r="H29" s="2496"/>
      <c r="I29" s="2496"/>
      <c r="J29" s="2496"/>
      <c r="K29" s="2496"/>
      <c r="L29" s="1376"/>
    </row>
    <row r="30" spans="2:12" ht="4.7" customHeight="1" x14ac:dyDescent="0.2">
      <c r="B30" s="1397"/>
      <c r="C30" s="1397"/>
      <c r="D30" s="322"/>
      <c r="E30" s="322"/>
      <c r="F30" s="322"/>
      <c r="G30" s="1378"/>
      <c r="H30" s="322"/>
      <c r="I30" s="1378"/>
      <c r="J30" s="322"/>
      <c r="K30" s="322"/>
      <c r="L30" s="1376"/>
    </row>
    <row r="31" spans="2:12" s="322" customFormat="1" ht="13.7" customHeight="1" x14ac:dyDescent="0.2">
      <c r="B31" s="1398" t="s">
        <v>1741</v>
      </c>
      <c r="C31" s="1398"/>
      <c r="D31" s="1373"/>
      <c r="E31" s="1374"/>
      <c r="F31" s="1374"/>
      <c r="G31" s="1375"/>
      <c r="H31" s="1374"/>
      <c r="I31" s="1375"/>
      <c r="J31" s="1374"/>
      <c r="K31" s="1374"/>
      <c r="L31" s="1376"/>
    </row>
    <row r="32" spans="2:12" s="322" customFormat="1" ht="102" customHeight="1" x14ac:dyDescent="0.2">
      <c r="B32" s="2495" t="s">
        <v>2160</v>
      </c>
      <c r="C32" s="2495"/>
      <c r="D32" s="2496"/>
      <c r="E32" s="2496"/>
      <c r="F32" s="2496"/>
      <c r="G32" s="2496"/>
      <c r="H32" s="2496"/>
      <c r="I32" s="2496"/>
      <c r="J32" s="2496"/>
      <c r="K32" s="2496"/>
      <c r="L32" s="1376"/>
    </row>
    <row r="33" spans="1:13" s="322" customFormat="1" ht="3" customHeight="1" x14ac:dyDescent="0.2">
      <c r="B33" s="1397"/>
      <c r="C33" s="1397"/>
      <c r="G33" s="1378"/>
      <c r="I33" s="1378"/>
      <c r="L33" s="1376"/>
    </row>
    <row r="34" spans="1:13" s="322" customFormat="1" ht="0.6" customHeight="1" x14ac:dyDescent="0.2">
      <c r="A34" s="1292"/>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5" t="s">
        <v>1837</v>
      </c>
      <c r="C36" s="1295"/>
      <c r="L36" s="1376"/>
    </row>
    <row r="37" spans="1:13" ht="9.6" customHeight="1" x14ac:dyDescent="0.2">
      <c r="B37" s="1295" t="s">
        <v>1838</v>
      </c>
      <c r="C37" s="1295"/>
    </row>
    <row r="38" spans="1:13" ht="11.85" customHeight="1" x14ac:dyDescent="0.2">
      <c r="B38" s="1402" t="s">
        <v>1743</v>
      </c>
      <c r="C38" s="1402"/>
    </row>
    <row r="39" spans="1:13" ht="9.6" customHeight="1" x14ac:dyDescent="0.2">
      <c r="B39" s="1295" t="s">
        <v>1286</v>
      </c>
      <c r="C39" s="1295"/>
      <c r="M39" s="1403"/>
    </row>
    <row r="40" spans="1:13" ht="12.6" customHeight="1" x14ac:dyDescent="0.2">
      <c r="B40" s="1402" t="s">
        <v>1744</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Mid-State Spec Educ Jnt Agr</v>
      </c>
      <c r="C1" s="2481"/>
      <c r="D1" s="2481"/>
      <c r="E1" s="2481"/>
      <c r="F1" s="2481"/>
      <c r="G1" s="2481"/>
      <c r="H1" s="2481"/>
      <c r="I1" s="2481"/>
      <c r="J1" s="2481"/>
      <c r="K1" s="2481"/>
      <c r="L1" s="1369"/>
      <c r="M1" s="1369"/>
    </row>
    <row r="2" spans="1:13" ht="12" customHeight="1" x14ac:dyDescent="0.2">
      <c r="B2" s="2483">
        <f>'Single Audit Cover'!E7</f>
        <v>3011801060</v>
      </c>
      <c r="C2" s="2483"/>
      <c r="D2" s="2483"/>
      <c r="E2" s="2483"/>
      <c r="F2" s="2483"/>
      <c r="G2" s="2483"/>
      <c r="H2" s="2483"/>
      <c r="I2" s="2483"/>
      <c r="J2" s="2483"/>
      <c r="K2" s="2483"/>
      <c r="L2" s="1370"/>
      <c r="M2" s="1371"/>
    </row>
    <row r="3" spans="1:13" ht="10.35" customHeight="1" x14ac:dyDescent="0.2">
      <c r="B3" s="2497" t="s">
        <v>1285</v>
      </c>
      <c r="C3" s="2497"/>
      <c r="D3" s="2497"/>
      <c r="E3" s="2497"/>
      <c r="F3" s="2497"/>
      <c r="G3" s="2497"/>
      <c r="H3" s="2497"/>
      <c r="I3" s="2497"/>
      <c r="J3" s="2497"/>
      <c r="K3" s="2497"/>
      <c r="L3" s="1943"/>
      <c r="M3" s="1943"/>
    </row>
    <row r="4" spans="1:13" ht="14.25" customHeight="1" x14ac:dyDescent="0.2">
      <c r="B4" s="2498" t="str">
        <f>'Single Audit Cover'!A4</f>
        <v>Year Ending June 30, 2019</v>
      </c>
      <c r="C4" s="2498"/>
      <c r="D4" s="2498"/>
      <c r="E4" s="2498"/>
      <c r="F4" s="2498"/>
      <c r="G4" s="2498"/>
      <c r="H4" s="2498"/>
      <c r="I4" s="2498"/>
      <c r="J4" s="2498"/>
      <c r="K4" s="2498"/>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98" t="s">
        <v>1296</v>
      </c>
      <c r="C7" s="2498"/>
      <c r="D7" s="2499"/>
      <c r="E7" s="2499"/>
      <c r="F7" s="2499"/>
      <c r="G7" s="2499"/>
      <c r="H7" s="2499"/>
      <c r="I7" s="2499"/>
      <c r="J7" s="2499"/>
      <c r="K7" s="2499"/>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1985</v>
      </c>
      <c r="D10" s="1381">
        <v>2</v>
      </c>
      <c r="E10" s="322"/>
      <c r="F10" s="1382" t="s">
        <v>1295</v>
      </c>
      <c r="G10" s="1383" t="s">
        <v>2134</v>
      </c>
      <c r="H10" s="1384" t="s">
        <v>1294</v>
      </c>
      <c r="I10" s="1383"/>
      <c r="J10" s="1385" t="s">
        <v>1293</v>
      </c>
      <c r="K10" s="322"/>
      <c r="L10" s="1376"/>
    </row>
    <row r="11" spans="1:13" ht="13.7" customHeight="1" x14ac:dyDescent="0.2">
      <c r="B11" s="322"/>
      <c r="C11" s="322"/>
      <c r="D11" s="322"/>
      <c r="E11" s="322"/>
      <c r="F11" s="322"/>
      <c r="G11" s="1378"/>
      <c r="H11" s="322"/>
      <c r="I11" s="1386" t="s">
        <v>1292</v>
      </c>
      <c r="J11" s="322"/>
      <c r="K11" s="1387"/>
      <c r="L11" s="1376"/>
    </row>
    <row r="12" spans="1:13" ht="13.7" customHeight="1" x14ac:dyDescent="0.2">
      <c r="B12" s="1289"/>
      <c r="C12" s="1289"/>
      <c r="D12" s="322"/>
      <c r="E12" s="322"/>
      <c r="F12" s="322"/>
      <c r="G12" s="1378"/>
      <c r="H12" s="322"/>
      <c r="I12" s="1378"/>
      <c r="J12" s="322"/>
      <c r="L12" s="1376"/>
    </row>
    <row r="13" spans="1:13" s="1277" customFormat="1" ht="13.7" customHeight="1" x14ac:dyDescent="0.2">
      <c r="B13" s="1388" t="s">
        <v>1291</v>
      </c>
      <c r="C13" s="1388"/>
      <c r="D13" s="1389"/>
      <c r="E13" s="1389"/>
      <c r="F13" s="1389"/>
      <c r="G13" s="1390"/>
      <c r="H13" s="1389"/>
      <c r="I13" s="1390"/>
      <c r="J13" s="1389"/>
      <c r="K13" s="1389"/>
      <c r="L13" s="1391"/>
    </row>
    <row r="14" spans="1:13" ht="45.95" customHeight="1" x14ac:dyDescent="0.2">
      <c r="B14" s="2496" t="s">
        <v>2142</v>
      </c>
      <c r="C14" s="2496"/>
      <c r="D14" s="2496"/>
      <c r="E14" s="2496"/>
      <c r="F14" s="2496"/>
      <c r="G14" s="2496"/>
      <c r="H14" s="2496"/>
      <c r="I14" s="2496"/>
      <c r="J14" s="2496"/>
      <c r="K14" s="2496"/>
      <c r="L14" s="1392"/>
    </row>
    <row r="15" spans="1:13" ht="4.7" customHeight="1" x14ac:dyDescent="0.2">
      <c r="B15" s="1393"/>
      <c r="C15" s="1393"/>
      <c r="D15" s="1394"/>
      <c r="E15" s="1394"/>
      <c r="F15" s="1394"/>
      <c r="H15" s="1394"/>
      <c r="J15" s="1394"/>
      <c r="K15" s="1394"/>
      <c r="L15" s="1392"/>
    </row>
    <row r="16" spans="1:13" s="1277" customFormat="1" ht="13.7" customHeight="1" x14ac:dyDescent="0.2">
      <c r="B16" s="1388" t="s">
        <v>1290</v>
      </c>
      <c r="C16" s="1388"/>
      <c r="D16" s="1389"/>
      <c r="E16" s="1389"/>
      <c r="F16" s="1389"/>
      <c r="G16" s="1390"/>
      <c r="H16" s="1389"/>
      <c r="I16" s="1390"/>
      <c r="J16" s="1389"/>
      <c r="K16" s="1389"/>
      <c r="L16" s="1391"/>
    </row>
    <row r="17" spans="2:12" ht="45.95" customHeight="1" x14ac:dyDescent="0.2">
      <c r="B17" s="2496" t="s">
        <v>2143</v>
      </c>
      <c r="C17" s="2496"/>
      <c r="D17" s="2496"/>
      <c r="E17" s="2496"/>
      <c r="F17" s="2496"/>
      <c r="G17" s="2496"/>
      <c r="H17" s="2496"/>
      <c r="I17" s="2496"/>
      <c r="J17" s="2496"/>
      <c r="K17" s="2496"/>
      <c r="L17" s="1376"/>
    </row>
    <row r="18" spans="2:12" ht="4.7" customHeight="1" x14ac:dyDescent="0.2">
      <c r="B18" s="1393"/>
      <c r="C18" s="1393"/>
      <c r="L18" s="1376"/>
    </row>
    <row r="19" spans="2:12" s="1277" customFormat="1" ht="13.7" customHeight="1" x14ac:dyDescent="0.2">
      <c r="B19" s="1388" t="s">
        <v>1740</v>
      </c>
      <c r="C19" s="1388"/>
      <c r="D19" s="1389"/>
      <c r="E19" s="1389"/>
      <c r="F19" s="1389"/>
      <c r="G19" s="1390"/>
      <c r="H19" s="1389"/>
      <c r="I19" s="1390"/>
      <c r="J19" s="1389"/>
      <c r="K19" s="1389"/>
      <c r="L19" s="1391"/>
    </row>
    <row r="20" spans="2:12" ht="45.95" customHeight="1" x14ac:dyDescent="0.2">
      <c r="B20" s="2500" t="s">
        <v>2154</v>
      </c>
      <c r="C20" s="2500"/>
      <c r="D20" s="2496"/>
      <c r="E20" s="2496"/>
      <c r="F20" s="2496"/>
      <c r="G20" s="2496"/>
      <c r="H20" s="2496"/>
      <c r="I20" s="2496"/>
      <c r="J20" s="2496"/>
      <c r="K20" s="2496"/>
      <c r="L20" s="1376"/>
    </row>
    <row r="21" spans="2:12" ht="4.7" customHeight="1" x14ac:dyDescent="0.2">
      <c r="B21" s="1395"/>
      <c r="C21" s="1395"/>
      <c r="L21" s="1376"/>
    </row>
    <row r="22" spans="2:12" ht="13.7" customHeight="1" x14ac:dyDescent="0.2">
      <c r="B22" s="1388" t="s">
        <v>1289</v>
      </c>
      <c r="C22" s="1388"/>
      <c r="D22" s="1374"/>
      <c r="E22" s="1374"/>
      <c r="F22" s="1374"/>
      <c r="G22" s="1375"/>
      <c r="H22" s="1374"/>
      <c r="I22" s="1375"/>
      <c r="J22" s="1374"/>
      <c r="K22" s="1374"/>
      <c r="L22" s="1376"/>
    </row>
    <row r="23" spans="2:12" ht="45" customHeight="1" x14ac:dyDescent="0.2">
      <c r="B23" s="2496" t="s">
        <v>2144</v>
      </c>
      <c r="C23" s="2496"/>
      <c r="D23" s="2496"/>
      <c r="E23" s="2496"/>
      <c r="F23" s="2496"/>
      <c r="G23" s="2496"/>
      <c r="H23" s="2496"/>
      <c r="I23" s="2496"/>
      <c r="J23" s="2496"/>
      <c r="K23" s="2496"/>
      <c r="L23" s="1376"/>
    </row>
    <row r="24" spans="2:12" ht="4.7" customHeight="1" x14ac:dyDescent="0.2">
      <c r="B24" s="1393"/>
      <c r="C24" s="1393"/>
      <c r="L24" s="1376"/>
    </row>
    <row r="25" spans="2:12" ht="13.7" customHeight="1" x14ac:dyDescent="0.2">
      <c r="B25" s="1388" t="s">
        <v>1288</v>
      </c>
      <c r="C25" s="1388"/>
      <c r="D25" s="1374"/>
      <c r="E25" s="1374"/>
      <c r="F25" s="1374"/>
      <c r="G25" s="1375"/>
      <c r="H25" s="1374"/>
      <c r="I25" s="1375"/>
      <c r="J25" s="1374"/>
      <c r="K25" s="1374"/>
      <c r="L25" s="1376"/>
    </row>
    <row r="26" spans="2:12" ht="45.95" customHeight="1" x14ac:dyDescent="0.2">
      <c r="B26" s="2496" t="s">
        <v>2145</v>
      </c>
      <c r="C26" s="2496"/>
      <c r="D26" s="2496"/>
      <c r="E26" s="2496"/>
      <c r="F26" s="2496"/>
      <c r="G26" s="2496"/>
      <c r="H26" s="2496"/>
      <c r="I26" s="2496"/>
      <c r="J26" s="2496"/>
      <c r="K26" s="2496"/>
      <c r="L26" s="1376"/>
    </row>
    <row r="27" spans="2:12" ht="4.7" customHeight="1" x14ac:dyDescent="0.2">
      <c r="B27" s="1393"/>
      <c r="C27" s="1393"/>
      <c r="L27" s="1376"/>
    </row>
    <row r="28" spans="2:12" ht="13.7" customHeight="1" x14ac:dyDescent="0.2">
      <c r="B28" s="1396" t="s">
        <v>1287</v>
      </c>
      <c r="C28" s="1396"/>
      <c r="D28" s="1374"/>
      <c r="E28" s="1374"/>
      <c r="F28" s="1374"/>
      <c r="G28" s="1375"/>
      <c r="H28" s="1374"/>
      <c r="I28" s="1375"/>
      <c r="J28" s="1374"/>
      <c r="K28" s="1374"/>
      <c r="L28" s="1376"/>
    </row>
    <row r="29" spans="2:12" ht="45.95" customHeight="1" x14ac:dyDescent="0.2">
      <c r="B29" s="2495" t="s">
        <v>2146</v>
      </c>
      <c r="C29" s="2495"/>
      <c r="D29" s="2496"/>
      <c r="E29" s="2496"/>
      <c r="F29" s="2496"/>
      <c r="G29" s="2496"/>
      <c r="H29" s="2496"/>
      <c r="I29" s="2496"/>
      <c r="J29" s="2496"/>
      <c r="K29" s="2496"/>
      <c r="L29" s="1376"/>
    </row>
    <row r="30" spans="2:12" ht="4.7" customHeight="1" x14ac:dyDescent="0.2">
      <c r="B30" s="1397"/>
      <c r="C30" s="1397"/>
      <c r="D30" s="322"/>
      <c r="E30" s="322"/>
      <c r="F30" s="322"/>
      <c r="G30" s="1378"/>
      <c r="H30" s="322"/>
      <c r="I30" s="1378"/>
      <c r="J30" s="322"/>
      <c r="K30" s="322"/>
      <c r="L30" s="1376"/>
    </row>
    <row r="31" spans="2:12" s="322" customFormat="1" ht="13.7" customHeight="1" x14ac:dyDescent="0.2">
      <c r="B31" s="1398" t="s">
        <v>1741</v>
      </c>
      <c r="C31" s="1398"/>
      <c r="D31" s="1373"/>
      <c r="E31" s="1374"/>
      <c r="F31" s="1374"/>
      <c r="G31" s="1375"/>
      <c r="H31" s="1374"/>
      <c r="I31" s="1375"/>
      <c r="J31" s="1374"/>
      <c r="K31" s="1374"/>
      <c r="L31" s="1376"/>
    </row>
    <row r="32" spans="2:12" s="322" customFormat="1" ht="53.65" customHeight="1" x14ac:dyDescent="0.2">
      <c r="B32" s="2495" t="s">
        <v>2162</v>
      </c>
      <c r="C32" s="2495"/>
      <c r="D32" s="2496"/>
      <c r="E32" s="2496"/>
      <c r="F32" s="2496"/>
      <c r="G32" s="2496"/>
      <c r="H32" s="2496"/>
      <c r="I32" s="2496"/>
      <c r="J32" s="2496"/>
      <c r="K32" s="2496"/>
      <c r="L32" s="1376"/>
    </row>
    <row r="33" spans="1:13" s="322" customFormat="1" ht="9" customHeight="1" x14ac:dyDescent="0.2">
      <c r="B33" s="1397"/>
      <c r="C33" s="1397"/>
      <c r="G33" s="1378"/>
      <c r="I33" s="1378"/>
      <c r="L33" s="1376"/>
    </row>
    <row r="34" spans="1:13" s="322" customFormat="1" ht="4.1500000000000004" customHeight="1" x14ac:dyDescent="0.2">
      <c r="A34" s="1292"/>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5" t="s">
        <v>1837</v>
      </c>
      <c r="C36" s="1295"/>
      <c r="L36" s="1376"/>
    </row>
    <row r="37" spans="1:13" ht="9.6" customHeight="1" x14ac:dyDescent="0.2">
      <c r="B37" s="1295" t="s">
        <v>1838</v>
      </c>
      <c r="C37" s="1295"/>
    </row>
    <row r="38" spans="1:13" ht="11.85" customHeight="1" x14ac:dyDescent="0.2">
      <c r="B38" s="1402" t="s">
        <v>1743</v>
      </c>
      <c r="C38" s="1402"/>
    </row>
    <row r="39" spans="1:13" ht="9.6" customHeight="1" x14ac:dyDescent="0.2">
      <c r="B39" s="1295" t="s">
        <v>1286</v>
      </c>
      <c r="C39" s="1295"/>
      <c r="M39" s="1403"/>
    </row>
    <row r="40" spans="1:13" ht="12.6" customHeight="1" x14ac:dyDescent="0.2">
      <c r="B40" s="1402" t="s">
        <v>1744</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orientation="portrait" r:id="rId1"/>
  <headerFoot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7" zoomScale="110" zoomScaleNormal="110" workbookViewId="0">
      <selection activeCell="B3" sqref="B3:K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Mid-State Spec Educ Jnt Agr</v>
      </c>
      <c r="C1" s="2504"/>
      <c r="D1" s="2504"/>
      <c r="E1" s="2504"/>
      <c r="F1" s="2504"/>
      <c r="G1" s="2504"/>
      <c r="H1" s="2504"/>
      <c r="I1" s="2504"/>
      <c r="J1" s="2504"/>
      <c r="K1" s="2504"/>
      <c r="L1" s="1447"/>
    </row>
    <row r="2" spans="1:12" ht="12.75" customHeight="1" x14ac:dyDescent="0.2">
      <c r="B2" s="2505">
        <f>'Single Audit Cover'!E7</f>
        <v>3011801060</v>
      </c>
      <c r="C2" s="2505"/>
      <c r="D2" s="2505"/>
      <c r="E2" s="2505"/>
      <c r="F2" s="2505"/>
      <c r="G2" s="2505"/>
      <c r="H2" s="2505"/>
      <c r="I2" s="2505"/>
      <c r="J2" s="2505"/>
      <c r="K2" s="2505"/>
      <c r="L2" s="1448"/>
    </row>
    <row r="3" spans="1:12" ht="12.75" customHeight="1" x14ac:dyDescent="0.2">
      <c r="B3" s="2497" t="s">
        <v>1285</v>
      </c>
      <c r="C3" s="2497"/>
      <c r="D3" s="2497"/>
      <c r="E3" s="2497"/>
      <c r="F3" s="2497"/>
      <c r="G3" s="2497"/>
      <c r="H3" s="2497"/>
      <c r="I3" s="2497"/>
      <c r="J3" s="2497"/>
      <c r="K3" s="2497"/>
      <c r="L3" s="1372"/>
    </row>
    <row r="4" spans="1:12" ht="12.75" customHeight="1" x14ac:dyDescent="0.2">
      <c r="B4" s="2497" t="str">
        <f>'Single Audit Cover'!A4</f>
        <v>Year Ending June 30, 2019</v>
      </c>
      <c r="C4" s="2497"/>
      <c r="D4" s="2497"/>
      <c r="E4" s="2497"/>
      <c r="F4" s="2497"/>
      <c r="G4" s="2497"/>
      <c r="H4" s="2497"/>
      <c r="I4" s="2497"/>
      <c r="J4" s="2497"/>
      <c r="K4" s="2497"/>
      <c r="L4" s="1372"/>
    </row>
    <row r="5" spans="1:12" ht="5.25" customHeight="1" x14ac:dyDescent="0.2">
      <c r="B5" s="1255" t="s">
        <v>1169</v>
      </c>
      <c r="C5" s="1255"/>
      <c r="L5" s="322"/>
    </row>
    <row r="6" spans="1:12" ht="30.75" customHeight="1" x14ac:dyDescent="0.2">
      <c r="A6" s="322"/>
      <c r="B6" s="2506" t="s">
        <v>1308</v>
      </c>
      <c r="C6" s="2506"/>
      <c r="D6" s="2506"/>
      <c r="E6" s="2506"/>
      <c r="F6" s="2506"/>
      <c r="G6" s="2506"/>
      <c r="H6" s="2506"/>
      <c r="I6" s="2506"/>
      <c r="J6" s="2506"/>
      <c r="K6" s="2506"/>
      <c r="L6" s="322"/>
    </row>
    <row r="7" spans="1:12" ht="4.7" customHeight="1" x14ac:dyDescent="0.2">
      <c r="B7" s="1374"/>
      <c r="C7" s="1374"/>
      <c r="D7" s="1374"/>
      <c r="E7" s="1374"/>
      <c r="F7" s="1374"/>
      <c r="G7" s="1375"/>
      <c r="H7" s="1374"/>
      <c r="I7" s="1375"/>
      <c r="J7" s="1374"/>
      <c r="K7" s="1374"/>
      <c r="L7" s="322"/>
    </row>
    <row r="8" spans="1:12" ht="13.7" customHeight="1" x14ac:dyDescent="0.2">
      <c r="B8" s="1382" t="s">
        <v>1753</v>
      </c>
      <c r="C8" s="1449" t="s">
        <v>1985</v>
      </c>
      <c r="D8" s="1450"/>
      <c r="E8" s="322"/>
      <c r="F8" s="1379" t="s">
        <v>1295</v>
      </c>
      <c r="G8" s="1451"/>
      <c r="H8" s="1452" t="s">
        <v>1307</v>
      </c>
      <c r="I8" s="1451"/>
      <c r="J8" s="1453" t="s">
        <v>1306</v>
      </c>
      <c r="L8" s="322"/>
    </row>
    <row r="9" spans="1:12" ht="13.7" customHeight="1" x14ac:dyDescent="0.2">
      <c r="D9" s="322"/>
      <c r="E9" s="322"/>
      <c r="F9" s="322"/>
      <c r="G9" s="1378"/>
      <c r="H9" s="322"/>
      <c r="I9" s="1454" t="s">
        <v>1292</v>
      </c>
      <c r="J9" s="322"/>
      <c r="K9" s="1455"/>
      <c r="L9" s="322"/>
    </row>
    <row r="10" spans="1:12" ht="4.7"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7" customHeight="1" x14ac:dyDescent="0.2">
      <c r="B12" s="1379" t="s">
        <v>1305</v>
      </c>
      <c r="C12" s="1379"/>
      <c r="D12" s="304"/>
      <c r="E12" s="322"/>
      <c r="F12" s="2488" t="s">
        <v>2153</v>
      </c>
      <c r="G12" s="2488"/>
      <c r="H12" s="2488"/>
      <c r="I12" s="2488"/>
      <c r="J12" s="2488"/>
      <c r="K12" s="2488"/>
      <c r="L12" s="322"/>
    </row>
    <row r="13" spans="1:12" ht="9.6" customHeight="1" x14ac:dyDescent="0.2">
      <c r="B13" s="1252"/>
      <c r="C13" s="1252"/>
      <c r="D13" s="304"/>
      <c r="E13" s="322"/>
      <c r="F13" s="322"/>
      <c r="G13" s="1378"/>
      <c r="H13" s="322"/>
      <c r="I13" s="1378"/>
      <c r="J13" s="322"/>
      <c r="K13" s="1414"/>
      <c r="L13" s="322"/>
    </row>
    <row r="14" spans="1:12" ht="29.45" customHeight="1" x14ac:dyDescent="0.2">
      <c r="B14" s="1382" t="s">
        <v>1304</v>
      </c>
      <c r="C14" s="1382"/>
      <c r="D14" s="2501"/>
      <c r="E14" s="2501"/>
      <c r="F14" s="2501"/>
      <c r="H14" s="1457" t="s">
        <v>1303</v>
      </c>
      <c r="I14" s="2502"/>
      <c r="J14" s="2502"/>
      <c r="K14" s="2502"/>
      <c r="L14" s="322"/>
    </row>
    <row r="15" spans="1:12" ht="9.4" customHeight="1" x14ac:dyDescent="0.2">
      <c r="B15" s="1382"/>
      <c r="C15" s="1382"/>
      <c r="D15" s="1368"/>
      <c r="E15" s="1255"/>
      <c r="F15" s="1255"/>
      <c r="G15" s="1281"/>
      <c r="H15" s="1255"/>
      <c r="I15" s="1458"/>
      <c r="J15" s="1289"/>
      <c r="K15" s="1286"/>
      <c r="L15" s="322"/>
    </row>
    <row r="16" spans="1:12" ht="13.7" customHeight="1" x14ac:dyDescent="0.2">
      <c r="B16" s="1382" t="s">
        <v>1302</v>
      </c>
      <c r="C16" s="1382"/>
      <c r="D16" s="2502"/>
      <c r="E16" s="2502"/>
      <c r="F16" s="2502"/>
      <c r="G16" s="2502"/>
      <c r="H16" s="2502"/>
      <c r="I16" s="2502"/>
      <c r="J16" s="2502"/>
      <c r="K16" s="2502"/>
      <c r="L16" s="322"/>
    </row>
    <row r="17" spans="2:12" ht="13.7" customHeight="1" x14ac:dyDescent="0.2">
      <c r="B17" s="1382" t="s">
        <v>1301</v>
      </c>
      <c r="C17" s="1382"/>
      <c r="D17" s="2503"/>
      <c r="E17" s="2503"/>
      <c r="F17" s="2503"/>
      <c r="G17" s="2503"/>
      <c r="H17" s="2503"/>
      <c r="I17" s="2503"/>
      <c r="J17" s="2503"/>
      <c r="K17" s="2503"/>
      <c r="L17" s="322"/>
    </row>
    <row r="18" spans="2:12" ht="9.4" customHeight="1" x14ac:dyDescent="0.2">
      <c r="B18" s="1409"/>
      <c r="C18" s="1409"/>
      <c r="D18" s="1409"/>
      <c r="E18" s="1409"/>
      <c r="F18" s="1409"/>
      <c r="G18" s="1410"/>
      <c r="H18" s="1409"/>
      <c r="I18" s="1410"/>
      <c r="J18" s="1409"/>
      <c r="K18" s="1409"/>
      <c r="L18" s="322"/>
    </row>
    <row r="19" spans="2:12" ht="13.7" customHeight="1" x14ac:dyDescent="0.2">
      <c r="B19" s="1459" t="s">
        <v>1300</v>
      </c>
      <c r="C19" s="1459"/>
      <c r="D19" s="328"/>
      <c r="E19" s="328"/>
      <c r="F19" s="328"/>
      <c r="G19" s="1460"/>
      <c r="H19" s="328"/>
      <c r="I19" s="1460"/>
      <c r="J19" s="322"/>
      <c r="K19" s="322"/>
      <c r="L19" s="322"/>
    </row>
    <row r="20" spans="2:12" ht="35.25" customHeight="1" x14ac:dyDescent="0.2">
      <c r="B20" s="2496" t="s">
        <v>2161</v>
      </c>
      <c r="C20" s="2496"/>
      <c r="D20" s="2496"/>
      <c r="E20" s="2496"/>
      <c r="F20" s="2496"/>
      <c r="G20" s="2496"/>
      <c r="H20" s="2496"/>
      <c r="I20" s="2496"/>
      <c r="J20" s="2496"/>
      <c r="K20" s="2496"/>
      <c r="L20" s="1414"/>
    </row>
    <row r="21" spans="2:12" ht="4.7" customHeight="1" x14ac:dyDescent="0.2">
      <c r="B21" s="1461"/>
      <c r="C21" s="1461"/>
      <c r="D21" s="1462"/>
      <c r="E21" s="1462"/>
      <c r="F21" s="1462"/>
      <c r="G21" s="1410"/>
      <c r="H21" s="1462"/>
      <c r="I21" s="1410"/>
      <c r="J21" s="1462"/>
      <c r="K21" s="1462"/>
      <c r="L21" s="1414"/>
    </row>
    <row r="22" spans="2:12" ht="13.5" customHeight="1" x14ac:dyDescent="0.2">
      <c r="B22" s="1459" t="s">
        <v>1754</v>
      </c>
      <c r="C22" s="1459"/>
      <c r="D22" s="322"/>
      <c r="E22" s="322"/>
      <c r="F22" s="322"/>
      <c r="G22" s="1378"/>
      <c r="H22" s="322"/>
      <c r="I22" s="1378"/>
      <c r="J22" s="322"/>
      <c r="K22" s="322"/>
      <c r="L22" s="322"/>
    </row>
    <row r="23" spans="2:12" ht="37.5" customHeight="1" x14ac:dyDescent="0.2">
      <c r="B23" s="2496"/>
      <c r="C23" s="2496"/>
      <c r="D23" s="2496"/>
      <c r="E23" s="2496"/>
      <c r="F23" s="2496"/>
      <c r="G23" s="2496"/>
      <c r="H23" s="2496"/>
      <c r="I23" s="2496"/>
      <c r="J23" s="2496"/>
      <c r="K23" s="2496"/>
      <c r="L23" s="322"/>
    </row>
    <row r="24" spans="2:12" ht="4.7" customHeight="1" x14ac:dyDescent="0.2">
      <c r="B24" s="1461"/>
      <c r="C24" s="1461"/>
      <c r="D24" s="1409"/>
      <c r="E24" s="1409"/>
      <c r="F24" s="1409"/>
      <c r="G24" s="1410"/>
      <c r="H24" s="1409"/>
      <c r="I24" s="1410"/>
      <c r="J24" s="1409"/>
      <c r="K24" s="1409"/>
      <c r="L24" s="322"/>
    </row>
    <row r="25" spans="2:12" ht="13.7" customHeight="1" x14ac:dyDescent="0.2">
      <c r="B25" s="1459" t="s">
        <v>1755</v>
      </c>
      <c r="C25" s="1459"/>
      <c r="D25" s="322"/>
      <c r="E25" s="322"/>
      <c r="F25" s="322"/>
      <c r="G25" s="1378"/>
      <c r="H25" s="322"/>
      <c r="I25" s="1378"/>
      <c r="J25" s="322"/>
      <c r="K25" s="322"/>
      <c r="L25" s="322"/>
    </row>
    <row r="26" spans="2:12" ht="37.5" customHeight="1" x14ac:dyDescent="0.2">
      <c r="B26" s="2496"/>
      <c r="C26" s="2496"/>
      <c r="D26" s="2496"/>
      <c r="E26" s="2496"/>
      <c r="F26" s="2496"/>
      <c r="G26" s="2496"/>
      <c r="H26" s="2496"/>
      <c r="I26" s="2496"/>
      <c r="J26" s="2496"/>
      <c r="K26" s="2496"/>
      <c r="L26" s="322"/>
    </row>
    <row r="27" spans="2:12" ht="4.7" customHeight="1" x14ac:dyDescent="0.2">
      <c r="B27" s="1463"/>
      <c r="C27" s="1463"/>
      <c r="D27" s="1463"/>
      <c r="E27" s="1409"/>
      <c r="F27" s="1409"/>
      <c r="G27" s="1410"/>
      <c r="H27" s="1409"/>
      <c r="I27" s="1410"/>
      <c r="J27" s="1409"/>
      <c r="K27" s="1409"/>
      <c r="L27" s="322"/>
    </row>
    <row r="28" spans="2:12" ht="13.7" customHeight="1" x14ac:dyDescent="0.2">
      <c r="B28" s="1459" t="s">
        <v>1756</v>
      </c>
      <c r="C28" s="1459"/>
      <c r="D28" s="322"/>
      <c r="E28" s="322"/>
      <c r="F28" s="322"/>
      <c r="G28" s="1378"/>
      <c r="H28" s="322"/>
      <c r="I28" s="1378"/>
      <c r="J28" s="322"/>
      <c r="K28" s="322"/>
      <c r="L28" s="322"/>
    </row>
    <row r="29" spans="2:12" ht="37.5" customHeight="1" x14ac:dyDescent="0.2">
      <c r="B29" s="2496"/>
      <c r="C29" s="2496"/>
      <c r="D29" s="2496"/>
      <c r="E29" s="2496"/>
      <c r="F29" s="2496"/>
      <c r="G29" s="2496"/>
      <c r="H29" s="2496"/>
      <c r="I29" s="2496"/>
      <c r="J29" s="2496"/>
      <c r="K29" s="2496"/>
      <c r="L29" s="322"/>
    </row>
    <row r="30" spans="2:12" ht="4.7" customHeight="1" x14ac:dyDescent="0.2">
      <c r="B30" s="1461"/>
      <c r="C30" s="1461"/>
      <c r="D30" s="1409"/>
      <c r="E30" s="1409"/>
      <c r="F30" s="1409"/>
      <c r="G30" s="1410"/>
      <c r="H30" s="1409"/>
      <c r="I30" s="1410"/>
      <c r="J30" s="1409"/>
      <c r="K30" s="1409"/>
      <c r="L30" s="322"/>
    </row>
    <row r="31" spans="2:12" ht="13.7" customHeight="1" x14ac:dyDescent="0.2">
      <c r="B31" s="1459" t="s">
        <v>1299</v>
      </c>
      <c r="C31" s="1459"/>
      <c r="D31" s="322"/>
      <c r="E31" s="322"/>
      <c r="F31" s="322"/>
      <c r="G31" s="1378"/>
      <c r="H31" s="322"/>
      <c r="I31" s="1378"/>
      <c r="J31" s="322"/>
      <c r="K31" s="322"/>
      <c r="L31" s="322"/>
    </row>
    <row r="32" spans="2:12" ht="37.5" customHeight="1" x14ac:dyDescent="0.2">
      <c r="B32" s="2496"/>
      <c r="C32" s="2496"/>
      <c r="D32" s="2496"/>
      <c r="E32" s="2496"/>
      <c r="F32" s="2496"/>
      <c r="G32" s="2496"/>
      <c r="H32" s="2496"/>
      <c r="I32" s="2496"/>
      <c r="J32" s="2496"/>
      <c r="K32" s="2496"/>
      <c r="L32" s="322"/>
    </row>
    <row r="33" spans="2:12" ht="4.7" customHeight="1" x14ac:dyDescent="0.2">
      <c r="B33" s="1461"/>
      <c r="C33" s="1461"/>
      <c r="D33" s="1409"/>
      <c r="E33" s="1409"/>
      <c r="F33" s="1409"/>
      <c r="G33" s="1410"/>
      <c r="H33" s="1409"/>
      <c r="I33" s="1410"/>
      <c r="J33" s="1409"/>
      <c r="K33" s="1409"/>
      <c r="L33" s="322"/>
    </row>
    <row r="34" spans="2:12" ht="13.7" customHeight="1" x14ac:dyDescent="0.2">
      <c r="B34" s="1379" t="s">
        <v>1298</v>
      </c>
      <c r="C34" s="1379"/>
      <c r="D34" s="322"/>
      <c r="E34" s="322"/>
      <c r="F34" s="322"/>
      <c r="G34" s="1378"/>
      <c r="H34" s="322"/>
      <c r="I34" s="1378"/>
      <c r="J34" s="322"/>
      <c r="K34" s="322"/>
      <c r="L34" s="322"/>
    </row>
    <row r="35" spans="2:12" ht="37.5" customHeight="1" x14ac:dyDescent="0.2">
      <c r="B35" s="2496"/>
      <c r="C35" s="2496"/>
      <c r="D35" s="2496"/>
      <c r="E35" s="2496"/>
      <c r="F35" s="2496"/>
      <c r="G35" s="2496"/>
      <c r="H35" s="2496"/>
      <c r="I35" s="2496"/>
      <c r="J35" s="2496"/>
      <c r="K35" s="2496"/>
      <c r="L35" s="322"/>
    </row>
    <row r="36" spans="2:12" ht="4.7" customHeight="1" x14ac:dyDescent="0.2">
      <c r="B36" s="1461"/>
      <c r="C36" s="1461"/>
      <c r="D36" s="1409"/>
      <c r="E36" s="1409"/>
      <c r="F36" s="1409"/>
      <c r="G36" s="1410"/>
      <c r="H36" s="1409"/>
      <c r="I36" s="1410"/>
      <c r="J36" s="1409"/>
      <c r="K36" s="1409"/>
      <c r="L36" s="322"/>
    </row>
    <row r="37" spans="2:12" ht="13.7" customHeight="1" x14ac:dyDescent="0.2">
      <c r="B37" s="1379" t="s">
        <v>1297</v>
      </c>
      <c r="C37" s="1379"/>
      <c r="D37" s="322"/>
      <c r="E37" s="322"/>
      <c r="F37" s="322"/>
      <c r="G37" s="1378"/>
      <c r="H37" s="322"/>
      <c r="I37" s="1378"/>
      <c r="J37" s="322"/>
      <c r="K37" s="322"/>
      <c r="L37" s="322"/>
    </row>
    <row r="38" spans="2:12" ht="35.25" customHeight="1" x14ac:dyDescent="0.2">
      <c r="B38" s="2496"/>
      <c r="C38" s="2496"/>
      <c r="D38" s="2496"/>
      <c r="E38" s="2496"/>
      <c r="F38" s="2496"/>
      <c r="G38" s="2496"/>
      <c r="H38" s="2496"/>
      <c r="I38" s="2496"/>
      <c r="J38" s="2496"/>
      <c r="K38" s="2496"/>
      <c r="L38" s="322"/>
    </row>
    <row r="39" spans="2:12" ht="4.7" customHeight="1" x14ac:dyDescent="0.2">
      <c r="B39" s="1397"/>
      <c r="C39" s="1397"/>
      <c r="D39" s="322"/>
      <c r="E39" s="322"/>
      <c r="F39" s="322"/>
      <c r="G39" s="1378"/>
      <c r="H39" s="322"/>
      <c r="I39" s="1378"/>
      <c r="J39" s="322"/>
      <c r="K39" s="322"/>
      <c r="L39" s="322"/>
    </row>
    <row r="40" spans="2:12" s="322" customFormat="1" ht="13.7" customHeight="1" x14ac:dyDescent="0.2">
      <c r="B40" s="1398" t="s">
        <v>1757</v>
      </c>
      <c r="C40" s="1398"/>
      <c r="D40" s="1373"/>
      <c r="E40" s="1374"/>
      <c r="F40" s="1374"/>
      <c r="G40" s="1375"/>
      <c r="H40" s="1374"/>
      <c r="I40" s="1375"/>
      <c r="J40" s="1374"/>
      <c r="K40" s="1374"/>
    </row>
    <row r="41" spans="2:12" s="322" customFormat="1" ht="33.75" customHeight="1" x14ac:dyDescent="0.2">
      <c r="B41" s="2496"/>
      <c r="C41" s="2496"/>
      <c r="D41" s="2496"/>
      <c r="E41" s="2496"/>
      <c r="F41" s="2496"/>
      <c r="G41" s="2496"/>
      <c r="H41" s="2496"/>
      <c r="I41" s="2496"/>
      <c r="J41" s="2496"/>
      <c r="K41" s="2496"/>
    </row>
    <row r="42" spans="2:12" s="322" customFormat="1" ht="4.7"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7"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81" t="str">
        <f>'Single Audit Cover'!A7</f>
        <v>Mid-State Spec Educ Jnt Agr</v>
      </c>
      <c r="C1" s="2481"/>
      <c r="D1" s="2481"/>
      <c r="E1" s="1467"/>
    </row>
    <row r="2" spans="2:5" s="1277" customFormat="1" ht="12.75" customHeight="1" x14ac:dyDescent="0.2">
      <c r="B2" s="2483">
        <f>'Single Audit Cover'!E7</f>
        <v>3011801060</v>
      </c>
      <c r="C2" s="2483"/>
      <c r="D2" s="2483"/>
      <c r="E2" s="1468"/>
    </row>
    <row r="3" spans="2:5" ht="12.75" customHeight="1" x14ac:dyDescent="0.2">
      <c r="B3" s="2497" t="s">
        <v>1763</v>
      </c>
      <c r="C3" s="2497"/>
      <c r="D3" s="2497"/>
      <c r="E3" s="1269"/>
    </row>
    <row r="4" spans="2:5" s="1277" customFormat="1" ht="12.75" customHeight="1" x14ac:dyDescent="0.2">
      <c r="B4" s="2507" t="str">
        <f>'Single Audit Cover'!A4</f>
        <v>Year Ending June 30, 2019</v>
      </c>
      <c r="C4" s="2507"/>
      <c r="D4" s="2507"/>
      <c r="E4" s="1469"/>
    </row>
    <row r="5" spans="2:5" s="1277" customFormat="1" ht="12.75" customHeight="1" x14ac:dyDescent="0.2">
      <c r="B5" s="1944"/>
      <c r="C5" s="1944"/>
      <c r="D5" s="1944"/>
      <c r="E5" s="1469"/>
    </row>
    <row r="6" spans="2:5" s="1277" customFormat="1" ht="13.7" customHeight="1" x14ac:dyDescent="0.2">
      <c r="B6" s="1470" t="s">
        <v>1315</v>
      </c>
      <c r="C6" s="1470" t="s">
        <v>1314</v>
      </c>
      <c r="D6" s="1470" t="s">
        <v>1764</v>
      </c>
    </row>
    <row r="7" spans="2:5" s="1948" customFormat="1" ht="57" customHeight="1" x14ac:dyDescent="0.2">
      <c r="B7" s="1945" t="s">
        <v>2147</v>
      </c>
      <c r="C7" s="1946" t="s">
        <v>2148</v>
      </c>
      <c r="D7" s="1946" t="s">
        <v>2150</v>
      </c>
      <c r="E7" s="1947"/>
    </row>
    <row r="8" spans="2:5" ht="13.7" customHeight="1" x14ac:dyDescent="0.2">
      <c r="B8" s="1471"/>
      <c r="C8" s="324"/>
      <c r="D8" s="324"/>
      <c r="E8" s="324"/>
    </row>
    <row r="9" spans="2:5" ht="13.7" customHeight="1" x14ac:dyDescent="0.2">
      <c r="B9" s="1472"/>
      <c r="C9" s="323"/>
      <c r="D9" s="323"/>
      <c r="E9" s="323"/>
    </row>
    <row r="10" spans="2:5" ht="13.7" customHeight="1" x14ac:dyDescent="0.2">
      <c r="B10" s="1471"/>
      <c r="C10" s="323"/>
      <c r="D10" s="323"/>
      <c r="E10" s="323"/>
    </row>
    <row r="11" spans="2:5" ht="13.7" customHeight="1" x14ac:dyDescent="0.2">
      <c r="B11" s="1471"/>
      <c r="C11" s="323"/>
      <c r="D11" s="323"/>
      <c r="E11" s="323"/>
    </row>
    <row r="12" spans="2:5" ht="13.7" customHeight="1" x14ac:dyDescent="0.2">
      <c r="B12" s="1471"/>
      <c r="C12" s="323"/>
      <c r="D12" s="323"/>
      <c r="E12" s="323"/>
    </row>
    <row r="13" spans="2:5" ht="13.7" customHeight="1" x14ac:dyDescent="0.2">
      <c r="B13" s="1471"/>
      <c r="C13" s="323"/>
      <c r="D13" s="323"/>
      <c r="E13" s="323"/>
    </row>
    <row r="14" spans="2:5" ht="13.7" customHeight="1" x14ac:dyDescent="0.2">
      <c r="B14" s="1471"/>
      <c r="C14" s="323"/>
      <c r="D14" s="323"/>
      <c r="E14" s="323"/>
    </row>
    <row r="15" spans="2:5" ht="13.7" customHeight="1" x14ac:dyDescent="0.2">
      <c r="B15" s="1471"/>
      <c r="C15" s="323"/>
      <c r="D15" s="323"/>
      <c r="E15" s="323"/>
    </row>
    <row r="16" spans="2:5" ht="13.7" customHeight="1" x14ac:dyDescent="0.2">
      <c r="B16" s="1471"/>
      <c r="C16" s="323"/>
      <c r="D16" s="323"/>
      <c r="E16" s="323"/>
    </row>
    <row r="17" spans="2:5" ht="13.7" customHeight="1" x14ac:dyDescent="0.2">
      <c r="B17" s="1471"/>
      <c r="C17" s="323"/>
      <c r="D17" s="323"/>
      <c r="E17" s="323"/>
    </row>
    <row r="18" spans="2:5" ht="13.7" customHeight="1" x14ac:dyDescent="0.2">
      <c r="B18" s="1471"/>
      <c r="C18" s="323"/>
      <c r="D18" s="323"/>
      <c r="E18" s="323"/>
    </row>
    <row r="19" spans="2:5" ht="13.7" customHeight="1" x14ac:dyDescent="0.2">
      <c r="B19" s="1471"/>
      <c r="C19" s="323"/>
      <c r="D19" s="323"/>
      <c r="E19" s="323"/>
    </row>
    <row r="20" spans="2:5" ht="13.7" customHeight="1" x14ac:dyDescent="0.2">
      <c r="B20" s="1471"/>
      <c r="C20" s="323"/>
      <c r="D20" s="323"/>
      <c r="E20" s="323"/>
    </row>
    <row r="21" spans="2:5" ht="13.7" customHeight="1" x14ac:dyDescent="0.2">
      <c r="B21" s="1471"/>
      <c r="C21" s="323"/>
      <c r="D21" s="323"/>
      <c r="E21" s="323"/>
    </row>
    <row r="22" spans="2:5" ht="13.7" customHeight="1" x14ac:dyDescent="0.2">
      <c r="B22" s="1471"/>
      <c r="C22" s="323"/>
      <c r="D22" s="323"/>
      <c r="E22" s="323"/>
    </row>
    <row r="23" spans="2:5" ht="13.7" customHeight="1" x14ac:dyDescent="0.2">
      <c r="B23" s="1471"/>
      <c r="C23" s="323"/>
      <c r="D23" s="323"/>
      <c r="E23" s="323"/>
    </row>
    <row r="24" spans="2:5" ht="13.7" customHeight="1" x14ac:dyDescent="0.2">
      <c r="B24" s="1471"/>
      <c r="C24" s="323"/>
      <c r="D24" s="323"/>
      <c r="E24" s="323"/>
    </row>
    <row r="25" spans="2:5" ht="13.7" customHeight="1" x14ac:dyDescent="0.2">
      <c r="B25" s="1471"/>
      <c r="C25" s="323"/>
      <c r="D25" s="323"/>
      <c r="E25" s="323"/>
    </row>
    <row r="26" spans="2:5" ht="13.7" customHeight="1" x14ac:dyDescent="0.2">
      <c r="B26" s="1471"/>
      <c r="C26" s="323"/>
      <c r="D26" s="323"/>
      <c r="E26" s="323"/>
    </row>
    <row r="27" spans="2:5" ht="13.7" customHeight="1" x14ac:dyDescent="0.2">
      <c r="B27" s="1471"/>
      <c r="C27" s="323"/>
      <c r="D27" s="323"/>
      <c r="E27" s="323"/>
    </row>
    <row r="28" spans="2:5" ht="13.7" customHeight="1" x14ac:dyDescent="0.2">
      <c r="B28" s="1471"/>
      <c r="C28" s="323"/>
      <c r="D28" s="323"/>
      <c r="E28" s="323"/>
    </row>
    <row r="29" spans="2:5" ht="13.7" customHeight="1" x14ac:dyDescent="0.2">
      <c r="B29" s="1471"/>
      <c r="C29" s="323"/>
      <c r="D29" s="323"/>
      <c r="E29" s="323"/>
    </row>
    <row r="30" spans="2:5" ht="13.7" customHeight="1" x14ac:dyDescent="0.2">
      <c r="B30" s="1471"/>
      <c r="C30" s="323"/>
      <c r="D30" s="323"/>
      <c r="E30" s="323"/>
    </row>
    <row r="31" spans="2:5" ht="13.7" customHeight="1" x14ac:dyDescent="0.2">
      <c r="B31" s="1471"/>
      <c r="C31" s="323"/>
      <c r="D31" s="323"/>
      <c r="E31" s="323"/>
    </row>
    <row r="32" spans="2:5" ht="13.7" customHeight="1" x14ac:dyDescent="0.2">
      <c r="B32" s="1473"/>
      <c r="C32" s="323"/>
      <c r="D32" s="323"/>
      <c r="E32" s="323"/>
    </row>
    <row r="33" spans="2:5" ht="13.7" customHeight="1" x14ac:dyDescent="0.2">
      <c r="B33" s="1474"/>
      <c r="C33" s="323"/>
      <c r="D33" s="323"/>
      <c r="E33" s="323"/>
    </row>
    <row r="34" spans="2:5" ht="13.7" customHeight="1" x14ac:dyDescent="0.2">
      <c r="B34" s="1475"/>
      <c r="C34" s="323"/>
      <c r="D34" s="323"/>
      <c r="E34" s="323"/>
    </row>
    <row r="35" spans="2:5" ht="13.7" customHeight="1" x14ac:dyDescent="0.2">
      <c r="B35" s="1474"/>
      <c r="C35" s="323"/>
      <c r="D35" s="323"/>
      <c r="E35" s="323"/>
    </row>
    <row r="36" spans="2:5" ht="13.7" customHeight="1" x14ac:dyDescent="0.2">
      <c r="B36" s="1475"/>
      <c r="C36" s="323"/>
      <c r="D36" s="323"/>
      <c r="E36" s="323"/>
    </row>
    <row r="37" spans="2:5" ht="13.7" customHeight="1" x14ac:dyDescent="0.2">
      <c r="B37" s="1475"/>
      <c r="C37" s="323"/>
      <c r="D37" s="323"/>
      <c r="E37" s="323"/>
    </row>
    <row r="38" spans="2:5" ht="13.7" customHeight="1" x14ac:dyDescent="0.2">
      <c r="B38" s="1474"/>
      <c r="C38" s="323"/>
      <c r="D38" s="323"/>
      <c r="E38" s="323"/>
    </row>
    <row r="39" spans="2:5" ht="13.7" customHeight="1" x14ac:dyDescent="0.2">
      <c r="B39" s="1475"/>
      <c r="C39" s="323"/>
      <c r="D39" s="323"/>
      <c r="E39" s="323"/>
    </row>
    <row r="40" spans="2:5" ht="13.7" customHeight="1" x14ac:dyDescent="0.2">
      <c r="B40" s="1474"/>
      <c r="C40" s="323"/>
      <c r="D40" s="323"/>
      <c r="E40" s="323"/>
    </row>
    <row r="41" spans="2:5" ht="13.7" customHeight="1" x14ac:dyDescent="0.2">
      <c r="B41" s="1476"/>
      <c r="C41" s="323"/>
      <c r="D41" s="323"/>
      <c r="E41" s="323"/>
    </row>
    <row r="42" spans="2:5" ht="13.7" customHeight="1" x14ac:dyDescent="0.2">
      <c r="B42" s="1477"/>
      <c r="C42" s="323"/>
      <c r="D42" s="323"/>
      <c r="E42" s="323"/>
    </row>
    <row r="43" spans="2:5" ht="12.75" customHeight="1" x14ac:dyDescent="0.2">
      <c r="B43" s="1478"/>
      <c r="C43" s="1479"/>
      <c r="D43" s="1479"/>
      <c r="E43" s="323"/>
    </row>
    <row r="44" spans="2:5" ht="12.4" customHeight="1" x14ac:dyDescent="0.2">
      <c r="B44" s="1252" t="s">
        <v>1313</v>
      </c>
      <c r="C44" s="322"/>
    </row>
    <row r="45" spans="2:5" ht="12.4" customHeight="1" x14ac:dyDescent="0.2">
      <c r="B45" s="1480" t="s">
        <v>1765</v>
      </c>
    </row>
    <row r="46" spans="2:5" ht="12.4" customHeight="1" x14ac:dyDescent="0.2">
      <c r="B46" s="1480" t="s">
        <v>1766</v>
      </c>
    </row>
    <row r="47" spans="2:5" ht="12.4" customHeight="1" x14ac:dyDescent="0.2">
      <c r="B47" s="1481" t="s">
        <v>1312</v>
      </c>
    </row>
    <row r="48" spans="2:5" ht="12.4" customHeight="1" x14ac:dyDescent="0.2">
      <c r="B48" s="1481" t="s">
        <v>1311</v>
      </c>
    </row>
    <row r="49" spans="2:5" ht="12.4" customHeight="1" x14ac:dyDescent="0.2">
      <c r="B49" s="1481" t="s">
        <v>1310</v>
      </c>
    </row>
    <row r="50" spans="2:5" ht="12.4" customHeight="1" x14ac:dyDescent="0.2">
      <c r="B50" s="1481"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4d435f69-8686-490b-bd6d-b153bf22ab50"/>
    <ds:schemaRef ds:uri="http://schemas.microsoft.com/sharepoint/v3"/>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21dc803-237d-4c68-8692-8d731fd2911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Sheet1</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Sheet1!Print_Area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2020-01-20T18:59:46Z</cp:lastPrinted>
  <dcterms:created xsi:type="dcterms:W3CDTF">2003-10-29T19:06:34Z</dcterms:created>
  <dcterms:modified xsi:type="dcterms:W3CDTF">2020-01-22T21:18:53Z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