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0BD3CECE-0AA8-45F9-93AD-9B4747DB7F2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0" i="29" l="1"/>
  <c r="F13" i="29"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2"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D17" i="7"/>
  <c r="B4104" i="106" s="1"/>
  <c r="D4104" i="106" s="1"/>
  <c r="D9" i="7" l="1"/>
  <c r="B1767" i="106" s="1"/>
  <c r="D1767" i="106" s="1"/>
  <c r="F34" i="34"/>
  <c r="J352" i="29"/>
  <c r="J367" i="29" s="1"/>
  <c r="B7245" i="106" s="1"/>
  <c r="H342" i="29"/>
  <c r="I24" i="12"/>
  <c r="G15" i="145"/>
  <c r="D54" i="36"/>
  <c r="B7235" i="106"/>
  <c r="D7235" i="106" s="1"/>
  <c r="J77" i="4"/>
  <c r="B6262" i="106" s="1"/>
  <c r="D6262" i="106" s="1"/>
  <c r="K76" i="4"/>
  <c r="B3586" i="106" s="1"/>
  <c r="D3586" i="106" s="1"/>
  <c r="B3647" i="106"/>
  <c r="D3647" i="106" s="1"/>
  <c r="B1996" i="106"/>
  <c r="D1996" i="106" s="1"/>
  <c r="I26" i="12"/>
  <c r="B7741" i="106" s="1"/>
  <c r="D7741" i="106" s="1"/>
  <c r="J41" i="3"/>
  <c r="K184" i="29"/>
  <c r="F13" i="4" s="1"/>
  <c r="B2596" i="106" s="1"/>
  <c r="D2596" i="106" s="1"/>
  <c r="G210" i="29"/>
  <c r="K41" i="3"/>
  <c r="L15" i="11"/>
  <c r="B3459" i="106" s="1"/>
  <c r="D3459" i="106" s="1"/>
  <c r="B1990" i="106"/>
  <c r="D1990" i="106" s="1"/>
  <c r="C129" i="29"/>
  <c r="L367" i="29"/>
  <c r="D7245" i="106"/>
  <c r="C352" i="29"/>
  <c r="B1308" i="106"/>
  <c r="D1308" i="106" s="1"/>
  <c r="E174" i="29"/>
  <c r="B1309" i="106" s="1"/>
  <c r="D1309" i="106" s="1"/>
  <c r="K28" i="118"/>
  <c r="O27" i="118" s="1"/>
  <c r="O29" i="118" s="1"/>
  <c r="L342" i="29"/>
  <c r="B3254" i="106"/>
  <c r="D3254" i="106"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D7255" i="106" l="1"/>
  <c r="D7254" i="106"/>
  <c r="D7252" i="106"/>
  <c r="D44" i="36"/>
  <c r="C114" i="29"/>
  <c r="B757" i="106" s="1"/>
  <c r="D757" i="106" s="1"/>
  <c r="F174" i="34"/>
  <c r="L16" i="11"/>
  <c r="B2061" i="106" s="1"/>
  <c r="D2061" i="106" s="1"/>
  <c r="D7253" i="106"/>
  <c r="K342" i="29"/>
  <c r="F13" i="34" s="1"/>
  <c r="B3568" i="106"/>
  <c r="D3568" i="106" s="1"/>
  <c r="D52" i="36"/>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<sst xmlns="http://schemas.openxmlformats.org/spreadsheetml/2006/main" count="5045" uniqueCount="2082">
  <si>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</si>
  <si>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</si>
  <si>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</si>
  <si>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</si>
  <si>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</si>
  <si>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</si>
  <si>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</si>
  <si>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</si>
  <si>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</si>
  <si>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</si>
  <si>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</si>
  <si>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</si>
  <si>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</si>
  <si>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</si>
  <si>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</si>
  <si>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</si>
  <si>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</si>
  <si>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</si>
  <si>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</si>
  <si>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</si>
  <si>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</si>
  <si>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</si>
  <si>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</si>
  <si>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</si>
  <si>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</si>
  <si>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</si>
  <si>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</si>
  <si>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</si>
  <si>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</si>
  <si>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</si>
  <si>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</si>
  <si>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</si>
  <si>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</si>
  <si>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</si>
  <si>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</si>
  <si>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</si>
  <si>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</si>
  <si>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</si>
  <si>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</si>
  <si>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</si>
  <si>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</si>
  <si>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</si>
  <si>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</si>
  <si>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</si>
  <si>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</si>
  <si>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</si>
  <si>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</si>
  <si>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</si>
  <si>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</si>
  <si>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</si>
  <si>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</si>
  <si>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</si>
  <si>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</si>
  <si>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</si>
  <si>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</si>
  <si>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</si>
  <si>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</si>
  <si>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</si>
  <si>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</si>
  <si>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</si>
  <si>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</si>
  <si>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</si>
  <si>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</si>
  <si>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</si>
  <si>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</si>
  <si>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</si>
  <si>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</si>
  <si>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</si>
  <si>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</si>
  <si>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</si>
  <si>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</si>
  <si>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</si>
  <si>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</si>
  <si>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</si>
  <si>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</si>
  <si>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</si>
  <si>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</si>
  <si>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</si>
  <si>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</si>
  <si>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</si>
  <si>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</si>
  <si>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</si>
  <si>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</si>
  <si>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</si>
  <si>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</si>
  <si>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</si>
  <si>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</si>
  <si>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</si>
  <si>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</si>
  <si>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</si>
  <si>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</si>
  <si>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</si>
  <si>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</si>
  <si>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</si>
  <si>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</si>
  <si>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</si>
  <si>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</si>
  <si>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</si>
  <si>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</si>
  <si>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</si>
  <si>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</si>
  <si>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</si>
  <si>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</si>
  <si>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</si>
  <si>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</si>
  <si>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</si>
  <si>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</si>
  <si>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</si>
  <si>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</si>
  <si>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</si>
  <si>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</si>
  <si>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</si>
  <si>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</si>
  <si>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</si>
  <si>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</si>
  <si>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</si>
  <si>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</si>
  <si>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</si>
  <si>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</si>
  <si>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</si>
  <si>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</si>
  <si>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</si>
  <si>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</si>
  <si>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</si>
  <si>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</si>
  <si>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</si>
  <si>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</si>
  <si>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</si>
  <si>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</si>
  <si>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</si>
  <si>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</si>
  <si>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</si>
  <si>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</si>
  <si>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</si>
  <si>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</si>
  <si>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</si>
  <si>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</si>
  <si>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</si>
  <si>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</si>
  <si>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</si>
  <si>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</si>
  <si>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</si>
  <si>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</si>
  <si>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</si>
  <si>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</si>
  <si>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</si>
  <si>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</si>
  <si>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</si>
  <si>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</si>
  <si>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</si>
  <si>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</si>
  <si>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</si>
  <si>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</si>
  <si>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</si>
  <si>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</si>
  <si>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</si>
  <si>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</si>
  <si>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</si>
  <si>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</si>
  <si>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</si>
  <si>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</si>
  <si>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</si>
  <si>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</si>
  <si>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</si>
  <si>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</si>
  <si>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</si>
  <si>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</si>
  <si>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</si>
  <si>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</si>
  <si>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</si>
  <si>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</si>
  <si>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</si>
  <si>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</si>
  <si>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</si>
  <si>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</si>
  <si>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</si>
  <si>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</si>
  <si>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</si>
  <si>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</si>
  <si>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</si>
  <si>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</si>
  <si>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</si>
  <si>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</si>
  <si>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</si>
  <si>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</si>
  <si>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</si>
  <si>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</si>
  <si>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</si>
  <si>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</si>
  <si>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</si>
  <si>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</si>
  <si>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</si>
  <si>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</si>
  <si>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</si>
  <si>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</si>
  <si>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</si>
  <si>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</si>
  <si>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</si>
  <si>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</si>
  <si>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</si>
  <si>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</si>
  <si>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</si>
  <si>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</si>
  <si>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</si>
  <si>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</si>
  <si>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</si>
  <si>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</si>
  <si>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</si>
  <si>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</si>
  <si>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</si>
  <si>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</si>
  <si>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</si>
  <si>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</si>
  <si>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</si>
  <si>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</si>
  <si>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</si>
  <si>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</si>
  <si>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</si>
  <si>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</si>
  <si>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</si>
  <si>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</si>
  <si>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</si>
  <si>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</si>
  <si>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</si>
  <si>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</si>
  <si>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</si>
  <si>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</si>
  <si>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</si>
  <si>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</si>
  <si>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</si>
  <si>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</si>
  <si>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</si>
  <si>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</si>
  <si>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</si>
  <si>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</si>
  <si>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</si>
  <si>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</si>
  <si>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</si>
  <si>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</si>
  <si>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</si>
  <si>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</si>
  <si>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</si>
  <si>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</si>
  <si>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</si>
  <si>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</si>
  <si>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</si>
  <si>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</si>
  <si>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</si>
  <si>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</si>
  <si>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</si>
  <si>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</si>
  <si>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</si>
  <si>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</si>
  <si>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</si>
  <si>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</si>
  <si>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</si>
  <si>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</si>
  <si>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</si>
  <si>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</si>
  <si>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</si>
  <si>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</si>
  <si>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</si>
  <si>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</si>
  <si>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</si>
  <si>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</si>
  <si>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</si>
  <si>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</si>
  <si>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</si>
  <si>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</si>
  <si>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</si>
  <si>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</si>
  <si>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</si>
  <si>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</si>
  <si>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</si>
  <si>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</si>
  <si>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</si>
  <si>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</si>
  <si>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</si>
  <si>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</si>
  <si>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</si>
  <si>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</si>
  <si>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</si>
  <si>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</si>
  <si>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</si>
  <si>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</si>
  <si>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</si>
  <si>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</si>
  <si>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</si>
  <si>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</si>
  <si>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</si>
  <si>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</si>
  <si>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</si>
  <si>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</si>
  <si>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</si>
  <si>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</si>
  <si>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</si>
  <si>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</si>
  <si>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</si>
  <si>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</si>
  <si>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</si>
  <si>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</si>
  <si>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</si>
  <si>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</si>
  <si>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</si>
  <si>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</si>
  <si>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</si>
  <si>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</si>
  <si>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</si>
  <si>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</si>
  <si>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</si>
  <si>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</si>
  <si>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</si>
  <si>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</si>
  <si>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</si>
  <si>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</si>
  <si>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</si>
  <si>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</si>
  <si>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</si>
  <si>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</si>
  <si>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</si>
  <si>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</si>
  <si>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</si>
  <si>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</si>
  <si>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</si>
  <si>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</si>
  <si>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</si>
  <si>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</si>
  <si>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</si>
  <si>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</si>
  <si>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</si>
  <si>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</si>
  <si>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</si>
  <si>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</si>
  <si>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</si>
  <si>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</si>
  <si>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</si>
  <si>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</si>
  <si>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</si>
  <si>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</si>
  <si>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</si>
  <si>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</si>
  <si>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</si>
  <si>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</si>
  <si>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</si>
  <si>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</si>
  <si>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</si>
  <si>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</si>
  <si>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</si>
  <si>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</si>
  <si>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</si>
  <si>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</si>
  <si>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</si>
  <si>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</si>
  <si>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</si>
  <si>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</si>
  <si>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</si>
  <si>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</si>
  <si>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</si>
  <si>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</si>
  <si>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</si>
  <si>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</si>
  <si>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</si>
  <si>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</si>
  <si>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</si>
  <si>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</si>
  <si>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</si>
  <si>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</si>
  <si>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</si>
  <si>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</si>
  <si>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</si>
  <si>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</si>
  <si>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</si>
  <si>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</si>
  <si>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</si>
  <si>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</si>
  <si>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</si>
  <si>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</si>
  <si>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</si>
  <si>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</si>
  <si>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</si>
  <si>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</si>
  <si>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</si>
  <si>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</si>
  <si>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</si>
  <si>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</si>
  <si>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</si>
  <si>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</si>
  <si>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</si>
  <si>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</si>
  <si>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</si>
  <si>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</si>
  <si>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</si>
  <si>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</si>
  <si>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</si>
  <si>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</si>
  <si>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</si>
  <si>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</si>
  <si>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</si>
  <si>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</si>
  <si>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</si>
  <si>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</si>
  <si>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</si>
  <si>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</si>
  <si>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</si>
  <si>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</si>
  <si>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</si>
  <si>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</si>
  <si>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</si>
  <si>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</si>
  <si>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</si>
  <si>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</si>
  <si>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</si>
  <si>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</si>
  <si>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</si>
  <si>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</si>
  <si>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</si>
  <si>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</si>
  <si>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</si>
  <si>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</si>
  <si>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</si>
  <si>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</si>
  <si>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</si>
  <si>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</si>
  <si>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</si>
  <si>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</si>
  <si>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</si>
  <si>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</si>
  <si>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</si>
  <si>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</si>
  <si>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</si>
  <si>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</si>
  <si>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</si>
  <si>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</si>
  <si>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</si>
  <si>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</si>
  <si>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</si>
  <si>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</si>
  <si>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</si>
  <si>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</si>
  <si>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</si>
  <si>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</si>
  <si>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</si>
  <si>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</si>
  <si>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</si>
  <si>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</si>
  <si>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</si>
  <si>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</si>
  <si>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</si>
  <si>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</si>
  <si>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</si>
  <si>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</si>
  <si>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</si>
  <si>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</si>
  <si>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</si>
  <si>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</si>
  <si>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</si>
  <si>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</si>
  <si>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</si>
  <si>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</si>
  <si>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</si>
  <si>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</si>
  <si>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</si>
  <si>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</si>
  <si>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</si>
  <si>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</si>
  <si>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</si>
  <si>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</si>
  <si>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</si>
  <si>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</si>
  <si>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</si>
  <si>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</si>
  <si>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</si>
  <si>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</si>
  <si>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</si>
  <si>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</si>
  <si>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</si>
  <si>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</si>
  <si>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</si>
  <si>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</si>
  <si>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</si>
  <si>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</si>
  <si>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</si>
  <si>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</si>
  <si>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</si>
  <si>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</si>
  <si>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</si>
  <si>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</si>
  <si>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</si>
  <si>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</si>
  <si>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</si>
  <si>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</si>
  <si>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</si>
  <si>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</si>
  <si>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</si>
  <si>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</si>
  <si>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</si>
  <si>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</si>
  <si>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</si>
  <si>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</si>
  <si>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</si>
  <si>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</si>
  <si>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</si>
  <si>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</si>
  <si>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</si>
  <si>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</si>
  <si>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</si>
  <si>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</si>
  <si>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</si>
  <si>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</si>
  <si>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</si>
  <si>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</si>
  <si>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</si>
  <si>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</si>
  <si>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</si>
  <si>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</si>
  <si>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</si>
  <si>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</si>
  <si>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</si>
  <si>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</si>
  <si>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</si>
  <si>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</si>
  <si>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</si>
  <si>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</si>
  <si>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</si>
  <si>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</si>
  <si>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</si>
  <si>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</si>
  <si>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</si>
  <si>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</si>
  <si>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</si>
  <si>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</si>
  <si>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</si>
  <si>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</si>
  <si>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</si>
  <si>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</si>
  <si>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</si>
  <si>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</si>
  <si>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</si>
  <si>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</si>
  <si>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</si>
  <si>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</si>
  <si>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</si>
  <si>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</si>
  <si>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</si>
  <si>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</si>
  <si>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</si>
  <si>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</si>
  <si>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</si>
  <si>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</si>
  <si>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</si>
  <si>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</si>
  <si>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</si>
  <si>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</si>
  <si>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</si>
  <si>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</si>
  <si>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</si>
  <si>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</si>
  <si>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</si>
  <si>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</si>
  <si>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</si>
  <si>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</si>
  <si>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</si>
  <si>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</si>
  <si>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</si>
  <si>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</si>
  <si>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</si>
  <si>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</si>
  <si>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</si>
  <si>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</si>
  <si>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</si>
  <si>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</si>
  <si>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</si>
  <si>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</si>
  <si>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</si>
  <si>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</si>
  <si>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</si>
  <si>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</si>
  <si>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</si>
  <si>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</si>
  <si>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</si>
  <si>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</si>
  <si>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</si>
  <si>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</si>
  <si>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</si>
  <si>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</si>
  <si>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</si>
  <si>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</si>
  <si>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</si>
  <si>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</si>
  <si>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</si>
  <si>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</si>
  <si>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</si>
  <si>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</si>
  <si>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</si>
  <si>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</si>
  <si>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</si>
  <si>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</si>
  <si>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</si>
  <si>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</si>
  <si>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</si>
  <si>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</si>
  <si>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</si>
  <si>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</si>
  <si>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</si>
  <si>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</si>
  <si>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</si>
  <si>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</si>
  <si>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</si>
  <si>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</si>
  <si>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</si>
  <si>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</si>
  <si>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</si>
  <si>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</si>
  <si>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</si>
  <si>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</si>
  <si>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</si>
  <si>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</si>
  <si>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</si>
  <si>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</si>
  <si>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</si>
  <si>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</si>
  <si>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</si>
  <si>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</si>
  <si>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</si>
  <si>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</si>
  <si>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</si>
  <si>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</si>
  <si>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</si>
  <si>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</si>
  <si>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</si>
  <si>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</si>
  <si>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</si>
  <si>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</si>
  <si>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</si>
  <si>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</si>
  <si>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</si>
  <si>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</si>
  <si>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</si>
  <si>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</si>
  <si>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</si>
  <si>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</si>
  <si>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</si>
  <si>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</si>
  <si>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</si>
  <si>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</si>
  <si>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</si>
  <si>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</si>
  <si>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</si>
  <si>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</si>
  <si>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</si>
  <si>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</si>
  <si>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</si>
  <si>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</si>
  <si>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</si>
  <si>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</si>
  <si>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</si>
  <si>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</si>
  <si>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</si>
  <si>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</si>
  <si>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</si>
  <si>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</si>
  <si>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</si>
  <si>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</si>
  <si>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</si>
  <si>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</si>
  <si>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</si>
  <si>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</si>
  <si>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</si>
  <si>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</si>
  <si>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</si>
  <si>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</si>
  <si>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</si>
  <si>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</si>
  <si>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</si>
  <si>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</si>
  <si>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</si>
  <si>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</si>
  <si>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</si>
  <si>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</si>
  <si>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</si>
  <si>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</si>
  <si>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</si>
  <si>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</si>
  <si>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</si>
  <si>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</si>
  <si>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</si>
  <si>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</si>
  <si>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</si>
  <si>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</si>
  <si>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</si>
  <si>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</si>
  <si>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</si>
  <si>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</si>
  <si>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</si>
  <si>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</si>
  <si>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</si>
  <si>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</si>
  <si>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</si>
  <si>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</si>
  <si>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</si>
  <si>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</si>
  <si>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</si>
  <si>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</si>
  <si>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</si>
  <si>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</si>
  <si>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</si>
  <si>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</si>
  <si>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</si>
  <si>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</si>
  <si>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</si>
  <si>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</si>
  <si>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</si>
  <si>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</si>
  <si>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</si>
  <si>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</si>
  <si>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</si>
  <si>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</si>
  <si>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</si>
  <si>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</si>
  <si>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</si>
  <si>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</si>
  <si>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</si>
  <si>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</si>
  <si>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</si>
  <si>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</si>
  <si>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</si>
  <si>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</si>
  <si>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</si>
  <si>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</si>
  <si>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</si>
  <si>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</si>
  <si>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</si>
  <si>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</si>
  <si>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</si>
  <si>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</si>
  <si>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</si>
  <si>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</si>
  <si>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</si>
  <si>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</si>
  <si>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</si>
  <si>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</si>
  <si>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</si>
  <si>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</si>
  <si>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</si>
  <si>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</si>
  <si>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</si>
  <si>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</si>
  <si>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</si>
  <si>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</si>
  <si>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</si>
  <si>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</si>
  <si>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</si>
  <si>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</si>
  <si>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</si>
  <si>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</si>
  <si>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</si>
  <si>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</si>
  <si>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</si>
  <si>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</si>
  <si>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</si>
  <si>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</si>
  <si>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</si>
  <si>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</si>
  <si>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</si>
  <si>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</si>
  <si>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</si>
  <si>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</si>
  <si>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</si>
  <si>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</si>
  <si>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</si>
  <si>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</si>
  <si>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</si>
  <si>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</si>
  <si>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</si>
  <si>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</si>
  <si>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</si>
  <si>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</si>
  <si>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</si>
  <si>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</si>
  <si>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</si>
  <si>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</si>
  <si>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</si>
  <si>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</si>
  <si>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</si>
  <si>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</si>
  <si>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</si>
  <si>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</si>
  <si>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</si>
  <si>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</si>
  <si>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</si>
  <si>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</si>
  <si>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</si>
  <si>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</si>
  <si>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</si>
  <si>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</si>
  <si>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</si>
  <si>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</si>
  <si>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</si>
  <si>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</si>
  <si>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</si>
  <si>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</si>
  <si>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</si>
  <si>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</si>
  <si>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</si>
  <si>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</si>
  <si>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</si>
  <si>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</si>
  <si>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</si>
  <si>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</si>
  <si>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</si>
  <si>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</si>
  <si>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</si>
  <si>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</si>
  <si>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</si>
  <si>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</si>
  <si>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</si>
  <si>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</si>
  <si>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</si>
  <si>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</si>
  <si>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</si>
  <si>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</si>
  <si>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</si>
  <si>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</si>
  <si>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</si>
  <si>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</si>
  <si>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</si>
  <si>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</si>
  <si>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</si>
  <si>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</si>
  <si>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</si>
  <si>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</si>
  <si>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</si>
  <si>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</si>
  <si>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</si>
  <si>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</si>
  <si>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</si>
  <si>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</si>
  <si>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</si>
  <si>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</si>
  <si>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</si>
  <si>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</si>
  <si>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</si>
  <si>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</si>
  <si>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</si>
  <si>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</si>
  <si>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</si>
  <si>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</si>
  <si>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</si>
  <si>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</si>
  <si>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</si>
  <si>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</si>
  <si>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</si>
  <si>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</si>
  <si>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</si>
  <si>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</si>
  <si>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</si>
  <si>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</si>
  <si>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</si>
  <si>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</si>
  <si>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</si>
  <si>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</si>
  <si>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</si>
  <si>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</si>
  <si>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</si>
  <si>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</si>
  <si>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</si>
  <si>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</si>
  <si>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</si>
  <si>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</si>
  <si>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</si>
  <si>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</si>
  <si>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</si>
  <si>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</si>
  <si>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</si>
  <si>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</si>
  <si>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</si>
  <si>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</si>
  <si>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</si>
  <si>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</si>
  <si>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</si>
  <si>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</si>
  <si>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</si>
  <si>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</si>
  <si>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</si>
  <si>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</si>
  <si>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</si>
  <si>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</si>
  <si>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</si>
  <si>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</si>
  <si>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</si>
  <si>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</si>
  <si>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</si>
  <si>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</si>
  <si>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</si>
  <si>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</si>
  <si>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</si>
  <si>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</si>
  <si>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</si>
  <si>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</si>
  <si>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</si>
  <si>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</si>
  <si>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</si>
  <si>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</si>
  <si>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</si>
  <si>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</si>
  <si>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</si>
  <si>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</si>
  <si>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</si>
  <si>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</si>
  <si>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</si>
  <si>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</si>
  <si>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</si>
  <si>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</si>
  <si>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</si>
  <si>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</si>
  <si>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</si>
  <si>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</si>
  <si>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</si>
  <si>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</si>
  <si>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</si>
  <si>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</si>
  <si>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</si>
  <si>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</si>
  <si>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</si>
  <si>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</si>
  <si>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</si>
  <si>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</si>
  <si>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</si>
  <si>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</si>
  <si>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</si>
  <si>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</si>
  <si>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</si>
  <si>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</si>
  <si>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</si>
  <si>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</si>
  <si>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</si>
  <si>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</si>
  <si>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</si>
  <si>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</si>
  <si>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</si>
  <si>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</si>
  <si>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</si>
  <si>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</si>
  <si>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</si>
  <si>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</si>
  <si>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</si>
  <si>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</si>
  <si>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</si>
  <si>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</si>
  <si>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</si>
  <si>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</si>
  <si>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</si>
  <si>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</si>
  <si>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</si>
  <si>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</si>
  <si>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</si>
  <si>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</si>
  <si>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</si>
  <si>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</si>
  <si>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</si>
  <si>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</si>
  <si>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</si>
  <si>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</si>
  <si>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</si>
  <si>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</si>
  <si>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</si>
  <si>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</si>
  <si>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</si>
  <si>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</si>
  <si>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</si>
  <si>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</si>
  <si>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</si>
  <si>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</si>
  <si>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</si>
  <si>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</si>
  <si>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</si>
  <si>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</si>
  <si>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</si>
  <si>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</si>
  <si>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</si>
  <si>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</si>
  <si>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</si>
  <si>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</si>
  <si>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</si>
  <si>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</si>
  <si>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</si>
  <si>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</si>
  <si>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</si>
  <si>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</si>
  <si>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</si>
  <si>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</si>
  <si>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</si>
  <si>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</si>
  <si>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</si>
  <si>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</si>
  <si>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</si>
  <si>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</si>
  <si>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</si>
  <si>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</si>
  <si>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</si>
  <si>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</si>
  <si>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</si>
  <si>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</si>
  <si>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</si>
  <si>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</si>
  <si>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</si>
  <si>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</si>
  <si>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</si>
  <si>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</si>
  <si>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</si>
  <si>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</si>
  <si>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</si>
  <si>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</si>
  <si>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</si>
  <si>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</si>
  <si>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</si>
  <si>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</si>
  <si>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</si>
  <si>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</si>
  <si>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</si>
  <si>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</si>
  <si>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</si>
  <si>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</si>
  <si>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</si>
  <si>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</si>
  <si>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</si>
  <si>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</si>
  <si>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</si>
  <si>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</si>
  <si>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</si>
  <si>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</si>
  <si>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</si>
  <si>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</si>
  <si>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</si>
  <si>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</si>
  <si>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</si>
  <si>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</si>
  <si>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</si>
  <si>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</si>
  <si>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</si>
  <si>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</si>
  <si>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</si>
  <si>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</si>
  <si>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</si>
  <si>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</si>
  <si>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</si>
  <si>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</si>
  <si>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</si>
  <si>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</si>
  <si>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</si>
  <si>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</si>
  <si>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</si>
  <si>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</si>
  <si>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</si>
  <si>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</si>
  <si>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</si>
  <si>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</si>
  <si>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</si>
  <si>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</si>
  <si>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</si>
  <si>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</si>
  <si>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</si>
  <si>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</si>
  <si>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</si>
  <si>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</si>
  <si>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</si>
  <si>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</si>
  <si>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</si>
  <si>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</si>
  <si>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</si>
  <si>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</si>
  <si>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</si>
  <si>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</si>
  <si>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</si>
  <si>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</si>
  <si>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</si>
  <si>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</si>
  <si>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</si>
  <si>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</si>
  <si>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</si>
  <si>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</si>
  <si>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</si>
  <si>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</si>
  <si>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</si>
  <si>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</si>
  <si>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</si>
  <si>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</si>
  <si>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</si>
  <si>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</si>
  <si>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</si>
  <si>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</si>
  <si>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</si>
  <si>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</si>
  <si>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</si>
  <si>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</si>
  <si>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</si>
  <si>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</si>
  <si>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</si>
  <si>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</si>
  <si>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</si>
  <si>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</si>
  <si>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</si>
  <si>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</si>
  <si>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</si>
  <si>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</si>
  <si>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</si>
  <si>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</si>
  <si>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</si>
  <si>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</si>
  <si>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</si>
  <si>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</si>
  <si>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</si>
  <si>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</si>
  <si>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</si>
  <si>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</si>
  <si>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</si>
  <si>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</si>
  <si>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</si>
  <si>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</si>
  <si>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</si>
  <si>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</si>
  <si>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</si>
  <si>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</si>
  <si>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</si>
  <si>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</si>
  <si>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</si>
  <si>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</si>
  <si>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</si>
  <si>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</si>
  <si>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</si>
  <si>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</si>
  <si>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</si>
  <si>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</si>
  <si>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</si>
  <si>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</si>
  <si>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</si>
  <si>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</si>
  <si>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</si>
  <si>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</si>
  <si>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</si>
  <si>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</si>
  <si>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</si>
  <si>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</si>
  <si>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</si>
  <si>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</si>
  <si>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</si>
  <si>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</si>
  <si>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</si>
  <si>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</si>
  <si>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</si>
  <si>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</si>
  <si>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</si>
  <si>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</si>
  <si>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</si>
  <si>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</si>
  <si>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</si>
  <si>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</si>
  <si>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</si>
  <si>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</si>
  <si>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</si>
  <si>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</si>
  <si>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</si>
  <si>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</si>
  <si>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</si>
  <si>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</si>
  <si>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</si>
  <si>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</si>
  <si>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</si>
  <si>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</si>
  <si>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</si>
  <si>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</si>
  <si>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</si>
  <si>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</si>
  <si>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</si>
  <si>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</si>
  <si>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</si>
  <si>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</si>
  <si>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</si>
  <si>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</si>
  <si>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</si>
  <si>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</si>
  <si>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</si>
  <si>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</si>
  <si>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</si>
  <si>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</si>
  <si>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</si>
  <si>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</si>
  <si>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</si>
  <si>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</si>
  <si>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</si>
  <si>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</si>
  <si>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</si>
  <si>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</si>
  <si>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</si>
  <si>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</si>
  <si>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</si>
  <si>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</si>
  <si>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</si>
  <si>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</si>
  <si>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</si>
  <si>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</si>
  <si>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</si>
  <si>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</si>
  <si>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</si>
  <si>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</si>
  <si>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</si>
  <si>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</si>
  <si>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</si>
  <si>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</si>
  <si>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</si>
  <si>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</si>
  <si>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</si>
  <si>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</si>
  <si>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</si>
  <si>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</si>
  <si>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</si>
  <si>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</si>
  <si>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</si>
  <si>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</si>
  <si>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</si>
  <si>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</si>
  <si>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</si>
  <si>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</si>
  <si>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</si>
  <si>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</si>
  <si>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</si>
  <si>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</si>
  <si>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</si>
  <si>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</si>
  <si>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</si>
  <si>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</si>
  <si>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</si>
  <si>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</si>
  <si>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</si>
  <si>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</si>
  <si>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</si>
  <si>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</si>
  <si>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</si>
  <si>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</si>
  <si>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</si>
  <si>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</si>
  <si>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</si>
  <si>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</si>
  <si>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</si>
  <si>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</si>
  <si>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</si>
  <si>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</si>
  <si>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</si>
  <si>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</si>
  <si>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</si>
  <si>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</si>
  <si>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</si>
  <si>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</si>
  <si>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</si>
  <si>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</si>
  <si>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</si>
  <si>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</si>
  <si>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</si>
  <si>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</si>
  <si>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</si>
  <si>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</si>
  <si>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</si>
  <si>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</si>
  <si>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</si>
  <si>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</si>
  <si>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</si>
  <si>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</si>
  <si>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</si>
  <si>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</si>
  <si>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</si>
  <si>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</si>
  <si>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</si>
  <si>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</si>
  <si>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</si>
  <si>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</si>
  <si>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</si>
  <si>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</si>
  <si>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</si>
  <si>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</si>
  <si>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</si>
  <si>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</si>
  <si>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</si>
  <si>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</si>
  <si>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</si>
  <si>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</si>
  <si>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</si>
  <si>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</si>
  <si>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</si>
  <si>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</si>
  <si>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</si>
  <si>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</si>
  <si>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</si>
  <si>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</si>
  <si>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</si>
  <si>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</si>
  <si>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</si>
  <si>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</si>
  <si>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</si>
  <si>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</si>
  <si>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</si>
  <si>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</si>
  <si>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</si>
  <si>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</si>
  <si>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</si>
  <si>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</si>
  <si>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</si>
  <si>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</si>
  <si>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</si>
  <si>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</si>
  <si>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</si>
  <si>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</si>
  <si>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</si>
  <si>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</si>
  <si>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</si>
  <si>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</si>
  <si>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</si>
  <si>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</si>
  <si>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</si>
  <si>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</si>
  <si>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</si>
  <si>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</si>
  <si>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</si>
  <si>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</si>
  <si>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</si>
  <si>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</si>
  <si>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</si>
  <si>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</si>
  <si>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</si>
  <si>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</si>
  <si>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</si>
  <si>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</si>
  <si>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</si>
  <si>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</si>
  <si>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</si>
  <si>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</si>
  <si>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</si>
  <si>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</si>
  <si>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</si>
  <si>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</si>
  <si>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</si>
  <si>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</si>
  <si>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</si>
  <si>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</si>
  <si>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</si>
  <si>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</si>
  <si>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</si>
  <si>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</si>
  <si>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</si>
  <si>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</si>
  <si>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</si>
  <si>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</si>
  <si>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</si>
  <si>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</si>
  <si>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</si>
  <si>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</si>
  <si>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</si>
  <si>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</si>
  <si>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</si>
  <si>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</si>
  <si>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</si>
  <si>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</si>
  <si>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</si>
  <si>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</si>
  <si>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</si>
  <si>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</si>
  <si>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</si>
  <si>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</si>
  <si>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</si>
  <si>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</si>
  <si>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</si>
  <si>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</si>
  <si>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</si>
  <si>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</si>
  <si>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</si>
  <si>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</si>
  <si>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</si>
  <si>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</si>
  <si>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</si>
  <si>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</si>
  <si>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</si>
  <si>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</si>
  <si>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</si>
  <si>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</si>
  <si>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</si>
  <si>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</si>
  <si>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</si>
  <si>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</si>
  <si>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</si>
  <si>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</si>
  <si>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</si>
  <si>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</si>
  <si>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</si>
  <si>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</si>
  <si>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</si>
  <si>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</si>
  <si>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</si>
  <si>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</si>
  <si>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</si>
  <si>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</si>
  <si>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</si>
  <si>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</si>
  <si>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</si>
  <si>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</si>
  <si>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</si>
  <si>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</si>
  <si>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</si>
  <si>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</si>
  <si>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</si>
  <si>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</si>
  <si>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</si>
  <si>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</si>
  <si>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</si>
  <si>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</si>
  <si>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</si>
  <si>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</si>
  <si>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</si>
  <si>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</si>
  <si>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</si>
  <si>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</si>
  <si>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</si>
  <si>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</si>
  <si>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</si>
  <si>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</si>
  <si>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</si>
  <si>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</si>
  <si>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</si>
  <si>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</si>
  <si>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</si>
  <si>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</si>
  <si>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</si>
  <si>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</si>
  <si>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</si>
  <si>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</si>
  <si>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</si>
  <si>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</si>
  <si>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</si>
  <si>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</si>
  <si>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</si>
  <si>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</si>
  <si>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</si>
  <si>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</si>
  <si>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</si>
  <si>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</si>
  <si>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</si>
  <si>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</si>
  <si>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</si>
  <si>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</si>
  <si>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</si>
  <si>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</si>
  <si>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</si>
  <si>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</si>
  <si>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</si>
  <si>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</si>
  <si>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</si>
  <si>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</si>
  <si>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</si>
  <si>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</si>
  <si>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</si>
  <si>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</si>
  <si>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</si>
  <si>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</si>
  <si>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</si>
  <si>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</si>
  <si>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</si>
  <si>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</si>
  <si>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</si>
  <si>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</si>
  <si>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</si>
  <si>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</si>
  <si>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</si>
  <si>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</si>
  <si>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</si>
  <si>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</si>
  <si>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</si>
  <si>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</si>
  <si>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</si>
  <si>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</si>
  <si>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</si>
  <si>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</si>
  <si>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</si>
  <si>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</si>
  <si>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</si>
  <si>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</si>
  <si>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</si>
  <si>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</si>
  <si>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</si>
  <si>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</si>
  <si>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</si>
  <si>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</si>
  <si>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</si>
  <si>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</si>
  <si>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</si>
  <si>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</si>
  <si>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</si>
  <si>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</si>
  <si>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</si>
  <si>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</si>
  <si>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</si>
  <si>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</si>
  <si>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</si>
  <si>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</si>
  <si>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</si>
  <si>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</si>
  <si>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</si>
  <si>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</si>
  <si>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</si>
  <si>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</si>
  <si>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</si>
  <si>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</si>
  <si>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</si>
  <si>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</si>
  <si>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</si>
  <si>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</si>
  <si>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</si>
  <si>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</si>
  <si>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</si>
  <si>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</si>
  <si>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</si>
  <si>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</si>
  <si>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</si>
  <si>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</si>
  <si>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</si>
  <si>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</si>
  <si>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</si>
  <si>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</si>
  <si>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</si>
  <si>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</si>
  <si>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</si>
  <si>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</si>
  <si>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</si>
  <si>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</si>
  <si>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</si>
  <si>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</si>
  <si>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</si>
  <si>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</si>
  <si>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</si>
  <si>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</si>
  <si>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</si>
  <si>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</si>
  <si>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</si>
  <si>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</si>
  <si>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</si>
  <si>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</si>
  <si>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</si>
  <si>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</si>
  <si>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</si>
  <si>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</si>
  <si>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</si>
  <si>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</si>
  <si>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</si>
  <si>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</si>
  <si>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</si>
  <si>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</si>
  <si>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</si>
  <si>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</si>
  <si>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</si>
  <si>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</si>
  <si>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</si>
  <si>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</si>
  <si>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</si>
  <si>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</si>
  <si>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</si>
  <si>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</si>
  <si>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</si>
  <si>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</si>
  <si>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</si>
  <si>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</si>
  <si>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</si>
  <si>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</si>
  <si>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</si>
  <si>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</si>
  <si>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</si>
  <si>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</si>
  <si>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</si>
  <si>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</si>
  <si>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</si>
  <si>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</si>
  <si>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</si>
  <si>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</si>
  <si>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</si>
  <si>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</si>
  <si>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</si>
  <si>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</si>
  <si>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</si>
  <si>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</si>
  <si>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</si>
  <si>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</si>
  <si>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</si>
  <si>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</si>
  <si>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</si>
  <si>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</si>
  <si>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</si>
  <si>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</si>
  <si>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</si>
  <si>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</si>
  <si>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</si>
  <si>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</si>
  <si>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</si>
  <si>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</si>
  <si>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</si>
  <si>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</si>
  <si>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</si>
  <si>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</si>
  <si>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</si>
  <si>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</si>
  <si>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</si>
  <si>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</si>
  <si>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</si>
  <si>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</si>
  <si>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</si>
  <si>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</si>
  <si>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</si>
  <si>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</si>
  <si>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</si>
  <si>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</si>
  <si>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</si>
  <si>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</si>
  <si>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</si>
  <si>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</si>
  <si>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</si>
  <si>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</si>
  <si>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</si>
  <si>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</si>
  <si>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</si>
  <si>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</si>
  <si>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</si>
  <si>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</si>
  <si>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</si>
  <si>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</si>
  <si>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</si>
  <si>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</si>
  <si>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</si>
  <si>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</si>
  <si>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</si>
  <si>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</si>
  <si>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</si>
  <si>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</si>
  <si>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</si>
  <si>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</si>
  <si>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</si>
  <si>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</si>
  <si>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</si>
  <si>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</si>
  <si>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</si>
  <si>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</si>
  <si>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</si>
  <si>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</si>
  <si>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</si>
  <si>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</si>
  <si>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</si>
  <si>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</si>
  <si>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</si>
  <si>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</si>
  <si>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</si>
  <si>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</si>
  <si>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</si>
  <si>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</si>
  <si>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</si>
  <si>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</si>
  <si>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</si>
  <si>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</si>
  <si>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</si>
  <si>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</si>
  <si>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</si>
  <si>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</si>
  <si>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</si>
  <si>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</si>
  <si>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</si>
  <si>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</si>
  <si>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</si>
  <si>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</si>
  <si>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</si>
  <si>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</si>
  <si>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</si>
  <si>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</si>
  <si>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</si>
  <si>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</si>
  <si>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</si>
  <si>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</si>
  <si>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</si>
  <si>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</si>
  <si>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</si>
  <si>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</si>
  <si>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</si>
  <si>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</si>
  <si>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</si>
  <si>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</si>
  <si>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</si>
  <si>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</si>
  <si>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</si>
  <si>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</si>
  <si>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</si>
  <si>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</si>
  <si>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</si>
  <si>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</si>
  <si>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</si>
  <si>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</si>
  <si>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</si>
  <si>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</si>
  <si>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</si>
  <si>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</si>
  <si>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</si>
  <si>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</si>
  <si>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</si>
  <si>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</si>
  <si>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</si>
  <si>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</si>
  <si>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</si>
  <si>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</si>
  <si>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</si>
  <si>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</si>
  <si>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</si>
  <si>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</si>
  <si>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</si>
  <si>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</si>
  <si>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</si>
  <si>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</si>
  <si>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</si>
  <si>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</si>
  <si>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</si>
  <si>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</si>
  <si>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</si>
  <si>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</si>
  <si>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</si>
  <si>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</si>
  <si>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</si>
  <si>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</si>
  <si>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</si>
  <si>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</si>
  <si>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</si>
  <si>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</si>
  <si>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</si>
  <si>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</si>
  <si>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</si>
  <si>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</si>
  <si>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</si>
  <si>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</si>
  <si>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</si>
  <si>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</si>
  <si>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</si>
  <si>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</si>
  <si>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</si>
  <si>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</si>
  <si>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</si>
  <si>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</si>
  <si>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</si>
  <si>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</si>
  <si>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</si>
  <si>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</si>
  <si>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</si>
  <si>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</si>
  <si>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</si>
  <si>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</si>
  <si>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</si>
  <si>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</si>
  <si>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</si>
  <si>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</si>
  <si>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</si>
  <si>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</si>
  <si>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</si>
  <si>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</si>
  <si>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</si>
  <si>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</si>
  <si>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</si>
  <si>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</si>
  <si>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</si>
  <si>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</si>
  <si>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</si>
  <si>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</si>
  <si>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</si>
  <si>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</si>
  <si>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</si>
  <si>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</si>
  <si>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</si>
  <si>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</si>
  <si>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</si>
  <si>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</si>
  <si>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</si>
  <si>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</si>
  <si>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</si>
  <si>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</si>
  <si>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</si>
  <si>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</si>
  <si>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</si>
  <si>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</si>
  <si>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</si>
  <si>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</si>
  <si>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</si>
  <si>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</si>
  <si>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</si>
  <si>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</si>
  <si>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</si>
  <si>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</si>
  <si>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</si>
  <si>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</si>
  <si>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</si>
  <si>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</si>
  <si>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</si>
  <si>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</si>
  <si>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</si>
  <si>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</si>
  <si>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</si>
  <si>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</si>
  <si>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</si>
  <si>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</si>
  <si>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</si>
  <si>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</si>
  <si>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</si>
  <si>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</si>
  <si>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</si>
  <si>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</si>
  <si>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</si>
  <si>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</si>
  <si>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</si>
  <si>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</si>
  <si>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</si>
  <si>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</si>
  <si>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</si>
  <si>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</si>
  <si>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</si>
  <si>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</si>
  <si>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</si>
  <si>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</si>
  <si>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</si>
  <si>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</si>
  <si>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</si>
  <si>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</si>
  <si>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</si>
  <si>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</si>
  <si>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</si>
  <si>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</si>
  <si>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</si>
  <si>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</si>
  <si>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</si>
  <si>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</si>
  <si>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</si>
  <si>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</si>
  <si>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</si>
  <si>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</si>
  <si>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</si>
  <si>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</si>
  <si>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</si>
  <si>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</si>
  <si>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</si>
  <si>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</si>
  <si>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</si>
  <si>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</si>
  <si>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</si>
  <si>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</si>
  <si>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</si>
  <si>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</si>
  <si>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</si>
  <si>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</si>
  <si>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</si>
  <si>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</si>
  <si>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</si>
  <si>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</si>
  <si>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</si>
  <si>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</si>
  <si>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</si>
  <si>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</si>
  <si>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</si>
  <si>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</si>
  <si>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</si>
  <si>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</si>
  <si>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</si>
  <si>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</si>
  <si>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</si>
  <si>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</si>
  <si>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</si>
  <si>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</si>
  <si>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</si>
  <si>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</si>
  <si>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</si>
  <si>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</si>
  <si>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</si>
  <si>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</si>
  <si>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</si>
  <si>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</si>
  <si>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</si>
  <si>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</si>
  <si>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</si>
  <si>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</si>
  <si>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</si>
  <si>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</si>
  <si>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</si>
  <si>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</si>
  <si>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</si>
  <si>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</si>
  <si>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</si>
  <si>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</si>
  <si>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</si>
  <si>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</si>
  <si>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</si>
  <si>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</si>
  <si>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</si>
  <si>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</si>
  <si>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</si>
  <si>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</si>
  <si>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</si>
  <si>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</si>
  <si>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</si>
  <si>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</si>
  <si>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</si>
  <si>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</si>
  <si>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</si>
  <si>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</si>
  <si>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</si>
  <si>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</si>
  <si>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</si>
  <si>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</si>
  <si>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</si>
  <si>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</si>
  <si>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</si>
  <si>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</si>
  <si>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</si>
  <si>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</si>
  <si>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</si>
  <si>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</si>
  <si>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</si>
  <si>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</si>
  <si>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</si>
  <si>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</si>
  <si>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</si>
  <si>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</si>
  <si>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</si>
  <si>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</si>
  <si>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</si>
  <si>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</si>
  <si>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</si>
  <si>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</si>
  <si>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</si>
  <si>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</si>
  <si>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</si>
  <si>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</si>
  <si>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</si>
  <si>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</si>
  <si>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</si>
  <si>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</si>
  <si>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</si>
  <si>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</si>
  <si>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</si>
  <si>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</si>
  <si>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</si>
  <si>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</si>
  <si>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</si>
  <si>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</si>
  <si>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</si>
  <si>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</si>
  <si>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</si>
  <si>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</si>
  <si>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</si>
  <si>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</si>
  <si>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</si>
  <si>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</si>
  <si>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</si>
  <si>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</si>
  <si>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</si>
  <si>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</si>
  <si>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</si>
  <si>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</si>
  <si>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</si>
  <si>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</si>
  <si>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</si>
  <si>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</si>
  <si>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</si>
  <si>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</si>
  <si>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</si>
  <si>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</si>
  <si>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</si>
  <si>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</si>
  <si>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</si>
  <si>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</si>
  <si>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</si>
  <si>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</si>
  <si>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</si>
  <si>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</si>
  <si>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</si>
  <si>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</si>
  <si>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</si>
  <si>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</si>
  <si>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</si>
  <si>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</si>
  <si>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</si>
  <si>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</si>
  <si>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</si>
  <si>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</si>
  <si>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</si>
  <si>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</si>
  <si>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</si>
  <si>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</si>
  <si>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</si>
  <si>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</si>
  <si>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</si>
  <si>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</si>
  <si>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</si>
  <si>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</si>
  <si>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</si>
  <si>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</si>
  <si>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</si>
  <si>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</si>
  <si>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</si>
  <si>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</si>
  <si>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</si>
  <si>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</si>
  <si>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</si>
  <si>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</si>
  <si>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</si>
  <si>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</si>
  <si>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</si>
  <si>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</si>
  <si>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</si>
  <si>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</si>
  <si>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</si>
  <si>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</si>
  <si>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</si>
  <si>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</si>
  <si>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</si>
  <si>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</si>
  <si>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</si>
  <si>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</si>
  <si>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</si>
  <si>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</si>
  <si>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</si>
  <si>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</si>
  <si>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</si>
  <si>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</si>
  <si>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</si>
  <si>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</si>
  <si>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</si>
  <si>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</si>
  <si>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</si>
  <si>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</si>
  <si>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</si>
  <si>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</si>
  <si>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</si>
  <si>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</si>
  <si>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</si>
  <si>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</si>
  <si>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</si>
  <si>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</si>
  <si>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</si>
  <si>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</si>
  <si>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</si>
  <si>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</si>
  <si>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</si>
  <si>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</si>
  <si>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</si>
  <si>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</si>
  <si>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</si>
  <si>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</si>
  <si>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</si>
  <si>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</si>
  <si>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</si>
  <si>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</si>
  <si>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</si>
  <si>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</si>
  <si>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</si>
  <si>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</si>
  <si>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</si>
  <si>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</si>
  <si>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</si>
  <si>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</si>
  <si>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</si>
  <si>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Pehlman and Dold, P.C.</t>
  </si>
  <si>
    <t>100 North Amos Avenue</t>
  </si>
  <si>
    <t>Springfield</t>
  </si>
  <si>
    <t>IL</t>
  </si>
  <si>
    <t>(217) 787-0563</t>
  </si>
  <si>
    <t>(217) 787-9266</t>
  </si>
  <si>
    <t>060-004845</t>
  </si>
  <si>
    <t>x</t>
  </si>
  <si>
    <t>Brown/Cass/Morgan/Scott/Schuyler</t>
  </si>
  <si>
    <t>651 S. Morgan Street, Room 119</t>
  </si>
  <si>
    <t>Virginia, IL</t>
  </si>
  <si>
    <t>Jamie Nichols</t>
  </si>
  <si>
    <t>Reggie Clinton, Director</t>
  </si>
  <si>
    <t>tres@casscomm.com</t>
  </si>
  <si>
    <t>jnichols@p-dcpas.com</t>
  </si>
  <si>
    <t>Part C. 23 Other than Cash, the Auditor's Report has been qualified due to the Joint Agreement not maintaining a formal record system to track fixed assets accounted for in the General Fixed Asset Account Group.</t>
  </si>
  <si>
    <t>Education Fund Acct 4799- CTE- Perkins Secondary ISBE Source of funds 4745</t>
  </si>
  <si>
    <t>Two Rivers Career Educ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</si>
</sst>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458931</xdr:colOff>
          <xdr:row>4</xdr:row>
          <xdr:rowOff>8659</xdr:rowOff>
        </xdr:from>
        <xdr:to>
          <xdr:col>1</xdr:col>
          <xdr:colOff>1373331</xdr:colOff>
          <xdr:row>8</xdr:row>
          <xdr:rowOff>132484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9E3FF650-4223-45CE-AB14-761FE6602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0" t="s">
        <v>405</v>
      </c>
      <c r="J1" s="1981"/>
      <c r="K1" s="1981"/>
      <c r="L1" s="1981"/>
      <c r="M1" s="1981"/>
      <c r="N1" s="1981"/>
      <c r="O1" s="1981"/>
      <c r="P1" s="1981"/>
      <c r="Q1" s="1981"/>
      <c r="R1" s="1981"/>
      <c r="S1" s="1981"/>
    </row>
    <row r="2" spans="1:28" ht="12" customHeight="1" x14ac:dyDescent="0.2">
      <c r="A2" s="47" t="s">
        <v>1993</v>
      </c>
      <c r="D2" s="48"/>
      <c r="I2" s="1982" t="s">
        <v>979</v>
      </c>
      <c r="J2" s="1981"/>
      <c r="K2" s="1981"/>
      <c r="L2" s="1981"/>
      <c r="M2" s="1981"/>
      <c r="N2" s="1981"/>
      <c r="O2" s="1981"/>
      <c r="P2" s="1981"/>
      <c r="Q2" s="1981"/>
      <c r="R2" s="1981"/>
      <c r="S2" s="1981"/>
    </row>
    <row r="3" spans="1:28" ht="12" customHeight="1" x14ac:dyDescent="0.2">
      <c r="A3" s="155" t="s">
        <v>1945</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c r="C5" s="26" t="s">
        <v>910</v>
      </c>
      <c r="D5" s="84"/>
      <c r="E5" s="84"/>
      <c r="H5" s="38"/>
      <c r="I5" s="1990" t="s">
        <v>680</v>
      </c>
      <c r="J5" s="1989"/>
      <c r="K5" s="1989"/>
      <c r="L5" s="1989"/>
      <c r="M5" s="1989"/>
      <c r="N5" s="1989"/>
      <c r="O5" s="1989"/>
      <c r="P5" s="1989"/>
      <c r="Q5" s="1989"/>
      <c r="R5" s="1989"/>
      <c r="S5" s="1989"/>
    </row>
    <row r="6" spans="1:28" ht="14.1" customHeight="1" x14ac:dyDescent="0.2">
      <c r="B6" s="104" t="s">
        <v>2071</v>
      </c>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2071</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1009700045</v>
      </c>
      <c r="B13" s="2016"/>
      <c r="C13" s="2016"/>
      <c r="D13" s="2016"/>
      <c r="E13" s="2016"/>
      <c r="F13" s="2016"/>
      <c r="G13" s="2016"/>
      <c r="H13" s="2017"/>
      <c r="I13" s="31"/>
      <c r="J13" s="30"/>
      <c r="K13" s="28"/>
      <c r="L13" s="30"/>
      <c r="M13" s="30"/>
      <c r="N13" s="30"/>
      <c r="O13" s="30"/>
      <c r="P13" s="30"/>
      <c r="Q13" s="30"/>
      <c r="R13" s="30"/>
      <c r="S13" s="30"/>
      <c r="T13" s="2020" t="s">
        <v>2064</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2072</v>
      </c>
      <c r="B15" s="2018"/>
      <c r="C15" s="2018"/>
      <c r="D15" s="2018"/>
      <c r="E15" s="2018"/>
      <c r="F15" s="2018"/>
      <c r="G15" s="2018"/>
      <c r="H15" s="2019"/>
      <c r="T15" s="2024" t="s">
        <v>2075</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2081</v>
      </c>
      <c r="B17" s="1975"/>
      <c r="C17" s="1975"/>
      <c r="D17" s="1975"/>
      <c r="E17" s="1975"/>
      <c r="F17" s="1975"/>
      <c r="G17" s="1975"/>
      <c r="H17" s="2000"/>
      <c r="T17" s="2031" t="s">
        <v>2065</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2073</v>
      </c>
      <c r="B19" s="1960"/>
      <c r="C19" s="1960"/>
      <c r="D19" s="1960"/>
      <c r="E19" s="1960"/>
      <c r="F19" s="1960"/>
      <c r="G19" s="1960"/>
      <c r="H19" s="1940"/>
      <c r="I19" s="30"/>
      <c r="J19" s="99"/>
      <c r="K19" s="40"/>
      <c r="L19" s="38"/>
      <c r="M19" s="112" t="s">
        <v>315</v>
      </c>
      <c r="P19" s="27"/>
      <c r="Q19" s="27"/>
      <c r="R19" s="27"/>
      <c r="S19" s="31"/>
      <c r="T19" s="2014" t="s">
        <v>2066</v>
      </c>
      <c r="U19" s="1939"/>
      <c r="V19" s="1939"/>
      <c r="W19" s="1940"/>
      <c r="X19" s="2029" t="s">
        <v>2067</v>
      </c>
      <c r="Y19" s="2030"/>
      <c r="Z19" s="2027">
        <v>62702</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2074</v>
      </c>
      <c r="B21" s="1939"/>
      <c r="C21" s="1939"/>
      <c r="D21" s="1939"/>
      <c r="E21" s="1939"/>
      <c r="F21" s="1939"/>
      <c r="G21" s="1939"/>
      <c r="H21" s="1940"/>
      <c r="I21" s="1994" t="s">
        <v>678</v>
      </c>
      <c r="J21" s="1989"/>
      <c r="K21" s="1989"/>
      <c r="L21" s="1989"/>
      <c r="M21" s="1989"/>
      <c r="N21" s="1989"/>
      <c r="O21" s="1989"/>
      <c r="P21" s="1989"/>
      <c r="Q21" s="1989"/>
      <c r="R21" s="1989"/>
      <c r="S21" s="1995"/>
      <c r="T21" s="2038" t="s">
        <v>2068</v>
      </c>
      <c r="U21" s="2039"/>
      <c r="V21" s="2039"/>
      <c r="W21" s="2039"/>
      <c r="X21" s="2044" t="s">
        <v>2069</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c r="B23" s="1992"/>
      <c r="C23" s="1992"/>
      <c r="D23" s="1992"/>
      <c r="E23" s="1992"/>
      <c r="F23" s="1992"/>
      <c r="G23" s="1992"/>
      <c r="H23" s="1993"/>
      <c r="T23" s="1974" t="s">
        <v>2070</v>
      </c>
      <c r="U23" s="2037"/>
      <c r="V23" s="2037"/>
      <c r="W23" s="2037"/>
      <c r="X23" s="2041">
        <v>43831</v>
      </c>
      <c r="Y23" s="2042"/>
      <c r="Z23" s="2042"/>
      <c r="AA23" s="2043"/>
    </row>
    <row r="24" spans="1:27" ht="14.1" customHeight="1" x14ac:dyDescent="0.2">
      <c r="A24" s="88" t="s">
        <v>677</v>
      </c>
      <c r="B24" s="49"/>
      <c r="C24" s="49"/>
      <c r="D24" s="49"/>
      <c r="E24" s="49"/>
      <c r="F24" s="49"/>
      <c r="G24" s="49"/>
      <c r="H24" s="61"/>
      <c r="J24" s="1961" t="str">
        <f>IF(B5="x",IF(AUDITCHECK!D29="AFR form Incomplete.","",IF(AUDITCHECK!D29="Deficit reduction plan is required.","School District must complete a deficit reduction plan in the 2019-2020 Budget",)),"")</f>
        <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62691</v>
      </c>
      <c r="B25" s="1939"/>
      <c r="C25" s="1939"/>
      <c r="D25" s="1939"/>
      <c r="E25" s="1939"/>
      <c r="F25" s="1939"/>
      <c r="G25" s="1939"/>
      <c r="H25" s="1940"/>
      <c r="I25" s="113"/>
      <c r="J25" s="1963"/>
      <c r="K25" s="1963"/>
      <c r="L25" s="1963"/>
      <c r="M25" s="1963"/>
      <c r="N25" s="1963"/>
      <c r="O25" s="1963"/>
      <c r="P25" s="1963"/>
      <c r="Q25" s="1963"/>
      <c r="R25" s="1963"/>
      <c r="S25" s="1964"/>
      <c r="T25" s="2034" t="s">
        <v>2078</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2071</v>
      </c>
      <c r="C29" s="124" t="s">
        <v>820</v>
      </c>
      <c r="D29" s="114"/>
      <c r="E29" s="136"/>
      <c r="F29" s="141" t="s">
        <v>1316</v>
      </c>
      <c r="G29" s="114"/>
      <c r="I29" s="54"/>
      <c r="J29" s="102"/>
      <c r="K29" s="28" t="s">
        <v>576</v>
      </c>
      <c r="L29" s="148" t="s">
        <v>2071</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2076</v>
      </c>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2077</v>
      </c>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v>2174527239</v>
      </c>
      <c r="B42" s="1958"/>
      <c r="C42" s="1959"/>
      <c r="D42" s="1957"/>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1" colorId="8" zoomScale="110" zoomScaleNormal="110" workbookViewId="0">
      <selection activeCell="B89" sqref="B8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2071</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t="s">
        <v>2079</v>
      </c>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1" colorId="8" zoomScale="110" zoomScaleNormal="110" workbookViewId="0">
      <selection activeCell="D10" sqref="D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320360</v>
      </c>
      <c r="E16" s="356"/>
      <c r="F16" s="1733">
        <f>SUM('Acct Summary 7-8'!C17,'Acct Summary 7-8'!D17,'Acct Summary 7-8'!F17)</f>
        <v>358248</v>
      </c>
      <c r="G16" s="356"/>
      <c r="H16" s="1733">
        <f>SUM(D16-F16)</f>
        <v>-37888</v>
      </c>
      <c r="I16" s="222"/>
      <c r="J16" s="1733">
        <f>SUM('Acct Summary 7-8'!C81,'Acct Summary 7-8'!D81,'Acct Summary 7-8'!F81,'Acct Summary 7-8'!I81)</f>
        <v>38003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Two Rivers Career Educ System</v>
      </c>
      <c r="E7" s="391"/>
      <c r="G7" s="252"/>
      <c r="H7" s="387"/>
      <c r="I7" s="387"/>
      <c r="J7" s="387"/>
      <c r="K7" s="387"/>
      <c r="L7" s="329"/>
      <c r="M7" s="329"/>
      <c r="N7" s="329"/>
      <c r="O7" s="329"/>
      <c r="P7" s="329"/>
    </row>
    <row r="8" spans="1:18" ht="12.75" x14ac:dyDescent="0.2">
      <c r="A8" s="329"/>
      <c r="B8" s="329"/>
      <c r="C8" s="389" t="s">
        <v>1125</v>
      </c>
      <c r="D8" s="392">
        <f>COVER!A13</f>
        <v>1009700045</v>
      </c>
      <c r="E8" s="393"/>
      <c r="G8" s="329"/>
      <c r="H8" s="329"/>
      <c r="I8" s="329"/>
      <c r="J8" s="329"/>
      <c r="K8" s="329"/>
      <c r="L8" s="329"/>
      <c r="M8" s="329"/>
      <c r="N8" s="329"/>
      <c r="O8" s="329"/>
      <c r="P8" s="329"/>
    </row>
    <row r="9" spans="1:18" ht="12.75" x14ac:dyDescent="0.2">
      <c r="A9" s="329"/>
      <c r="B9" s="329"/>
      <c r="C9" s="389" t="s">
        <v>713</v>
      </c>
      <c r="D9" s="394" t="str">
        <f>COVER!A15</f>
        <v>Brown/Cass/Morgan/Scott/Schuyler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38003</v>
      </c>
      <c r="I12" s="404"/>
      <c r="J12" s="404"/>
      <c r="K12" s="405">
        <f>TRUNC((H12/H13*100000),5)/100000</f>
        <v>0.11862592080000001</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320360</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358248</v>
      </c>
      <c r="I17" s="404"/>
      <c r="J17" s="416"/>
      <c r="K17" s="405">
        <f>TRUNC((H17/H18*100000),5)/100000</f>
        <v>1.1182669495999999</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320360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0.1574904</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39335</v>
      </c>
      <c r="I24" s="422"/>
      <c r="J24" s="422"/>
      <c r="K24" s="423">
        <f>TRUNC(((H24/H25*100000)/100000),2)</f>
        <v>39.520000000000003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995.13333</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49" sqref="A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39335</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39335</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892230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892230</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1332</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1332</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941</v>
      </c>
      <c r="D38" s="466"/>
      <c r="E38" s="466"/>
      <c r="F38" s="466"/>
      <c r="G38" s="466"/>
      <c r="H38" s="466"/>
      <c r="I38" s="466"/>
      <c r="J38" s="467"/>
      <c r="K38" s="466"/>
      <c r="L38" s="481"/>
      <c r="M38" s="497"/>
      <c r="N38" s="497"/>
    </row>
    <row r="39" spans="1:14" s="329" customFormat="1" ht="13.5" customHeight="1" x14ac:dyDescent="0.2">
      <c r="A39" s="496" t="s">
        <v>342</v>
      </c>
      <c r="B39" s="483">
        <v>730</v>
      </c>
      <c r="C39" s="466">
        <v>37062</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892230</v>
      </c>
      <c r="N40" s="497"/>
    </row>
    <row r="41" spans="1:14" ht="13.5" customHeight="1" thickBot="1" x14ac:dyDescent="0.25">
      <c r="A41" s="1736" t="s">
        <v>655</v>
      </c>
      <c r="B41" s="1706"/>
      <c r="C41" s="1688">
        <f>(SUM(C34,C37,C38,C39))</f>
        <v>39335</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892230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B67" sqref="B6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551</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225554</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94255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320360</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c r="D9" s="516"/>
      <c r="E9" s="481"/>
      <c r="F9" s="481"/>
      <c r="G9" s="517"/>
      <c r="H9" s="481"/>
      <c r="I9" s="509" t="s">
        <v>1169</v>
      </c>
      <c r="J9" s="478"/>
      <c r="K9" s="481"/>
      <c r="L9" s="347"/>
    </row>
    <row r="10" spans="1:13" s="519" customFormat="1" ht="13.5" thickBot="1" x14ac:dyDescent="0.25">
      <c r="A10" s="1736" t="s">
        <v>1173</v>
      </c>
      <c r="B10" s="1709"/>
      <c r="C10" s="1688">
        <f>SUM(C8:C9)</f>
        <v>320360</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251825</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106423</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358248</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358248</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3" t="s">
        <v>1655</v>
      </c>
      <c r="B20" s="2124"/>
      <c r="C20" s="1746">
        <f>C8-C17</f>
        <v>-37888</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-37888</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1949</v>
      </c>
      <c r="B79" s="534"/>
      <c r="C79" s="478">
        <v>75891</v>
      </c>
      <c r="D79" s="535"/>
      <c r="E79" s="535"/>
      <c r="F79" s="535"/>
      <c r="G79" s="535"/>
      <c r="H79" s="535"/>
      <c r="I79" s="535"/>
      <c r="J79" s="535"/>
      <c r="K79" s="535"/>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38003</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-37888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-0.99697392311133337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6" activePane="bottomLeft" state="frozen"/>
      <selection pane="bottomLeft" activeCell="C95" sqref="C9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51</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500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500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551</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225554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225554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225554</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225554</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94255</v>
      </c>
      <c r="D220" s="466"/>
      <c r="E220" s="468"/>
      <c r="F220" s="468"/>
      <c r="G220" s="466"/>
      <c r="H220" s="468"/>
      <c r="I220" s="468"/>
      <c r="J220" s="468"/>
      <c r="K220" s="468"/>
    </row>
    <row r="221" spans="1:11" ht="12.75" customHeight="1" thickBot="1" x14ac:dyDescent="0.25">
      <c r="A221" s="1723" t="s">
        <v>1085</v>
      </c>
      <c r="B221" s="1724"/>
      <c r="C221" s="1707">
        <f>SUM(C219:C220)</f>
        <v>94255</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94255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94255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320360</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E51" sqref="E5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v>61000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15650</v>
      </c>
      <c r="F13" s="466">
        <f>110316+76</f>
        <v>110392</v>
      </c>
      <c r="G13" s="466">
        <v>125783</v>
      </c>
      <c r="H13" s="466"/>
      <c r="I13" s="467"/>
      <c r="J13" s="467"/>
      <c r="K13" s="1671">
        <f t="shared" si="0"/>
        <v>251825</v>
      </c>
      <c r="L13" s="466">
        <v>195000</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0</v>
      </c>
      <c r="E33" s="1670">
        <f t="shared" si="1"/>
        <v>15650</v>
      </c>
      <c r="F33" s="1670">
        <f t="shared" si="1"/>
        <v>110392</v>
      </c>
      <c r="G33" s="1670">
        <f t="shared" si="1"/>
        <v>125783</v>
      </c>
      <c r="H33" s="1670">
        <f t="shared" si="1"/>
        <v>0</v>
      </c>
      <c r="I33" s="1670">
        <f t="shared" si="1"/>
        <v>0</v>
      </c>
      <c r="J33" s="1670">
        <f t="shared" si="1"/>
        <v>0</v>
      </c>
      <c r="K33" s="1670">
        <f t="shared" si="1"/>
        <v>251825</v>
      </c>
      <c r="L33" s="1670">
        <f t="shared" si="1"/>
        <v>256000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v>1580</v>
      </c>
      <c r="F37" s="466"/>
      <c r="G37" s="466"/>
      <c r="H37" s="466"/>
      <c r="I37" s="467"/>
      <c r="J37" s="467"/>
      <c r="K37" s="1671">
        <f t="shared" si="2"/>
        <v>1580</v>
      </c>
      <c r="L37" s="466">
        <v>2000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1580</v>
      </c>
      <c r="F42" s="1670">
        <f t="shared" si="3"/>
        <v>0</v>
      </c>
      <c r="G42" s="1670">
        <f t="shared" si="3"/>
        <v>0</v>
      </c>
      <c r="H42" s="1670">
        <f t="shared" si="3"/>
        <v>0</v>
      </c>
      <c r="I42" s="1670">
        <f t="shared" si="3"/>
        <v>0</v>
      </c>
      <c r="J42" s="1670">
        <f t="shared" si="3"/>
        <v>0</v>
      </c>
      <c r="K42" s="1670">
        <f t="shared" si="3"/>
        <v>1580</v>
      </c>
      <c r="L42" s="1670">
        <f t="shared" si="3"/>
        <v>2000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25222</v>
      </c>
      <c r="D44" s="481">
        <v>2955</v>
      </c>
      <c r="E44" s="481">
        <v>4480</v>
      </c>
      <c r="F44" s="481"/>
      <c r="G44" s="481"/>
      <c r="H44" s="481"/>
      <c r="I44" s="467"/>
      <c r="J44" s="467"/>
      <c r="K44" s="1672">
        <f>SUM(C44:J44)</f>
        <v>32657</v>
      </c>
      <c r="L44" s="481">
        <v>33233</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25222</v>
      </c>
      <c r="D47" s="1670">
        <f t="shared" ref="D47:K47" si="4">SUM(D44:D46)</f>
        <v>2955</v>
      </c>
      <c r="E47" s="1670">
        <f t="shared" si="4"/>
        <v>4480</v>
      </c>
      <c r="F47" s="1670">
        <f t="shared" si="4"/>
        <v>0</v>
      </c>
      <c r="G47" s="1670">
        <f t="shared" si="4"/>
        <v>0</v>
      </c>
      <c r="H47" s="1670">
        <f t="shared" si="4"/>
        <v>0</v>
      </c>
      <c r="I47" s="1670">
        <f t="shared" si="4"/>
        <v>0</v>
      </c>
      <c r="J47" s="1670">
        <f t="shared" si="4"/>
        <v>0</v>
      </c>
      <c r="K47" s="1670">
        <f t="shared" si="4"/>
        <v>32657</v>
      </c>
      <c r="L47" s="1670">
        <f>SUM(L44:L46)</f>
        <v>33233</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38852</v>
      </c>
      <c r="D50" s="466">
        <v>6330</v>
      </c>
      <c r="E50" s="466">
        <f>11234</f>
        <v>11234</v>
      </c>
      <c r="F50" s="466">
        <v>4662</v>
      </c>
      <c r="G50" s="466">
        <v>2923</v>
      </c>
      <c r="H50" s="466"/>
      <c r="I50" s="467"/>
      <c r="J50" s="467"/>
      <c r="K50" s="1672">
        <f>SUM(C50:J50)</f>
        <v>64001</v>
      </c>
      <c r="L50" s="466">
        <v>64615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38852</v>
      </c>
      <c r="D53" s="1670">
        <f t="shared" ref="D53:L53" si="5">SUM(D49:D52)</f>
        <v>6330</v>
      </c>
      <c r="E53" s="1670">
        <f t="shared" si="5"/>
        <v>11234</v>
      </c>
      <c r="F53" s="1670">
        <f t="shared" si="5"/>
        <v>4662</v>
      </c>
      <c r="G53" s="1670">
        <f t="shared" si="5"/>
        <v>2923</v>
      </c>
      <c r="H53" s="1670">
        <f t="shared" si="5"/>
        <v>0</v>
      </c>
      <c r="I53" s="1670">
        <f t="shared" si="5"/>
        <v>0</v>
      </c>
      <c r="J53" s="1670">
        <f t="shared" si="5"/>
        <v>0</v>
      </c>
      <c r="K53" s="1670">
        <f t="shared" si="5"/>
        <v>64001</v>
      </c>
      <c r="L53" s="1670">
        <f t="shared" si="5"/>
        <v>64615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v>8185</v>
      </c>
      <c r="F60" s="466"/>
      <c r="G60" s="466"/>
      <c r="H60" s="466"/>
      <c r="I60" s="467"/>
      <c r="J60" s="467"/>
      <c r="K60" s="1672">
        <f t="shared" si="7"/>
        <v>8185</v>
      </c>
      <c r="L60" s="466">
        <v>8200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8185</v>
      </c>
      <c r="F65" s="1670">
        <f t="shared" si="8"/>
        <v>0</v>
      </c>
      <c r="G65" s="1670">
        <f t="shared" si="8"/>
        <v>0</v>
      </c>
      <c r="H65" s="1670">
        <f t="shared" si="8"/>
        <v>0</v>
      </c>
      <c r="I65" s="1670">
        <f t="shared" si="8"/>
        <v>0</v>
      </c>
      <c r="J65" s="1670">
        <f t="shared" si="8"/>
        <v>0</v>
      </c>
      <c r="K65" s="1670">
        <f t="shared" si="8"/>
        <v>8185</v>
      </c>
      <c r="L65" s="1670">
        <f t="shared" si="8"/>
        <v>8200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64074</v>
      </c>
      <c r="D74" s="1677">
        <f t="shared" ref="D74:K74" si="10">SUM(D42,D47,D53,D57,D65,D72,D73)</f>
        <v>9285</v>
      </c>
      <c r="E74" s="1677">
        <f t="shared" si="10"/>
        <v>25479</v>
      </c>
      <c r="F74" s="1677">
        <f t="shared" si="10"/>
        <v>4662</v>
      </c>
      <c r="G74" s="1677">
        <f t="shared" si="10"/>
        <v>2923</v>
      </c>
      <c r="H74" s="1677">
        <f t="shared" si="10"/>
        <v>0</v>
      </c>
      <c r="I74" s="1677">
        <f t="shared" si="10"/>
        <v>0</v>
      </c>
      <c r="J74" s="1677">
        <f t="shared" si="10"/>
        <v>0</v>
      </c>
      <c r="K74" s="1677">
        <f t="shared" si="10"/>
        <v>106423</v>
      </c>
      <c r="L74" s="1677">
        <f>SUM(L42,L47,L53,L57,L65,L72,L73)</f>
        <v>108048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64074</v>
      </c>
      <c r="D114" s="1670">
        <f t="shared" ref="D114:K114" si="13">SUM(D33,D74,D75,D102,D112,D113)</f>
        <v>9285</v>
      </c>
      <c r="E114" s="1670">
        <f t="shared" si="13"/>
        <v>41129</v>
      </c>
      <c r="F114" s="1670">
        <f t="shared" si="13"/>
        <v>115054</v>
      </c>
      <c r="G114" s="1670">
        <f t="shared" si="13"/>
        <v>128706</v>
      </c>
      <c r="H114" s="1670">
        <f>SUM(H33,H74,H75,H102,H112,H113)</f>
        <v>0</v>
      </c>
      <c r="I114" s="1670">
        <f t="shared" si="13"/>
        <v>0</v>
      </c>
      <c r="J114" s="1670">
        <f t="shared" si="13"/>
        <v>0</v>
      </c>
      <c r="K114" s="1670">
        <f t="shared" si="13"/>
        <v>358248</v>
      </c>
      <c r="L114" s="1670">
        <f>SUM(L33,L74,L75,L102,L112,L113)</f>
        <v>364048</v>
      </c>
    </row>
    <row r="115" spans="1:14" ht="13.5" thickTop="1" x14ac:dyDescent="0.2">
      <c r="A115" s="2153" t="s">
        <v>996</v>
      </c>
      <c r="B115" s="2154"/>
      <c r="C115" s="618"/>
      <c r="D115" s="618"/>
      <c r="E115" s="618"/>
      <c r="F115" s="618"/>
      <c r="G115" s="618"/>
      <c r="H115" s="618"/>
      <c r="I115" s="618"/>
      <c r="J115" s="618"/>
      <c r="K115" s="1684">
        <f>'Revenues 9-14'!C268-'Expenditures 15-22'!K114</f>
        <v>-37888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0"/>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3" t="s">
        <v>1178</v>
      </c>
      <c r="B152" s="2174"/>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3" t="s">
        <v>996</v>
      </c>
      <c r="B175" s="215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3" t="s">
        <v>996</v>
      </c>
      <c r="B211" s="215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3" t="s">
        <v>996</v>
      </c>
      <c r="B296" s="215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6" t="s">
        <v>996</v>
      </c>
      <c r="B343" s="216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3" t="s">
        <v>996</v>
      </c>
      <c r="B368" s="215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26" sqref="H2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84" t="s">
        <v>1956</v>
      </c>
      <c r="D2" s="723" t="s">
        <v>1957</v>
      </c>
      <c r="E2" s="723" t="s">
        <v>1958</v>
      </c>
      <c r="F2" s="1884" t="s">
        <v>1959</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5">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5">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5">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1964</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0</v>
      </c>
      <c r="I12" s="1758">
        <f>SUM(I5:I11)</f>
        <v>0</v>
      </c>
      <c r="J12" s="1758">
        <f>SUM(J5:J11)</f>
        <v>0</v>
      </c>
      <c r="K12" s="1758">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c r="I14" s="771"/>
      <c r="J14" s="773"/>
      <c r="K14" s="765"/>
    </row>
    <row r="15" spans="1:11" x14ac:dyDescent="0.2">
      <c r="A15" s="2215" t="s">
        <v>4</v>
      </c>
      <c r="B15" s="2215"/>
      <c r="C15" s="2215"/>
      <c r="D15" s="2215"/>
      <c r="E15" s="2216"/>
      <c r="F15" s="789" t="s">
        <v>855</v>
      </c>
      <c r="G15" s="771"/>
      <c r="H15" s="764"/>
      <c r="I15" s="764"/>
      <c r="J15" s="765"/>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0</v>
      </c>
      <c r="I23" s="1758">
        <f>SUM(I14:I16,I21,I22)</f>
        <v>0</v>
      </c>
      <c r="J23" s="1758">
        <f>SUM(J14:J16,J21,J22)</f>
        <v>0</v>
      </c>
      <c r="K23" s="1758">
        <f>SUM(K14:K16,K21,K22)</f>
        <v>0</v>
      </c>
    </row>
    <row r="24" spans="1:11" ht="14.25" thickTop="1" thickBot="1" x14ac:dyDescent="0.25">
      <c r="A24" s="2245" t="s">
        <v>1965</v>
      </c>
      <c r="B24" s="2244"/>
      <c r="C24" s="2244"/>
      <c r="D24" s="2244"/>
      <c r="E24" s="224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879113</v>
      </c>
      <c r="D12" s="844">
        <v>128706</v>
      </c>
      <c r="E12" s="844">
        <v>115589</v>
      </c>
      <c r="F12" s="1760">
        <f>(C12+D12)-E12</f>
        <v>892230</v>
      </c>
      <c r="G12" s="843">
        <v>10</v>
      </c>
      <c r="H12" s="765">
        <v>491229</v>
      </c>
      <c r="I12" s="765">
        <v>89223</v>
      </c>
      <c r="J12" s="765">
        <v>115589</v>
      </c>
      <c r="K12" s="1769">
        <f>(H12+I12)-J12</f>
        <v>464863</v>
      </c>
      <c r="L12" s="1769">
        <f>F12-K12</f>
        <v>427367</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879113</v>
      </c>
      <c r="D16" s="1760">
        <f>SUM(D3,D5:D6,D8:D10,D12:D15)</f>
        <v>128706</v>
      </c>
      <c r="E16" s="1760">
        <f>SUM(E3,E5:E6,E8:E10,E12:E15)</f>
        <v>115589</v>
      </c>
      <c r="F16" s="1760">
        <f>SUM(F3,F5:F6,F8:F10,F12:F15)</f>
        <v>892230</v>
      </c>
      <c r="G16" s="843"/>
      <c r="H16" s="1760">
        <f>SUM(H3,H6,H8:H10,H12:H14,)</f>
        <v>491229</v>
      </c>
      <c r="I16" s="1760">
        <f>SUM(I3,I6,I8:I10,I12:I14,)</f>
        <v>89223</v>
      </c>
      <c r="J16" s="1760">
        <f>SUM(J3,J6,J8:J10,J12:J14,)</f>
        <v>115589</v>
      </c>
      <c r="K16" s="1760">
        <f>(H16+I16)-J16</f>
        <v>464863</v>
      </c>
      <c r="L16" s="1760">
        <f>F16-K16</f>
        <v>427367</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89223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184" sqref="I18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358248</v>
      </c>
      <c r="G8" s="865"/>
    </row>
    <row r="9" spans="1:7" x14ac:dyDescent="0.2">
      <c r="A9" s="869" t="s">
        <v>460</v>
      </c>
      <c r="B9" s="870" t="s">
        <v>1877</v>
      </c>
      <c r="C9" s="871"/>
      <c r="D9" s="869" t="s">
        <v>501</v>
      </c>
      <c r="E9" s="868"/>
      <c r="F9" s="1909">
        <f>'Expenditures 15-22'!K151</f>
        <v>0</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0</v>
      </c>
      <c r="G11" s="872"/>
    </row>
    <row r="12" spans="1:7" x14ac:dyDescent="0.2">
      <c r="A12" s="869" t="s">
        <v>462</v>
      </c>
      <c r="B12" s="870" t="s">
        <v>1880</v>
      </c>
      <c r="C12" s="871"/>
      <c r="D12" s="869" t="s">
        <v>501</v>
      </c>
      <c r="E12" s="868"/>
      <c r="F12" s="1909">
        <f>'Expenditures 15-22'!K295</f>
        <v>0</v>
      </c>
      <c r="G12" s="872"/>
    </row>
    <row r="13" spans="1:7" x14ac:dyDescent="0.2">
      <c r="A13" s="869" t="s">
        <v>106</v>
      </c>
      <c r="B13" s="870" t="s">
        <v>1881</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358248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0</v>
      </c>
      <c r="G53" s="865"/>
    </row>
    <row r="54" spans="1:7" x14ac:dyDescent="0.2">
      <c r="A54" s="869" t="s">
        <v>459</v>
      </c>
      <c r="B54" s="869" t="s">
        <v>1476</v>
      </c>
      <c r="C54" s="889" t="s">
        <v>982</v>
      </c>
      <c r="D54" s="885" t="s">
        <v>1095</v>
      </c>
      <c r="E54" s="868"/>
      <c r="F54" s="1913">
        <f>'Expenditures 15-22'!G114</f>
        <v>128706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128706</v>
      </c>
      <c r="G76" s="865"/>
    </row>
    <row r="77" spans="1:8" s="893" customFormat="1" ht="12" customHeight="1" thickTop="1" thickBot="1" x14ac:dyDescent="0.25">
      <c r="A77" s="1779"/>
      <c r="B77" s="1776"/>
      <c r="C77" s="1772"/>
      <c r="D77" s="1777" t="s">
        <v>1900</v>
      </c>
      <c r="E77" s="1774"/>
      <c r="F77" s="1780">
        <f>(F14-F76)</f>
        <v>229542</v>
      </c>
      <c r="G77" s="869"/>
    </row>
    <row r="78" spans="1:8" s="893" customFormat="1" ht="12" customHeight="1" thickTop="1" x14ac:dyDescent="0.2">
      <c r="A78" s="1781"/>
      <c r="B78" s="1776"/>
      <c r="C78" s="1772"/>
      <c r="D78" s="1777" t="s">
        <v>2062</v>
      </c>
      <c r="E78" s="1774"/>
      <c r="F78" s="898">
        <v>0</v>
      </c>
      <c r="G78" s="899"/>
      <c r="H78" s="869"/>
    </row>
    <row r="79" spans="1:8" s="893" customFormat="1" ht="12" customHeight="1" thickBot="1" x14ac:dyDescent="0.25">
      <c r="A79" s="1782"/>
      <c r="B79" s="1776"/>
      <c r="C79" s="1772"/>
      <c r="D79" s="1777" t="s">
        <v>1901</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225554</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94255</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320309</v>
      </c>
    </row>
    <row r="175" spans="1:7" ht="12" customHeight="1" x14ac:dyDescent="0.2">
      <c r="A175" s="1770"/>
      <c r="B175" s="1784"/>
      <c r="C175" s="1785"/>
      <c r="D175" s="1786" t="s">
        <v>2057</v>
      </c>
      <c r="E175" s="1787"/>
      <c r="F175" s="1789">
        <f>'PCTC-OEPP 27-28'!F77-F174</f>
        <v>-90767</v>
      </c>
    </row>
    <row r="176" spans="1:7" ht="12" customHeight="1" x14ac:dyDescent="0.2">
      <c r="A176" s="1770"/>
      <c r="B176" s="1784"/>
      <c r="C176" s="1785"/>
      <c r="D176" s="1786" t="s">
        <v>1817</v>
      </c>
      <c r="E176" s="1787"/>
      <c r="F176" s="1789">
        <f>'Cap Outlay Deprec 26'!I18</f>
        <v>89223</v>
      </c>
    </row>
    <row r="177" spans="1:7" ht="12" customHeight="1" x14ac:dyDescent="0.2">
      <c r="A177" s="1770"/>
      <c r="B177" s="1784"/>
      <c r="C177" s="1785"/>
      <c r="D177" s="1786" t="s">
        <v>2058</v>
      </c>
      <c r="E177" s="1787"/>
      <c r="F177" s="1789">
        <f>F175+F176</f>
        <v>-1544</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2059</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35" sqref="F3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4" t="s">
        <v>1977</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126042</v>
      </c>
      <c r="F19" s="1799"/>
      <c r="G19" s="1801">
        <f>'Expenditures 15-22'!K33-SUM('Expenditures 15-22'!G33,'Expenditures 15-22'!I33)+'Expenditures 15-22'!D229</f>
        <v>126042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1580</v>
      </c>
      <c r="F21" s="1802"/>
      <c r="G21" s="1805">
        <f>'Expenditures 15-22'!K42-SUM('Expenditures 15-22'!G42,'Expenditures 15-22'!I42)+'Expenditures 15-22'!K120-SUM('Expenditures 15-22'!G120,'Expenditures 15-22'!I120)+'Expenditures 15-22'!K180-SUM('Expenditures 15-22'!G180,'Expenditures 15-22'!I180)+'Expenditures 15-22'!D238</f>
        <v>1580</v>
      </c>
      <c r="H21" s="987"/>
      <c r="I21" s="162"/>
    </row>
    <row r="22" spans="1:9" s="668" customFormat="1" ht="12" customHeight="1" x14ac:dyDescent="0.2">
      <c r="A22" s="994" t="s">
        <v>564</v>
      </c>
      <c r="B22" s="995"/>
      <c r="C22" s="993">
        <v>2200</v>
      </c>
      <c r="D22" s="1802"/>
      <c r="E22" s="1804">
        <f>'Expenditures 15-22'!K47-SUM('Expenditures 15-22'!G47,'Expenditures 15-22'!I47)+'Expenditures 15-22'!D243</f>
        <v>32657</v>
      </c>
      <c r="F22" s="1802"/>
      <c r="G22" s="1805">
        <f>'Expenditures 15-22'!K47-SUM('Expenditures 15-22'!G47,'Expenditures 15-22'!I47)+'Expenditures 15-22'!D243</f>
        <v>32657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61078</v>
      </c>
      <c r="F23" s="1802"/>
      <c r="G23" s="1804">
        <f>'Expenditures 15-22'!K53-SUM('Expenditures 15-22'!G53,'Expenditures 15-22'!I53)+'Expenditures 15-22'!D257+'Expenditures 15-22'!K330-SUM('Expenditures 15-22'!G330,'Expenditures 15-22'!I330)</f>
        <v>61078</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8185</v>
      </c>
      <c r="E27" s="1804">
        <f>E8</f>
        <v>0</v>
      </c>
      <c r="F27" s="1804">
        <f>'Expenditures 15-22'!K60-SUM('Expenditures 15-22'!G60,'Expenditures 15-22'!I60)+'Expenditures 15-22'!D264-E8</f>
        <v>8185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8185</v>
      </c>
      <c r="E41" s="1806">
        <f>SUM(E19:E40)</f>
        <v>221357</v>
      </c>
      <c r="F41" s="1806">
        <f>SUM(F19:F39)</f>
        <v>8185</v>
      </c>
      <c r="G41" s="1806">
        <f>SUM(G19:G40)</f>
        <v>221357</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8185</v>
      </c>
      <c r="F43" s="1807" t="s">
        <v>473</v>
      </c>
      <c r="G43" s="1808">
        <f>F41</f>
        <v>8185</v>
      </c>
    </row>
    <row r="44" spans="1:7" ht="12" customHeight="1" x14ac:dyDescent="0.2">
      <c r="A44" s="987"/>
      <c r="B44" s="162"/>
      <c r="C44" s="1001"/>
      <c r="D44" s="1807" t="s">
        <v>474</v>
      </c>
      <c r="E44" s="1808">
        <f>E41</f>
        <v>221357</v>
      </c>
      <c r="F44" s="1807" t="s">
        <v>474</v>
      </c>
      <c r="G44" s="1808">
        <f>G41</f>
        <v>221357</v>
      </c>
    </row>
    <row r="45" spans="1:7" ht="12" customHeight="1" x14ac:dyDescent="0.2">
      <c r="A45" s="987"/>
      <c r="B45" s="162"/>
      <c r="C45" s="162"/>
      <c r="D45" s="1809" t="s">
        <v>1006</v>
      </c>
      <c r="E45" s="1810">
        <f>(E43/E44)</f>
        <v>3.6976467877681753E-2</v>
      </c>
      <c r="F45" s="1809" t="s">
        <v>1006</v>
      </c>
      <c r="G45" s="1810">
        <f>(G43/G44)</f>
        <v>3.6976467877681753E-2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B9" sqref="B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Two Rivers Career Educ System</v>
      </c>
      <c r="D6" s="2305"/>
      <c r="E6" s="2305"/>
      <c r="F6" s="1852"/>
    </row>
    <row r="7" spans="1:10" ht="11.25" customHeight="1" thickBot="1" x14ac:dyDescent="0.3">
      <c r="A7" s="1850"/>
      <c r="B7" s="1851"/>
      <c r="C7" s="2306">
        <f>COVER!A13</f>
        <v>1009700045</v>
      </c>
      <c r="D7" s="2306"/>
      <c r="E7" s="2306"/>
      <c r="F7" s="1852"/>
    </row>
    <row r="8" spans="1:10" ht="25.5" customHeight="1" thickBot="1" x14ac:dyDescent="0.25">
      <c r="A8" s="1893" t="s">
        <v>1908</v>
      </c>
      <c r="B8" s="1853" t="s">
        <v>2071</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1391</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Two Rivers Career Educ System</v>
      </c>
      <c r="J6" s="2315"/>
      <c r="Q6" s="1664"/>
    </row>
    <row r="7" spans="1:17" x14ac:dyDescent="0.2">
      <c r="A7" s="2316" t="s">
        <v>869</v>
      </c>
      <c r="B7" s="2317"/>
      <c r="C7" s="2317"/>
      <c r="D7" s="2317"/>
      <c r="E7" s="2318"/>
      <c r="F7" s="1017"/>
      <c r="G7" s="1009"/>
      <c r="H7" s="1016" t="s">
        <v>372</v>
      </c>
      <c r="I7" s="2319">
        <f>COVER!A13</f>
        <v>1009700045</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64001</v>
      </c>
      <c r="F12" s="1039"/>
      <c r="G12" s="1811">
        <f t="shared" ref="G12:G18" si="0">SUM(E12:F12)</f>
        <v>64001</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64001</v>
      </c>
      <c r="F19" s="1813">
        <f t="shared" si="2"/>
        <v>0</v>
      </c>
      <c r="G19" s="1813">
        <f t="shared" si="2"/>
        <v>64001</v>
      </c>
      <c r="H19" s="1813">
        <f t="shared" si="2"/>
        <v>0</v>
      </c>
      <c r="I19" s="1813">
        <f t="shared" si="2"/>
        <v>0</v>
      </c>
      <c r="J19" s="1813">
        <f t="shared" si="2"/>
        <v>0</v>
      </c>
    </row>
    <row r="20" spans="1:10" ht="13.5" thickTop="1" x14ac:dyDescent="0.2">
      <c r="A20" s="1035">
        <v>9</v>
      </c>
      <c r="B20" s="2326" t="s">
        <v>1981</v>
      </c>
      <c r="C20" s="2326"/>
      <c r="D20" s="2327"/>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2080</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Two Rivers Career Educ System</v>
      </c>
    </row>
    <row r="65" spans="2:2" x14ac:dyDescent="0.2">
      <c r="B65" s="1070">
        <f>COVER!A13</f>
        <v>1009700045</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2" zoomScale="110" zoomScaleNormal="110" workbookViewId="0">
      <selection activeCell="B4" sqref="B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457200</xdr:colOff>
                <xdr:row>4</xdr:row>
                <xdr:rowOff>9525</xdr:rowOff>
              </from>
              <to>
                <xdr:col>1</xdr:col>
                <xdr:colOff>1371600</xdr:colOff>
                <xdr:row>8</xdr:row>
                <xdr:rowOff>133350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320360</v>
      </c>
      <c r="C8" s="1815">
        <f>'Acct Summary 7-8'!D8</f>
        <v>0</v>
      </c>
      <c r="D8" s="1815">
        <f>'Acct Summary 7-8'!F8</f>
        <v>0</v>
      </c>
      <c r="E8" s="1815">
        <f>'Acct Summary 7-8'!I8</f>
        <v>0</v>
      </c>
      <c r="F8" s="1815">
        <f>SUM(B8:E8)</f>
        <v>320360</v>
      </c>
    </row>
    <row r="9" spans="1:8" s="1079" customFormat="1" ht="14.25" customHeight="1" thickBot="1" x14ac:dyDescent="0.25">
      <c r="A9" s="1078" t="s">
        <v>1369</v>
      </c>
      <c r="B9" s="1816">
        <f>'Acct Summary 7-8'!C17</f>
        <v>358248</v>
      </c>
      <c r="C9" s="1816">
        <f>'Acct Summary 7-8'!D17</f>
        <v>0</v>
      </c>
      <c r="D9" s="1816">
        <f>'Acct Summary 7-8'!F17</f>
        <v>0</v>
      </c>
      <c r="E9" s="1815"/>
      <c r="F9" s="1815">
        <f>SUM(B9:E9)</f>
        <v>358248</v>
      </c>
    </row>
    <row r="10" spans="1:8" s="1079" customFormat="1" ht="14.25" thickTop="1" thickBot="1" x14ac:dyDescent="0.25">
      <c r="A10" s="1080" t="s">
        <v>1370</v>
      </c>
      <c r="B10" s="1817">
        <f>(B8-B9)</f>
        <v>-37888</v>
      </c>
      <c r="C10" s="1817">
        <f>(C8-C9)</f>
        <v>0</v>
      </c>
      <c r="D10" s="1817">
        <f>(D8-D9)</f>
        <v>0</v>
      </c>
      <c r="E10" s="1816">
        <f>(E8-E9)</f>
        <v>0</v>
      </c>
      <c r="F10" s="1818">
        <f>SUM(F8-F9)</f>
        <v>-37888</v>
      </c>
    </row>
    <row r="11" spans="1:8" s="1079" customFormat="1" ht="14.25" thickTop="1" thickBot="1" x14ac:dyDescent="0.25">
      <c r="A11" s="1081" t="s">
        <v>1985</v>
      </c>
      <c r="B11" s="1819">
        <f>'Acct Summary 7-8'!C81</f>
        <v>38003</v>
      </c>
      <c r="C11" s="1819">
        <f>'Acct Summary 7-8'!D81</f>
        <v>0</v>
      </c>
      <c r="D11" s="1819">
        <f>'Acct Summary 7-8'!F81</f>
        <v>0</v>
      </c>
      <c r="E11" s="1819">
        <f>'Acct Summary 7-8'!I81</f>
        <v>0</v>
      </c>
      <c r="F11" s="1820">
        <f>SUM(B11:E11)</f>
        <v>38003</v>
      </c>
    </row>
    <row r="12" spans="1:8" ht="16.5" customHeight="1" thickTop="1" x14ac:dyDescent="0.2">
      <c r="A12" s="1082"/>
      <c r="B12" s="1083"/>
      <c r="C12" s="233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ENTRY IS REQUIRED!</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1009700045</v>
      </c>
    </row>
    <row r="3" spans="1:2" x14ac:dyDescent="0.2">
      <c r="A3" t="s">
        <v>956</v>
      </c>
      <c r="B3" s="138" t="str">
        <f>COVER!A15</f>
        <v>Brown/Cass/Morgan/Scott/Schuyler</v>
      </c>
    </row>
    <row r="4" spans="1:2" x14ac:dyDescent="0.2">
      <c r="A4" t="s">
        <v>1007</v>
      </c>
      <c r="B4" s="138" t="str">
        <f>COVER!A17</f>
        <v>Two Rivers Career Educ System</v>
      </c>
    </row>
    <row r="5" spans="1:2" x14ac:dyDescent="0.2">
      <c r="A5" t="s">
        <v>704</v>
      </c>
      <c r="B5" s="138" t="str">
        <f>COVER!A38</f>
        <v>Reggie Clinton, Director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060-004845</v>
      </c>
    </row>
    <row r="16" spans="1:2" x14ac:dyDescent="0.2">
      <c r="A16" t="s">
        <v>422</v>
      </c>
      <c r="B16" s="138" t="str">
        <f>COVER!T13</f>
        <v>Pehlman and Dold, P.C.</v>
      </c>
    </row>
    <row r="17" spans="1:2" x14ac:dyDescent="0.2">
      <c r="A17" t="s">
        <v>884</v>
      </c>
      <c r="B17" s="138" t="str">
        <f>COVER!T15</f>
        <v>Jamie Nichols</v>
      </c>
    </row>
    <row r="18" spans="1:2" x14ac:dyDescent="0.2">
      <c r="A18" t="s">
        <v>1150</v>
      </c>
      <c r="B18" s="138" t="str">
        <f>COVER!T17</f>
        <v>100 North Amos Avenue</v>
      </c>
    </row>
    <row r="19" spans="1:2" x14ac:dyDescent="0.2">
      <c r="A19" t="s">
        <v>886</v>
      </c>
      <c r="B19" s="138" t="str">
        <f>COVER!T25</f>
        <v>jnichols@p-dcpas.com</v>
      </c>
    </row>
    <row r="20" spans="1:2" x14ac:dyDescent="0.2">
      <c r="A20" t="s">
        <v>887</v>
      </c>
      <c r="B20" s="138" t="str">
        <f>COVER!T19</f>
        <v>Springfield</v>
      </c>
    </row>
    <row r="21" spans="1:2" x14ac:dyDescent="0.2">
      <c r="A21" t="s">
        <v>479</v>
      </c>
      <c r="B21" s="138" t="str">
        <f>COVER!X19</f>
        <v>IL</v>
      </c>
    </row>
    <row r="22" spans="1:2" x14ac:dyDescent="0.2">
      <c r="A22" t="s">
        <v>888</v>
      </c>
      <c r="B22" s="138">
        <f>COVER!Z19</f>
        <v>62702</v>
      </c>
    </row>
    <row r="23" spans="1:2" x14ac:dyDescent="0.2">
      <c r="A23" t="s">
        <v>1152</v>
      </c>
      <c r="B23" s="138" t="str">
        <f>COVER!T21</f>
        <v>(217) 787-0563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39335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1332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1332</v>
      </c>
      <c r="C91" s="2" t="s">
        <v>573</v>
      </c>
      <c r="D91" s="2" t="str">
        <f t="shared" si="0"/>
        <v>Error?</v>
      </c>
    </row>
    <row r="92" spans="1:4" x14ac:dyDescent="0.2">
      <c r="A92" s="5">
        <v>31</v>
      </c>
      <c r="B92" s="138">
        <f>'Assets-Liab 5-6'!C39</f>
        <v>37062</v>
      </c>
      <c r="D92" s="2" t="str">
        <f t="shared" si="0"/>
        <v>Error?</v>
      </c>
    </row>
    <row r="93" spans="1:4" x14ac:dyDescent="0.2">
      <c r="A93" s="5">
        <v>32</v>
      </c>
      <c r="B93" s="138">
        <f>'Assets-Liab 5-6'!C41</f>
        <v>39335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892230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892230</v>
      </c>
      <c r="C279" s="2" t="s">
        <v>573</v>
      </c>
      <c r="D279" s="2" t="str">
        <f t="shared" si="3"/>
        <v>Error?</v>
      </c>
    </row>
    <row r="280" spans="1:4" x14ac:dyDescent="0.2">
      <c r="A280" s="5">
        <v>219</v>
      </c>
      <c r="B280" s="138">
        <f>'Assets-Liab 5-6'!M40</f>
        <v>892230</v>
      </c>
      <c r="D280" s="2" t="str">
        <f t="shared" si="3"/>
        <v>Error?</v>
      </c>
    </row>
    <row r="281" spans="1:4" x14ac:dyDescent="0.2">
      <c r="A281" s="5">
        <v>220</v>
      </c>
      <c r="B281" s="138">
        <f>'Assets-Liab 5-6'!M41</f>
        <v>892230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25222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25222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38852</v>
      </c>
      <c r="D733" s="2" t="str">
        <f t="shared" si="10"/>
        <v>Error?</v>
      </c>
    </row>
    <row r="734" spans="1:4" x14ac:dyDescent="0.2">
      <c r="A734" s="5">
        <v>673</v>
      </c>
      <c r="B734" s="138">
        <f>'Expenditures 15-22'!C53</f>
        <v>38852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64074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64074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2955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2955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6330</v>
      </c>
      <c r="D791" s="2" t="str">
        <f t="shared" si="11"/>
        <v>Error?</v>
      </c>
    </row>
    <row r="792" spans="1:4" x14ac:dyDescent="0.2">
      <c r="A792" s="5">
        <v>731</v>
      </c>
      <c r="B792" s="138">
        <f>'Expenditures 15-22'!D53</f>
        <v>6330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9285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9285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15650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15650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1580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1580</v>
      </c>
      <c r="C843" s="2" t="s">
        <v>573</v>
      </c>
      <c r="D843" s="2" t="str">
        <f t="shared" si="12"/>
        <v>Error?</v>
      </c>
    </row>
    <row r="844" spans="1:4" x14ac:dyDescent="0.2">
      <c r="A844" s="5">
        <v>783</v>
      </c>
      <c r="B844" s="138">
        <f>'Expenditures 15-22'!E44</f>
        <v>4480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4480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11234</v>
      </c>
      <c r="D849" s="2" t="str">
        <f t="shared" si="12"/>
        <v>Error?</v>
      </c>
    </row>
    <row r="850" spans="1:4" x14ac:dyDescent="0.2">
      <c r="A850" s="5">
        <v>789</v>
      </c>
      <c r="B850" s="138">
        <f>'Expenditures 15-22'!E53</f>
        <v>11234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8185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8185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25479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41129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110392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110392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4662</v>
      </c>
      <c r="D907" s="2" t="str">
        <f t="shared" si="13"/>
        <v>Error?</v>
      </c>
    </row>
    <row r="908" spans="1:4" x14ac:dyDescent="0.2">
      <c r="A908" s="5">
        <v>847</v>
      </c>
      <c r="B908" s="138">
        <f>'Expenditures 15-22'!F53</f>
        <v>4662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4662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115054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125783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125783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2923</v>
      </c>
      <c r="D965" s="2" t="str">
        <f t="shared" si="14"/>
        <v>Error?</v>
      </c>
    </row>
    <row r="966" spans="1:4" x14ac:dyDescent="0.2">
      <c r="A966" s="5">
        <v>905</v>
      </c>
      <c r="B966" s="138">
        <f>'Expenditures 15-22'!G53</f>
        <v>2923</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2923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128706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251825</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251825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1580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1580</v>
      </c>
      <c r="C1115" s="2" t="s">
        <v>573</v>
      </c>
      <c r="D1115" s="2" t="str">
        <f t="shared" si="16"/>
        <v>Error?</v>
      </c>
    </row>
    <row r="1116" spans="1:4" x14ac:dyDescent="0.2">
      <c r="A1116" s="5">
        <v>1055</v>
      </c>
      <c r="B1116" s="138">
        <f>'Expenditures 15-22'!K44</f>
        <v>32657</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32657</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64001</v>
      </c>
      <c r="C1121" s="2" t="s">
        <v>573</v>
      </c>
      <c r="D1121" s="2" t="str">
        <f t="shared" si="16"/>
        <v>Error?</v>
      </c>
    </row>
    <row r="1122" spans="1:4" x14ac:dyDescent="0.2">
      <c r="A1122" s="5">
        <v>1061</v>
      </c>
      <c r="B1122" s="138">
        <f>'Expenditures 15-22'!K53</f>
        <v>64001</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8185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8185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106423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358248</v>
      </c>
      <c r="C1152" s="2" t="s">
        <v>573</v>
      </c>
      <c r="D1152" s="2" t="str">
        <f t="shared" si="17"/>
        <v>Error?</v>
      </c>
    </row>
    <row r="1153" spans="1:4" x14ac:dyDescent="0.2">
      <c r="A1153" s="5">
        <v>1092</v>
      </c>
      <c r="B1153" s="138">
        <f>'Expenditures 15-22'!K115</f>
        <v>-37888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75891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38003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879113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879113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128706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128706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115589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115589</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892230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892230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491229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491229</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89223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89223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115589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115589</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464863</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464863</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427367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427367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941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551</v>
      </c>
      <c r="C2551" s="2" t="s">
        <v>573</v>
      </c>
      <c r="D2551" s="2" t="str">
        <f t="shared" si="38"/>
        <v>Error?</v>
      </c>
    </row>
    <row r="2552" spans="1:4" x14ac:dyDescent="0.2">
      <c r="A2552" s="10">
        <v>2491</v>
      </c>
      <c r="D2552" s="2" t="str">
        <f t="shared" si="38"/>
        <v>OK</v>
      </c>
    </row>
    <row r="2553" spans="1:4" x14ac:dyDescent="0.2">
      <c r="A2553" s="5">
        <v>2492</v>
      </c>
      <c r="B2553" s="138">
        <f>'Acct Summary 7-8'!C6</f>
        <v>225554</v>
      </c>
      <c r="C2553" s="2" t="s">
        <v>573</v>
      </c>
      <c r="D2553" s="2" t="str">
        <f t="shared" si="38"/>
        <v>Error?</v>
      </c>
    </row>
    <row r="2554" spans="1:4" x14ac:dyDescent="0.2">
      <c r="A2554" s="5">
        <v>2493</v>
      </c>
      <c r="B2554" s="138">
        <f>'Acct Summary 7-8'!C7</f>
        <v>94255</v>
      </c>
      <c r="C2554" s="2" t="s">
        <v>573</v>
      </c>
      <c r="D2554" s="2" t="str">
        <f t="shared" si="38"/>
        <v>Error?</v>
      </c>
    </row>
    <row r="2555" spans="1:4" x14ac:dyDescent="0.2">
      <c r="A2555" s="5">
        <v>2494</v>
      </c>
      <c r="B2555" s="138">
        <f>'Acct Summary 7-8'!C8</f>
        <v>320360</v>
      </c>
      <c r="C2555" s="2" t="s">
        <v>573</v>
      </c>
      <c r="D2555" s="2" t="str">
        <f t="shared" si="38"/>
        <v>Error?</v>
      </c>
    </row>
    <row r="2556" spans="1:4" x14ac:dyDescent="0.2">
      <c r="A2556" s="5">
        <v>2495</v>
      </c>
      <c r="B2556" s="138">
        <f>'Acct Summary 7-8'!C12</f>
        <v>251825</v>
      </c>
      <c r="C2556" s="2" t="s">
        <v>573</v>
      </c>
      <c r="D2556" s="2" t="str">
        <f t="shared" si="38"/>
        <v>Error?</v>
      </c>
    </row>
    <row r="2557" spans="1:4" x14ac:dyDescent="0.2">
      <c r="A2557" s="5">
        <v>2496</v>
      </c>
      <c r="B2557" s="138">
        <f>'Acct Summary 7-8'!C13</f>
        <v>106423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358248</v>
      </c>
      <c r="C2561" s="2" t="s">
        <v>573</v>
      </c>
      <c r="D2561" s="2" t="str">
        <f t="shared" si="39"/>
        <v>Error?</v>
      </c>
    </row>
    <row r="2562" spans="1:4" x14ac:dyDescent="0.2">
      <c r="A2562" s="5">
        <v>2501</v>
      </c>
      <c r="B2562" s="138">
        <f>'Acct Summary 7-8'!C20</f>
        <v>-37888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-37888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39335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320360</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358248</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38003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94255</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500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500</v>
      </c>
      <c r="C5120" s="2" t="s">
        <v>573</v>
      </c>
      <c r="D5120" s="2" t="str">
        <f t="shared" si="79"/>
        <v>Error?</v>
      </c>
    </row>
    <row r="5121" spans="1:4" x14ac:dyDescent="0.2">
      <c r="A5121" s="5">
        <v>5060</v>
      </c>
      <c r="B5121" s="138">
        <f>'Revenues 9-14'!C109</f>
        <v>551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225554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225554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225554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225554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94255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94255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94255</v>
      </c>
      <c r="C5326" s="2" t="s">
        <v>573</v>
      </c>
      <c r="D5326" s="2" t="str">
        <f t="shared" si="82"/>
        <v>Error?</v>
      </c>
    </row>
    <row r="5327" spans="1:5" x14ac:dyDescent="0.2">
      <c r="A5327" s="5">
        <v>5266</v>
      </c>
      <c r="B5327" s="138">
        <f>'Revenues 9-14'!C268</f>
        <v>320360</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-37888</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-0.99697392311133337</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89223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1989</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Two Rivers Career Educ System</v>
      </c>
      <c r="B7" s="2382"/>
      <c r="C7" s="2382"/>
      <c r="D7" s="2419"/>
      <c r="E7" s="2420">
        <f>COVER!A13</f>
        <v>1009700045</v>
      </c>
      <c r="F7" s="2421"/>
      <c r="G7" s="2388" t="str">
        <f>COVER!T23</f>
        <v>060-004845</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c r="B9" s="2392"/>
      <c r="C9" s="2392"/>
      <c r="D9" s="2392"/>
      <c r="E9" s="2392"/>
      <c r="F9" s="2393"/>
      <c r="G9" s="2394" t="str">
        <f>COVER!T13</f>
        <v>Pehlman and Dold, P.C.</v>
      </c>
      <c r="H9" s="2395"/>
      <c r="I9" s="2395"/>
      <c r="J9" s="2395"/>
      <c r="K9" s="2395"/>
      <c r="L9" s="2396"/>
    </row>
    <row r="10" spans="1:29" ht="13.5" customHeight="1" x14ac:dyDescent="0.2">
      <c r="A10" s="2378" t="str">
        <f>COVER!A38</f>
        <v>Reggie Clinton, Director</v>
      </c>
      <c r="B10" s="2379"/>
      <c r="C10" s="2379"/>
      <c r="D10" s="2379"/>
      <c r="E10" s="2379"/>
      <c r="F10" s="2380"/>
      <c r="G10" s="2394" t="str">
        <f>COVER!T17</f>
        <v>100 North Amos Avenue</v>
      </c>
      <c r="H10" s="2407"/>
      <c r="I10" s="2407"/>
      <c r="J10" s="2407"/>
      <c r="K10" s="2407"/>
      <c r="L10" s="2408"/>
    </row>
    <row r="11" spans="1:29" ht="13.5" customHeight="1" x14ac:dyDescent="0.2">
      <c r="A11" s="1184" t="s">
        <v>1519</v>
      </c>
      <c r="B11" s="1185"/>
      <c r="C11" s="1186"/>
      <c r="D11" s="1191"/>
      <c r="E11" s="1186"/>
      <c r="F11" s="1190"/>
      <c r="G11" s="2394" t="str">
        <f>COVER!T19</f>
        <v>Springfield</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jnichols@p-dcpas.com</v>
      </c>
      <c r="J13" s="2416"/>
      <c r="K13" s="2416"/>
      <c r="L13" s="2417"/>
    </row>
    <row r="14" spans="1:29" ht="13.5" customHeight="1" x14ac:dyDescent="0.2">
      <c r="A14" s="2394" t="str">
        <f>COVER!A19</f>
        <v>651 S. Morgan Street, Room 119</v>
      </c>
      <c r="B14" s="2407"/>
      <c r="C14" s="2407"/>
      <c r="D14" s="2407"/>
      <c r="E14" s="2407"/>
      <c r="F14" s="2408"/>
      <c r="G14" s="1195" t="s">
        <v>1185</v>
      </c>
      <c r="H14" s="1193"/>
      <c r="I14" s="1193"/>
      <c r="J14" s="1193"/>
      <c r="K14" s="1193"/>
      <c r="L14" s="1194"/>
    </row>
    <row r="15" spans="1:29" ht="13.5" customHeight="1" x14ac:dyDescent="0.2">
      <c r="A15" s="2394" t="str">
        <f>COVER!A21</f>
        <v>Virginia, IL</v>
      </c>
      <c r="B15" s="2407"/>
      <c r="C15" s="2407"/>
      <c r="D15" s="2407"/>
      <c r="E15" s="2407"/>
      <c r="F15" s="2408"/>
      <c r="G15" s="2404" t="str">
        <f>COVER!T15</f>
        <v>Jamie Nichols</v>
      </c>
      <c r="H15" s="2405"/>
      <c r="I15" s="2405"/>
      <c r="J15" s="2405"/>
      <c r="K15" s="2405"/>
      <c r="L15" s="2406"/>
    </row>
    <row r="16" spans="1:29" ht="12.2" customHeight="1" x14ac:dyDescent="0.2">
      <c r="A16" s="2384">
        <f>COVER!A25</f>
        <v>62691</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t="str">
        <f>COVER!T21</f>
        <v>(217) 787-0563</v>
      </c>
      <c r="H18" s="2382"/>
      <c r="I18" s="2382"/>
      <c r="J18" s="2382"/>
      <c r="K18" s="2381" t="str">
        <f>COVER!X21</f>
        <v>(217) 787-9266</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Two Rivers Career Educ System</v>
      </c>
      <c r="B1" s="2418"/>
      <c r="C1" s="2418"/>
      <c r="D1" s="2418"/>
    </row>
    <row r="2" spans="1:11" s="1212" customFormat="1" ht="12.75" x14ac:dyDescent="0.2">
      <c r="A2" s="2423">
        <f>'Single Audit Cover'!E7</f>
        <v>1009700045</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Two Rivers Career Educ System</v>
      </c>
      <c r="B1" s="2426"/>
      <c r="C1" s="2426"/>
      <c r="D1" s="2426"/>
      <c r="E1" s="2426"/>
    </row>
    <row r="2" spans="1:5" x14ac:dyDescent="0.2">
      <c r="A2" s="2427">
        <f>'Single Audit Cover'!E7</f>
        <v>1009700045</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94255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94255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94255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94255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Two Rivers Career Educ System</v>
      </c>
      <c r="C1" s="2430"/>
      <c r="D1" s="2430"/>
      <c r="E1" s="2430"/>
      <c r="F1" s="2430"/>
      <c r="G1" s="2430"/>
      <c r="H1" s="2430"/>
      <c r="I1" s="2430"/>
      <c r="J1" s="2430"/>
      <c r="K1" s="2430"/>
      <c r="L1" s="2430"/>
      <c r="M1" s="2430"/>
    </row>
    <row r="2" spans="2:14" ht="15" x14ac:dyDescent="0.2">
      <c r="B2" s="2431">
        <f>'Single Audit Cover'!E7</f>
        <v>1009700045</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Two Rivers Career Educ System</v>
      </c>
      <c r="B1" s="2435"/>
      <c r="C1" s="2435"/>
      <c r="D1" s="2435"/>
      <c r="E1" s="2435"/>
      <c r="F1" s="2435"/>
    </row>
    <row r="2" spans="1:7" ht="13.5" customHeight="1" x14ac:dyDescent="0.2">
      <c r="A2" s="2431">
        <f>'Single Audit Cover'!E7</f>
        <v>1009700045</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1729</v>
      </c>
      <c r="B7" s="2434"/>
      <c r="C7" s="2434"/>
      <c r="D7" s="2434"/>
      <c r="E7" s="2434"/>
      <c r="F7" s="243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4" t="s">
        <v>1731</v>
      </c>
      <c r="B13" s="2434"/>
      <c r="C13" s="2434"/>
      <c r="D13" s="2434"/>
      <c r="E13" s="2434"/>
      <c r="F13" s="2434"/>
    </row>
    <row r="14" spans="1:7" ht="9.75" customHeight="1" x14ac:dyDescent="0.2">
      <c r="C14" s="1257"/>
      <c r="D14" s="1257"/>
    </row>
    <row r="15" spans="1:7" ht="13.5" customHeight="1" x14ac:dyDescent="0.2">
      <c r="C15" s="1846" t="s">
        <v>1270</v>
      </c>
      <c r="D15" s="2439" t="s">
        <v>1269</v>
      </c>
      <c r="E15" s="2439"/>
      <c r="F15" s="2439"/>
    </row>
    <row r="16" spans="1:7" ht="13.5" customHeight="1" x14ac:dyDescent="0.2">
      <c r="A16" s="1279"/>
      <c r="B16" s="1273" t="s">
        <v>1268</v>
      </c>
      <c r="C16" s="1846" t="s">
        <v>1267</v>
      </c>
      <c r="D16" s="2440" t="s">
        <v>1588</v>
      </c>
      <c r="E16" s="2440"/>
      <c r="F16" s="2440"/>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Two Rivers Career Educ System</v>
      </c>
      <c r="C1" s="2451"/>
      <c r="D1" s="2451"/>
      <c r="E1" s="2451"/>
      <c r="F1" s="2451"/>
      <c r="G1" s="2451"/>
      <c r="H1" s="2451"/>
      <c r="I1" s="2451"/>
      <c r="J1" s="1406"/>
    </row>
    <row r="2" spans="2:10" s="317" customFormat="1" ht="12.75" customHeight="1" x14ac:dyDescent="0.2">
      <c r="B2" s="2452">
        <f>'Single Audit Cover'!E7</f>
        <v>1009700045</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c r="E29" s="2457"/>
      <c r="F29" s="2457"/>
      <c r="G29" s="2457"/>
      <c r="H29" s="2457"/>
      <c r="I29" s="245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8" t="s">
        <v>1751</v>
      </c>
      <c r="D37" s="2459"/>
      <c r="E37" s="2459"/>
      <c r="F37" s="2460"/>
      <c r="G37" s="2458" t="s">
        <v>1592</v>
      </c>
      <c r="H37" s="2459"/>
      <c r="I37" s="2460"/>
    </row>
    <row r="38" spans="2:9" ht="16.5" customHeight="1" x14ac:dyDescent="0.2">
      <c r="B38" s="1428"/>
      <c r="C38" s="2446"/>
      <c r="D38" s="2447"/>
      <c r="E38" s="2447"/>
      <c r="F38" s="2448"/>
      <c r="G38" s="2461"/>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0</v>
      </c>
      <c r="H43" s="2467"/>
      <c r="I43" s="2467"/>
    </row>
    <row r="44" spans="2:9" ht="12.75" customHeight="1" x14ac:dyDescent="0.2"/>
    <row r="45" spans="2:9" ht="12.75" customHeight="1" x14ac:dyDescent="0.2">
      <c r="B45" s="1419" t="s">
        <v>1841</v>
      </c>
      <c r="D45" s="2468">
        <v>0</v>
      </c>
      <c r="E45" s="246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0"/>
      <c r="F49" s="2470"/>
      <c r="G49" s="247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Two Rivers Career Educ System</v>
      </c>
      <c r="C1" s="2450"/>
      <c r="D1" s="2450"/>
      <c r="E1" s="2450"/>
      <c r="F1" s="2450"/>
      <c r="G1" s="2450"/>
      <c r="H1" s="2450"/>
      <c r="I1" s="2450"/>
      <c r="J1" s="2450"/>
      <c r="K1" s="2450"/>
      <c r="L1" s="1371"/>
      <c r="M1" s="1371"/>
    </row>
    <row r="2" spans="1:13" ht="12" customHeight="1" x14ac:dyDescent="0.2">
      <c r="B2" s="2452">
        <f>'Single Audit Cover'!E7</f>
        <v>1009700045</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Two Rivers Career Educ System</v>
      </c>
      <c r="C1" s="2477"/>
      <c r="D1" s="2477"/>
      <c r="E1" s="2477"/>
      <c r="F1" s="2477"/>
      <c r="G1" s="2477"/>
      <c r="H1" s="2477"/>
      <c r="I1" s="2477"/>
      <c r="J1" s="2477"/>
      <c r="K1" s="2477"/>
      <c r="L1" s="1449"/>
    </row>
    <row r="2" spans="1:12" ht="12.75" customHeight="1" x14ac:dyDescent="0.2">
      <c r="B2" s="2478">
        <f>'Single Audit Cover'!E7</f>
        <v>1009700045</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Two Rivers Career Educ System</v>
      </c>
      <c r="C1" s="2450"/>
      <c r="D1" s="2450"/>
      <c r="E1" s="1469"/>
    </row>
    <row r="2" spans="2:5" s="1279" customFormat="1" ht="12.75" customHeight="1" x14ac:dyDescent="0.2">
      <c r="B2" s="2452">
        <f>'Single Audit Cover'!E7</f>
        <v>1009700045</v>
      </c>
      <c r="C2" s="2452"/>
      <c r="D2" s="2452"/>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4d435f69-8686-490b-bd6d-b153bf22ab50"/>
    <ds:schemaRef ds:uri="http://purl.org/dc/terms/"/>
    <ds:schemaRef ds:uri="d21dc803-237d-4c68-8692-8d731fd29118"/>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2020-01-03T20:57:21Z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