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SPAF" sheetId="177"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I20" i="184" l="1"/>
  <c r="F20" i="184"/>
  <c r="L24" i="183"/>
  <c r="L25" i="183"/>
  <c r="I27" i="183"/>
  <c r="F27" i="183"/>
  <c r="L18" i="183"/>
  <c r="L16" i="183"/>
  <c r="L15" i="183"/>
  <c r="F15" i="184"/>
  <c r="I15" i="184"/>
  <c r="L16" i="185" l="1"/>
  <c r="L15" i="185"/>
  <c r="L13" i="185"/>
  <c r="L11" i="185"/>
  <c r="B4" i="185"/>
  <c r="L26" i="184"/>
  <c r="L24" i="184"/>
  <c r="L18" i="184"/>
  <c r="L13" i="184"/>
  <c r="L12" i="184"/>
  <c r="B4" i="184"/>
  <c r="L13" i="183"/>
  <c r="L12" i="183"/>
  <c r="B4" i="183"/>
  <c r="C39" i="3" l="1"/>
  <c r="C27" i="3"/>
  <c r="I12" i="11" l="1"/>
  <c r="I13" i="11"/>
  <c r="H12" i="11"/>
  <c r="C12" i="11"/>
  <c r="D12" i="11"/>
  <c r="F63" i="29" l="1"/>
  <c r="L5" i="29" l="1"/>
  <c r="I5" i="29"/>
  <c r="F5" i="29"/>
  <c r="E5" i="29"/>
  <c r="D5" i="29"/>
  <c r="C5" i="29"/>
  <c r="C171" i="5" l="1"/>
  <c r="C65" i="5"/>
  <c r="C107" i="5"/>
  <c r="C272" i="5"/>
  <c r="C79" i="5"/>
  <c r="C24" i="5"/>
  <c r="M19" i="3"/>
  <c r="C32" i="3"/>
  <c r="C30" i="3"/>
  <c r="C4" i="3"/>
  <c r="C8"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E44" i="181"/>
  <c r="F44" i="181" s="1"/>
  <c r="G44" i="181" s="1"/>
  <c r="E43" i="181"/>
  <c r="F43" i="181" s="1"/>
  <c r="G43" i="181" s="1"/>
  <c r="E42" i="181"/>
  <c r="F42" i="181" s="1"/>
  <c r="G42" i="181" s="1"/>
  <c r="F41" i="181"/>
  <c r="G41" i="181" s="1"/>
  <c r="E41" i="181"/>
  <c r="F40" i="181"/>
  <c r="G40" i="181" s="1"/>
  <c r="E40" i="18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D17" i="171" l="1"/>
  <c r="L27" i="179" l="1"/>
  <c r="L26" i="179"/>
  <c r="L24" i="179"/>
  <c r="L23" i="179"/>
  <c r="L22" i="179"/>
  <c r="L21" i="179"/>
  <c r="L19" i="179"/>
  <c r="L17" i="179"/>
  <c r="L15"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5"/>
  <c r="B1" i="184"/>
  <c r="B2" i="179"/>
  <c r="B2" i="185"/>
  <c r="B2" i="184"/>
  <c r="B2" i="183"/>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J85" i="28"/>
  <c r="B7758" i="106" s="1"/>
  <c r="D7758" i="106" s="1"/>
  <c r="J88" i="28"/>
  <c r="K6" i="29"/>
  <c r="B7763" i="106" s="1"/>
  <c r="B7762" i="106"/>
  <c r="K12" i="12"/>
  <c r="K23" i="12"/>
  <c r="K24" i="12" s="1"/>
  <c r="B7733" i="106" s="1"/>
  <c r="D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6833" i="106" s="1"/>
  <c r="D6833" i="106" s="1"/>
  <c r="B7761" i="106"/>
  <c r="L127" i="29"/>
  <c r="L129" i="29" s="1"/>
  <c r="L139" i="29"/>
  <c r="L149" i="29"/>
  <c r="I7" i="145"/>
  <c r="I6" i="145"/>
  <c r="D78" i="36"/>
  <c r="K75" i="29"/>
  <c r="K130" i="29"/>
  <c r="K185" i="29"/>
  <c r="B2836" i="106" s="1"/>
  <c r="D2836" i="106" s="1"/>
  <c r="K122" i="29"/>
  <c r="F15" i="145" s="1"/>
  <c r="F19" i="145" s="1"/>
  <c r="K67" i="29"/>
  <c r="K64" i="29"/>
  <c r="D31" i="108" s="1"/>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B7005" i="106" s="1"/>
  <c r="D7005" i="106" s="1"/>
  <c r="K98" i="29"/>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c r="D1865" i="106" s="1"/>
  <c r="B1866" i="106"/>
  <c r="D1866" i="106" s="1"/>
  <c r="F6" i="8"/>
  <c r="F7" i="8"/>
  <c r="B1868" i="106" s="1"/>
  <c r="D1868" i="106" s="1"/>
  <c r="F12" i="8"/>
  <c r="B1869" i="106" s="1"/>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s="1"/>
  <c r="B5105" i="106"/>
  <c r="D5105" i="106"/>
  <c r="B5106" i="106"/>
  <c r="D5106" i="106" s="1"/>
  <c r="B5107" i="106"/>
  <c r="D5107" i="106" s="1"/>
  <c r="B5108" i="106"/>
  <c r="D5108" i="106" s="1"/>
  <c r="B5109" i="106"/>
  <c r="D5109" i="106"/>
  <c r="B5110" i="106"/>
  <c r="D5110" i="106" s="1"/>
  <c r="B5111" i="106"/>
  <c r="D5111" i="106" s="1"/>
  <c r="B5113" i="106"/>
  <c r="D5113" i="106" s="1"/>
  <c r="B5114" i="106"/>
  <c r="D5114" i="106"/>
  <c r="B5115" i="106"/>
  <c r="D5115" i="106"/>
  <c r="B5116" i="106"/>
  <c r="D5116" i="106"/>
  <c r="B5117" i="106"/>
  <c r="D5117" i="106"/>
  <c r="B5118" i="106"/>
  <c r="D5118" i="106"/>
  <c r="B5119" i="106"/>
  <c r="D5119" i="106" s="1"/>
  <c r="B5122" i="106"/>
  <c r="D5122" i="106" s="1"/>
  <c r="B5123" i="106"/>
  <c r="D5123" i="106"/>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c r="B6299" i="106"/>
  <c r="D6299" i="106" s="1"/>
  <c r="B6300" i="106"/>
  <c r="D6300" i="106" s="1"/>
  <c r="B6302" i="106"/>
  <c r="D6302" i="106" s="1"/>
  <c r="B6303" i="106"/>
  <c r="D6303" i="106"/>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c r="B6732" i="106"/>
  <c r="D6732" i="106" s="1"/>
  <c r="B6733" i="106"/>
  <c r="D6733" i="106" s="1"/>
  <c r="B6734" i="106"/>
  <c r="D6734" i="106" s="1"/>
  <c r="B6735" i="106"/>
  <c r="D6735" i="106"/>
  <c r="B6736" i="106"/>
  <c r="D6736" i="106" s="1"/>
  <c r="B6737" i="106"/>
  <c r="D6737" i="106" s="1"/>
  <c r="B6738" i="106"/>
  <c r="D6738" i="106" s="1"/>
  <c r="B6739" i="106"/>
  <c r="D6739" i="106"/>
  <c r="B6740" i="106"/>
  <c r="D6740" i="106" s="1"/>
  <c r="B6741" i="106"/>
  <c r="D6741" i="106" s="1"/>
  <c r="B6742" i="106"/>
  <c r="D6742" i="106" s="1"/>
  <c r="B6743" i="106"/>
  <c r="D6743" i="106"/>
  <c r="B6744" i="106"/>
  <c r="D6744" i="106" s="1"/>
  <c r="B6745" i="106"/>
  <c r="D6745" i="106" s="1"/>
  <c r="B6746" i="106"/>
  <c r="D6746" i="106" s="1"/>
  <c r="B6747" i="106"/>
  <c r="D6747" i="106"/>
  <c r="B6748" i="106"/>
  <c r="D6748" i="106" s="1"/>
  <c r="B6749" i="106"/>
  <c r="D6749" i="106" s="1"/>
  <c r="B6750" i="106"/>
  <c r="D6750" i="106" s="1"/>
  <c r="B6751" i="106"/>
  <c r="D6751" i="106"/>
  <c r="B6752" i="106"/>
  <c r="D6752" i="106" s="1"/>
  <c r="B6753" i="106"/>
  <c r="D6753" i="106" s="1"/>
  <c r="B6754" i="106"/>
  <c r="D6754" i="106" s="1"/>
  <c r="B6755" i="106"/>
  <c r="D6755" i="106"/>
  <c r="B6756" i="106"/>
  <c r="D6756" i="106" s="1"/>
  <c r="B6757" i="106"/>
  <c r="D6757" i="106" s="1"/>
  <c r="B6758" i="106"/>
  <c r="D6758" i="106" s="1"/>
  <c r="B6759" i="106"/>
  <c r="D6759" i="106"/>
  <c r="B6760" i="106"/>
  <c r="D6760" i="106" s="1"/>
  <c r="B6761" i="106"/>
  <c r="D6761" i="106" s="1"/>
  <c r="B6762" i="106"/>
  <c r="D6762" i="106" s="1"/>
  <c r="B6763" i="106"/>
  <c r="D6763" i="106"/>
  <c r="B6764" i="106"/>
  <c r="D6764" i="106" s="1"/>
  <c r="B6765" i="106"/>
  <c r="D6765" i="106" s="1"/>
  <c r="B6766" i="106"/>
  <c r="D6766" i="106" s="1"/>
  <c r="B6767" i="106"/>
  <c r="D6767" i="106"/>
  <c r="B6768" i="106"/>
  <c r="D6768" i="106" s="1"/>
  <c r="B6769" i="106"/>
  <c r="D6769" i="106" s="1"/>
  <c r="B6770" i="106"/>
  <c r="D6770" i="106" s="1"/>
  <c r="B6771" i="106"/>
  <c r="D6771" i="106"/>
  <c r="B6772" i="106"/>
  <c r="D6772" i="106" s="1"/>
  <c r="B6773" i="106"/>
  <c r="D6773" i="106" s="1"/>
  <c r="B6774" i="106"/>
  <c r="D6774" i="106" s="1"/>
  <c r="B6775" i="106"/>
  <c r="D6775" i="106"/>
  <c r="B6776" i="106"/>
  <c r="D6776" i="106" s="1"/>
  <c r="B6777" i="106"/>
  <c r="D6777" i="106" s="1"/>
  <c r="B6778" i="106"/>
  <c r="D6778" i="106" s="1"/>
  <c r="B6779" i="106"/>
  <c r="D6779" i="106"/>
  <c r="B6780" i="106"/>
  <c r="D6780" i="106" s="1"/>
  <c r="B6781" i="106"/>
  <c r="D6781" i="106" s="1"/>
  <c r="B6782" i="106"/>
  <c r="D6782" i="106" s="1"/>
  <c r="B6783" i="106"/>
  <c r="D6783" i="106"/>
  <c r="B6784" i="106"/>
  <c r="D6784" i="106" s="1"/>
  <c r="B6785" i="106"/>
  <c r="D6785" i="106" s="1"/>
  <c r="B6786" i="106"/>
  <c r="D6786" i="106" s="1"/>
  <c r="B6787" i="106"/>
  <c r="D6787" i="106"/>
  <c r="B6788" i="106"/>
  <c r="D6788" i="106" s="1"/>
  <c r="B6789" i="106"/>
  <c r="D6789" i="106" s="1"/>
  <c r="B6790" i="106"/>
  <c r="D6790" i="106" s="1"/>
  <c r="B6791" i="106"/>
  <c r="D6791" i="106"/>
  <c r="B6792" i="106"/>
  <c r="D6792" i="106" s="1"/>
  <c r="B6793" i="106"/>
  <c r="D6793" i="106" s="1"/>
  <c r="B6794" i="106"/>
  <c r="D6794" i="106" s="1"/>
  <c r="B6795" i="106"/>
  <c r="D6795" i="106"/>
  <c r="B6796" i="106"/>
  <c r="D6796" i="106" s="1"/>
  <c r="B6797" i="106"/>
  <c r="D6797" i="106" s="1"/>
  <c r="B6798" i="106"/>
  <c r="D6798" i="106" s="1"/>
  <c r="B6799" i="106"/>
  <c r="D6799" i="106"/>
  <c r="B6800" i="106"/>
  <c r="D6800" i="106" s="1"/>
  <c r="B6801" i="106"/>
  <c r="D6801" i="106" s="1"/>
  <c r="B6802" i="106"/>
  <c r="D6802" i="106" s="1"/>
  <c r="B6803" i="106"/>
  <c r="D6803" i="106"/>
  <c r="B6804" i="106"/>
  <c r="D6804" i="106" s="1"/>
  <c r="B6805" i="106"/>
  <c r="D6805" i="106" s="1"/>
  <c r="B6806" i="106"/>
  <c r="D6806" i="106" s="1"/>
  <c r="B6807" i="106"/>
  <c r="D6807" i="106"/>
  <c r="B6808" i="106"/>
  <c r="D6808" i="106" s="1"/>
  <c r="B6809" i="106"/>
  <c r="D6809" i="106" s="1"/>
  <c r="B6810" i="106"/>
  <c r="D6810" i="106" s="1"/>
  <c r="B6811" i="106"/>
  <c r="D6811" i="106"/>
  <c r="B6812" i="106"/>
  <c r="D6812" i="106" s="1"/>
  <c r="B6813" i="106"/>
  <c r="D6813" i="106" s="1"/>
  <c r="B6814" i="106"/>
  <c r="D6814" i="106" s="1"/>
  <c r="B6815" i="106"/>
  <c r="D6815" i="106"/>
  <c r="B6816" i="106"/>
  <c r="D6816" i="106" s="1"/>
  <c r="B6817" i="106"/>
  <c r="D6817" i="106" s="1"/>
  <c r="B6818" i="106"/>
  <c r="D6818" i="106" s="1"/>
  <c r="B6819" i="106"/>
  <c r="D6819" i="106"/>
  <c r="B6820" i="106"/>
  <c r="D6820" i="106" s="1"/>
  <c r="B6821" i="106"/>
  <c r="D6821" i="106" s="1"/>
  <c r="B6822" i="106"/>
  <c r="D6822" i="106" s="1"/>
  <c r="B6823" i="106"/>
  <c r="D6823" i="106"/>
  <c r="B6824" i="106"/>
  <c r="D6824" i="106" s="1"/>
  <c r="B6825" i="106"/>
  <c r="D6825" i="106" s="1"/>
  <c r="B6826" i="106"/>
  <c r="D6826" i="106" s="1"/>
  <c r="B6827" i="106"/>
  <c r="D6827" i="106"/>
  <c r="B6828" i="106"/>
  <c r="D6828" i="106" s="1"/>
  <c r="B6829" i="106"/>
  <c r="D6829" i="106" s="1"/>
  <c r="B6830" i="106"/>
  <c r="D6830" i="106" s="1"/>
  <c r="B6831" i="106"/>
  <c r="D6831" i="106"/>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E27" i="108"/>
  <c r="G27" i="108"/>
  <c r="F31" i="108"/>
  <c r="F36" i="108"/>
  <c r="G28" i="108"/>
  <c r="E30" i="108"/>
  <c r="E31" i="108"/>
  <c r="G31" i="108"/>
  <c r="E33" i="108"/>
  <c r="G33" i="108"/>
  <c r="G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c r="D5878" i="106" s="1"/>
  <c r="I18" i="5"/>
  <c r="B5923" i="106"/>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B5232" i="106" s="1"/>
  <c r="D5232" i="106" s="1"/>
  <c r="D184" i="5"/>
  <c r="B5425" i="106" s="1"/>
  <c r="D5425" i="106" s="1"/>
  <c r="F184" i="5"/>
  <c r="B5658" i="106" s="1"/>
  <c r="D5658" i="106" s="1"/>
  <c r="G184" i="5"/>
  <c r="F127" i="34" s="1"/>
  <c r="H184" i="5"/>
  <c r="B5908" i="106" s="1"/>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G5" i="4"/>
  <c r="B3409" i="106" s="1"/>
  <c r="D3409" i="106" s="1"/>
  <c r="G14" i="4"/>
  <c r="B2609" i="106" s="1"/>
  <c r="D2609" i="106" s="1"/>
  <c r="D14" i="4"/>
  <c r="B2570" i="106" s="1"/>
  <c r="D2570" i="106" s="1"/>
  <c r="F14" i="4"/>
  <c r="B2597" i="106" s="1"/>
  <c r="D2597" i="106" s="1"/>
  <c r="B2633" i="106"/>
  <c r="D2633" i="106" s="1"/>
  <c r="D7" i="118"/>
  <c r="D8" i="118"/>
  <c r="D9" i="118"/>
  <c r="H14" i="118"/>
  <c r="H19" i="118"/>
  <c r="H24" i="118"/>
  <c r="H28" i="118"/>
  <c r="J22" i="37"/>
  <c r="L22" i="37"/>
  <c r="L5" i="11"/>
  <c r="B2056" i="106" s="1"/>
  <c r="D2056" i="106" s="1"/>
  <c r="D5" i="7"/>
  <c r="B1761" i="106" s="1"/>
  <c r="D1761" i="106" s="1"/>
  <c r="D13" i="7"/>
  <c r="B3726" i="106" s="1"/>
  <c r="D3726" i="106" s="1"/>
  <c r="D9" i="7"/>
  <c r="B1767" i="106" s="1"/>
  <c r="D1767" i="106" s="1"/>
  <c r="B5847" i="106"/>
  <c r="D5847" i="106" s="1"/>
  <c r="B5752" i="106"/>
  <c r="D5752" i="106" s="1"/>
  <c r="B5599" i="106"/>
  <c r="D5599" i="106" s="1"/>
  <c r="D17" i="7"/>
  <c r="B4104" i="106" s="1"/>
  <c r="D4104" i="106" s="1"/>
  <c r="D12" i="7" l="1"/>
  <c r="B1769" i="106" s="1"/>
  <c r="D1769" i="106" s="1"/>
  <c r="B1746" i="106"/>
  <c r="D1746" i="106" s="1"/>
  <c r="F136" i="34"/>
  <c r="D4" i="7"/>
  <c r="B1760" i="106" s="1"/>
  <c r="D1760" i="106" s="1"/>
  <c r="F131" i="34"/>
  <c r="F128" i="34"/>
  <c r="B5784" i="106"/>
  <c r="D5784" i="106" s="1"/>
  <c r="K274" i="5"/>
  <c r="E109" i="5"/>
  <c r="E4" i="4" s="1"/>
  <c r="B2630" i="106" s="1"/>
  <c r="D2630" i="106" s="1"/>
  <c r="L312" i="29"/>
  <c r="F46" i="34"/>
  <c r="F41" i="34"/>
  <c r="J129" i="29"/>
  <c r="B7038" i="106" s="1"/>
  <c r="D7038" i="106" s="1"/>
  <c r="B6191" i="106"/>
  <c r="D6191" i="106" s="1"/>
  <c r="J41" i="3"/>
  <c r="G352" i="29"/>
  <c r="B3647" i="106"/>
  <c r="D3647" i="106" s="1"/>
  <c r="B3565" i="106"/>
  <c r="D3565" i="106" s="1"/>
  <c r="K41" i="3"/>
  <c r="K28" i="118"/>
  <c r="O27" i="118" s="1"/>
  <c r="O29" i="118" s="1"/>
  <c r="B2733" i="106"/>
  <c r="D2733" i="106" s="1"/>
  <c r="B1124" i="106"/>
  <c r="D1124" i="106" s="1"/>
  <c r="G39" i="108"/>
  <c r="B3649" i="106"/>
  <c r="D3649" i="106" s="1"/>
  <c r="G367" i="29"/>
  <c r="D5" i="4"/>
  <c r="B3406" i="106" s="1"/>
  <c r="D3406" i="106" s="1"/>
  <c r="F70" i="34"/>
  <c r="J77" i="4"/>
  <c r="B6262" i="106" s="1"/>
  <c r="D6262" i="106" s="1"/>
  <c r="I24" i="12"/>
  <c r="D7" i="7"/>
  <c r="B1763" i="106" s="1"/>
  <c r="D1763" i="106" s="1"/>
  <c r="F111" i="34"/>
  <c r="F42" i="34"/>
  <c r="D37" i="108"/>
  <c r="G26" i="108"/>
  <c r="D6103" i="106"/>
  <c r="K352" i="29"/>
  <c r="K13" i="4" s="1"/>
  <c r="B3572" i="106" s="1"/>
  <c r="D3572" i="106" s="1"/>
  <c r="B1223" i="106"/>
  <c r="D1223" i="106" s="1"/>
  <c r="B1274" i="106"/>
  <c r="D1274" i="106" s="1"/>
  <c r="C172" i="5"/>
  <c r="B5214" i="106" s="1"/>
  <c r="D5214" i="106" s="1"/>
  <c r="I173" i="5"/>
  <c r="B4216" i="106" s="1"/>
  <c r="D4216" i="106" s="1"/>
  <c r="H173" i="5"/>
  <c r="F130" i="34"/>
  <c r="F50" i="34"/>
  <c r="F44" i="34"/>
  <c r="F37" i="108"/>
  <c r="B7047" i="106"/>
  <c r="D7047" i="106" s="1"/>
  <c r="C352" i="29"/>
  <c r="B2724" i="106"/>
  <c r="D2724" i="106" s="1"/>
  <c r="K285" i="29"/>
  <c r="E174" i="29"/>
  <c r="B1309" i="106" s="1"/>
  <c r="D1309" i="106" s="1"/>
  <c r="B5770" i="106"/>
  <c r="D5770" i="106" s="1"/>
  <c r="L367" i="29"/>
  <c r="H109" i="5"/>
  <c r="B6025" i="106" s="1"/>
  <c r="D6025" i="106" s="1"/>
  <c r="J352" i="29"/>
  <c r="D15" i="7"/>
  <c r="B1772" i="106" s="1"/>
  <c r="D1772" i="106" s="1"/>
  <c r="D24" i="37"/>
  <c r="B4270" i="106" s="1"/>
  <c r="D4270" i="106" s="1"/>
  <c r="F106" i="34"/>
  <c r="B5096" i="106"/>
  <c r="D5096" i="106" s="1"/>
  <c r="K26" i="12"/>
  <c r="B7743" i="106" s="1"/>
  <c r="D7743" i="106" s="1"/>
  <c r="C342" i="29"/>
  <c r="B7216" i="106" s="1"/>
  <c r="D7216" i="106" s="1"/>
  <c r="H365" i="29"/>
  <c r="F21" i="8"/>
  <c r="H76" i="4"/>
  <c r="B3298" i="106" s="1"/>
  <c r="D3298" i="106" s="1"/>
  <c r="F34" i="34"/>
  <c r="N22" i="3"/>
  <c r="B283" i="106" s="1"/>
  <c r="D283" i="106" s="1"/>
  <c r="L15" i="11"/>
  <c r="B3459" i="106" s="1"/>
  <c r="D3459" i="106" s="1"/>
  <c r="L13" i="11"/>
  <c r="B2060" i="106" s="1"/>
  <c r="D2060" i="106" s="1"/>
  <c r="D69" i="36"/>
  <c r="D68" i="36"/>
  <c r="F19" i="7"/>
  <c r="B1807" i="106" s="1"/>
  <c r="D1807" i="106" s="1"/>
  <c r="L342" i="29"/>
  <c r="F68" i="34"/>
  <c r="B1410" i="106"/>
  <c r="D1410" i="106" s="1"/>
  <c r="J210" i="29"/>
  <c r="B7072" i="106" s="1"/>
  <c r="D7072" i="106" s="1"/>
  <c r="I210" i="29"/>
  <c r="G29" i="108"/>
  <c r="E29" i="108"/>
  <c r="G210" i="29"/>
  <c r="K184" i="29"/>
  <c r="F13" i="4" s="1"/>
  <c r="B2596" i="106" s="1"/>
  <c r="D2596" i="106" s="1"/>
  <c r="B1329" i="106"/>
  <c r="D1329" i="106" s="1"/>
  <c r="F61" i="34"/>
  <c r="F28" i="108"/>
  <c r="E28" i="108"/>
  <c r="I129" i="29"/>
  <c r="B7037" i="106" s="1"/>
  <c r="D7037" i="106" s="1"/>
  <c r="C14" i="4"/>
  <c r="B2558" i="106" s="1"/>
  <c r="D2558" i="106" s="1"/>
  <c r="G38" i="108"/>
  <c r="D36" i="108"/>
  <c r="D41" i="108" s="1"/>
  <c r="E43" i="108" s="1"/>
  <c r="G35" i="108"/>
  <c r="E35" i="108"/>
  <c r="G30" i="108"/>
  <c r="F27" i="108"/>
  <c r="E15" i="145"/>
  <c r="G15" i="145" s="1"/>
  <c r="F26" i="108"/>
  <c r="F38" i="34"/>
  <c r="F35" i="34"/>
  <c r="D11" i="7"/>
  <c r="B1768" i="106" s="1"/>
  <c r="D1768" i="106" s="1"/>
  <c r="G109" i="5"/>
  <c r="D109" i="5"/>
  <c r="C109" i="5"/>
  <c r="B5121" i="106" s="1"/>
  <c r="D5121" i="106" s="1"/>
  <c r="D54" i="36"/>
  <c r="H33" i="118"/>
  <c r="B4268" i="106"/>
  <c r="D4268" i="106" s="1"/>
  <c r="D11" i="37"/>
  <c r="D31"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L114" i="29" l="1"/>
  <c r="B3568" i="106"/>
  <c r="D3568" i="106" s="1"/>
  <c r="D52" i="36"/>
  <c r="H77" i="4"/>
  <c r="B3299" i="106" s="1"/>
  <c r="D3299" i="106" s="1"/>
  <c r="B1879" i="106"/>
  <c r="D1879" i="106" s="1"/>
  <c r="H22" i="37"/>
  <c r="J367" i="29"/>
  <c r="B7245" i="106" s="1"/>
  <c r="D7245" i="106" s="1"/>
  <c r="B7235" i="106"/>
  <c r="D7235" i="106" s="1"/>
  <c r="H367" i="29"/>
  <c r="B3660" i="106" s="1"/>
  <c r="D3660" i="106" s="1"/>
  <c r="B7242" i="106"/>
  <c r="D7242" i="106" s="1"/>
  <c r="B1996" i="106"/>
  <c r="D1996" i="106" s="1"/>
  <c r="I26" i="12"/>
  <c r="B7741" i="106" s="1"/>
  <c r="D7741" i="106" s="1"/>
  <c r="J16" i="4"/>
  <c r="B6226" i="106" s="1"/>
  <c r="D6226" i="106" s="1"/>
  <c r="I6" i="4"/>
  <c r="B5011" i="106" s="1"/>
  <c r="D5011" i="106" s="1"/>
  <c r="C173" i="5"/>
  <c r="B5223" i="106" s="1"/>
  <c r="D5223" i="106" s="1"/>
  <c r="B1317" i="106"/>
  <c r="D1317" i="106" s="1"/>
  <c r="B7215" i="106"/>
  <c r="D7215" i="106" s="1"/>
  <c r="B1328" i="106"/>
  <c r="D1328" i="106" s="1"/>
  <c r="C4" i="4"/>
  <c r="B2551" i="106" s="1"/>
  <c r="D2551" i="106" s="1"/>
  <c r="B5914" i="106"/>
  <c r="D5914" i="106" s="1"/>
  <c r="H151" i="29"/>
  <c r="B1273" i="106" s="1"/>
  <c r="D1273" i="106" s="1"/>
  <c r="H275" i="5"/>
  <c r="D7253" i="106"/>
  <c r="F6" i="4"/>
  <c r="B2593" i="106" s="1"/>
  <c r="D2593" i="106" s="1"/>
  <c r="H4" i="4"/>
  <c r="F73" i="34"/>
  <c r="G15" i="4"/>
  <c r="B6032" i="106" s="1"/>
  <c r="D6032" i="106" s="1"/>
  <c r="B5906" i="106"/>
  <c r="D5906" i="106" s="1"/>
  <c r="H6" i="4"/>
  <c r="B2656" i="106" s="1"/>
  <c r="D2656" i="106" s="1"/>
  <c r="B3621" i="106"/>
  <c r="D3621" i="106" s="1"/>
  <c r="C367" i="29"/>
  <c r="B3622" i="106" s="1"/>
  <c r="D3622" i="106" s="1"/>
  <c r="K365" i="29"/>
  <c r="K367" i="29" s="1"/>
  <c r="F275" i="5"/>
  <c r="L16" i="11"/>
  <c r="B2061" i="106" s="1"/>
  <c r="D2061" i="106" s="1"/>
  <c r="B7071" i="106"/>
  <c r="D7071" i="106" s="1"/>
  <c r="F66" i="34"/>
  <c r="B1381" i="106"/>
  <c r="D1381" i="106" s="1"/>
  <c r="B1365" i="106"/>
  <c r="D1365" i="106" s="1"/>
  <c r="F65" i="34"/>
  <c r="I151" i="29"/>
  <c r="F59" i="34" s="1"/>
  <c r="F41" i="108"/>
  <c r="G43" i="108" s="1"/>
  <c r="C114" i="29"/>
  <c r="B757" i="106" s="1"/>
  <c r="D757" i="106" s="1"/>
  <c r="B6024" i="106"/>
  <c r="D6024" i="106" s="1"/>
  <c r="G4" i="4"/>
  <c r="B2603" i="106" s="1"/>
  <c r="D2603" i="106" s="1"/>
  <c r="B5356" i="106"/>
  <c r="D5356" i="106" s="1"/>
  <c r="D4" i="4"/>
  <c r="B2564" i="106" s="1"/>
  <c r="D2564" i="106" s="1"/>
  <c r="C6" i="4"/>
  <c r="B2553" i="106" s="1"/>
  <c r="D2553" i="106" s="1"/>
  <c r="D19" i="7"/>
  <c r="B1775" i="106" s="1"/>
  <c r="D1775"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B2655" i="106" l="1"/>
  <c r="D2655" i="106" s="1"/>
  <c r="H8" i="4"/>
  <c r="J17" i="4"/>
  <c r="J19" i="4" s="1"/>
  <c r="B6229" i="106" s="1"/>
  <c r="D6229" i="106" s="1"/>
  <c r="G41" i="108"/>
  <c r="G44" i="108" s="1"/>
  <c r="G45" i="108" s="1"/>
  <c r="E41" i="108"/>
  <c r="E44" i="108" s="1"/>
  <c r="E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4" l="1"/>
  <c r="B2658" i="106"/>
  <c r="D2658" i="106" s="1"/>
  <c r="H10" i="4"/>
  <c r="B4127" i="106" s="1"/>
  <c r="D4127" i="106" s="1"/>
  <c r="J20" i="4"/>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<sst xmlns="http://schemas.openxmlformats.org/spreadsheetml/2006/main" count="5470" uniqueCount="2251">
  <si>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</si>
  <si>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</si>
  <si>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</si>
  <si>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</si>
  <si>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</si>
  <si>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</si>
  <si>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</si>
  <si>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</si>
  <si>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</si>
  <si>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</si>
  <si>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</si>
  <si>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</si>
  <si>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</si>
  <si>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</si>
  <si>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</si>
  <si>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</si>
  <si>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</si>
  <si>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</si>
  <si>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</si>
  <si>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</si>
  <si>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</si>
  <si>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</si>
  <si>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</si>
  <si>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</si>
  <si>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</si>
  <si>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</si>
  <si>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</si>
  <si>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</si>
  <si>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</si>
  <si>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</si>
  <si>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</si>
  <si>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</si>
  <si>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</si>
  <si>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</si>
  <si>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</si>
  <si>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</si>
  <si>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</si>
  <si>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</si>
  <si>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</si>
  <si>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</si>
  <si>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</si>
  <si>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</si>
  <si>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</si>
  <si>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</si>
  <si>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</si>
  <si>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</si>
  <si>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</si>
  <si>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</si>
  <si>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</si>
  <si>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</si>
  <si>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</si>
  <si>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</si>
  <si>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</si>
  <si>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</si>
  <si>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</si>
  <si>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</si>
  <si>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</si>
  <si>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</si>
  <si>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</si>
  <si>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</si>
  <si>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</si>
  <si>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</si>
  <si>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</si>
  <si>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</si>
  <si>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</si>
  <si>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</si>
  <si>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</si>
  <si>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</si>
  <si>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</si>
  <si>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</si>
  <si>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</si>
  <si>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</si>
  <si>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</si>
  <si>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</si>
  <si>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</si>
  <si>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</si>
  <si>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</si>
  <si>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</si>
  <si>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</si>
  <si>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</si>
  <si>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</si>
  <si>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</si>
  <si>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</si>
  <si>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</si>
  <si>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</si>
  <si>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</si>
  <si>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</si>
  <si>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</si>
  <si>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</si>
  <si>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</si>
  <si>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</si>
  <si>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</si>
  <si>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</si>
  <si>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</si>
  <si>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</si>
  <si>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</si>
  <si>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</si>
  <si>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</si>
  <si>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</si>
  <si>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</si>
  <si>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</si>
  <si>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</si>
  <si>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</si>
  <si>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</si>
  <si>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</si>
  <si>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</si>
  <si>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</si>
  <si>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</si>
  <si>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</si>
  <si>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</si>
  <si>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</si>
  <si>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</si>
  <si>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</si>
  <si>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</si>
  <si>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</si>
  <si>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</si>
  <si>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</si>
  <si>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</si>
  <si>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</si>
  <si>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</si>
  <si>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</si>
  <si>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</si>
  <si>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</si>
  <si>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</si>
  <si>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</si>
  <si>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</si>
  <si>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</si>
  <si>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</si>
  <si>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</si>
  <si>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</si>
  <si>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</si>
  <si>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</si>
  <si>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</si>
  <si>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</si>
  <si>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</si>
  <si>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</si>
  <si>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</si>
  <si>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</si>
  <si>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</si>
  <si>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</si>
  <si>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</si>
  <si>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</si>
  <si>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</si>
  <si>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</si>
  <si>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</si>
  <si>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</si>
  <si>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</si>
  <si>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</si>
  <si>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</si>
  <si>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</si>
  <si>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</si>
  <si>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</si>
  <si>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</si>
  <si>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</si>
  <si>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</si>
  <si>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</si>
  <si>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</si>
  <si>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</si>
  <si>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</si>
  <si>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</si>
  <si>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</si>
  <si>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</si>
  <si>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</si>
  <si>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</si>
  <si>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</si>
  <si>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</si>
  <si>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</si>
  <si>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</si>
  <si>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</si>
  <si>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</si>
  <si>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</si>
  <si>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</si>
  <si>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</si>
  <si>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</si>
  <si>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</si>
  <si>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</si>
  <si>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</si>
  <si>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</si>
  <si>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</si>
  <si>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</si>
  <si>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</si>
  <si>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</si>
  <si>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</si>
  <si>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</si>
  <si>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</si>
  <si>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</si>
  <si>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</si>
  <si>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</si>
  <si>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</si>
  <si>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</si>
  <si>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</si>
  <si>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</si>
  <si>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</si>
  <si>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</si>
  <si>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</si>
  <si>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</si>
  <si>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</si>
  <si>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</si>
  <si>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</si>
  <si>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</si>
  <si>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</si>
  <si>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</si>
  <si>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</si>
  <si>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</si>
  <si>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</si>
  <si>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</si>
  <si>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</si>
  <si>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</si>
  <si>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</si>
  <si>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</si>
  <si>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</si>
  <si>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</si>
  <si>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</si>
  <si>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</si>
  <si>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</si>
  <si>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</si>
  <si>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</si>
  <si>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</si>
  <si>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</si>
  <si>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</si>
  <si>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</si>
  <si>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</si>
  <si>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</si>
  <si>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</si>
  <si>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</si>
  <si>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</si>
  <si>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</si>
  <si>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</si>
  <si>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</si>
  <si>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</si>
  <si>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</si>
  <si>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</si>
  <si>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</si>
  <si>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</si>
  <si>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</si>
  <si>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</si>
  <si>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</si>
  <si>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</si>
  <si>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</si>
  <si>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</si>
  <si>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</si>
  <si>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</si>
  <si>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</si>
  <si>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</si>
  <si>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</si>
  <si>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</si>
  <si>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</si>
  <si>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</si>
  <si>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</si>
  <si>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</si>
  <si>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</si>
  <si>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</si>
  <si>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</si>
  <si>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</si>
  <si>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</si>
  <si>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</si>
  <si>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</si>
  <si>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</si>
  <si>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</si>
  <si>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</si>
  <si>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</si>
  <si>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</si>
  <si>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</si>
  <si>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</si>
  <si>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</si>
  <si>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</si>
  <si>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</si>
  <si>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</si>
  <si>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</si>
  <si>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</si>
  <si>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</si>
  <si>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</si>
  <si>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</si>
  <si>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</si>
  <si>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</si>
  <si>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</si>
  <si>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</si>
  <si>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</si>
  <si>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</si>
  <si>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</si>
  <si>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</si>
  <si>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</si>
  <si>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</si>
  <si>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</si>
  <si>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</si>
  <si>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</si>
  <si>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</si>
  <si>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</si>
  <si>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</si>
  <si>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</si>
  <si>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</si>
  <si>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</si>
  <si>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</si>
  <si>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</si>
  <si>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</si>
  <si>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</si>
  <si>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</si>
  <si>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</si>
  <si>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</si>
  <si>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</si>
  <si>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</si>
  <si>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</si>
  <si>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</si>
  <si>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</si>
  <si>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</si>
  <si>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</si>
  <si>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</si>
  <si>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</si>
  <si>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</si>
  <si>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</si>
  <si>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</si>
  <si>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</si>
  <si>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</si>
  <si>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</si>
  <si>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</si>
  <si>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</si>
  <si>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</si>
  <si>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</si>
  <si>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</si>
  <si>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</si>
  <si>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</si>
  <si>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</si>
  <si>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</si>
  <si>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</si>
  <si>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</si>
  <si>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</si>
  <si>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</si>
  <si>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</si>
  <si>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</si>
  <si>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</si>
  <si>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</si>
  <si>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</si>
  <si>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</si>
  <si>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</si>
  <si>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</si>
  <si>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</si>
  <si>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</si>
  <si>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</si>
  <si>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</si>
  <si>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</si>
  <si>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</si>
  <si>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</si>
  <si>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</si>
  <si>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</si>
  <si>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</si>
  <si>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</si>
  <si>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</si>
  <si>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</si>
  <si>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</si>
  <si>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</si>
  <si>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</si>
  <si>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</si>
  <si>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</si>
  <si>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</si>
  <si>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</si>
  <si>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</si>
  <si>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</si>
  <si>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</si>
  <si>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</si>
  <si>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</si>
  <si>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</si>
  <si>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</si>
  <si>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</si>
  <si>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</si>
  <si>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</si>
  <si>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</si>
  <si>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</si>
  <si>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</si>
  <si>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</si>
  <si>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</si>
  <si>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</si>
  <si>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</si>
  <si>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</si>
  <si>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</si>
  <si>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</si>
  <si>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</si>
  <si>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</si>
  <si>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</si>
  <si>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</si>
  <si>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</si>
  <si>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</si>
  <si>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</si>
  <si>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</si>
  <si>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</si>
  <si>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</si>
  <si>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</si>
  <si>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</si>
  <si>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</si>
  <si>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</si>
  <si>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</si>
  <si>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</si>
  <si>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</si>
  <si>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</si>
  <si>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</si>
  <si>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</si>
  <si>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</si>
  <si>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</si>
  <si>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</si>
  <si>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</si>
  <si>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</si>
  <si>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</si>
  <si>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</si>
  <si>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</si>
  <si>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</si>
  <si>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</si>
  <si>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</si>
  <si>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</si>
  <si>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</si>
  <si>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</si>
  <si>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</si>
  <si>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</si>
  <si>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</si>
  <si>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</si>
  <si>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</si>
  <si>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</si>
  <si>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</si>
  <si>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</si>
  <si>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</si>
  <si>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</si>
  <si>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</si>
  <si>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</si>
  <si>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</si>
  <si>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</si>
  <si>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</si>
  <si>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</si>
  <si>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</si>
  <si>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</si>
  <si>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</si>
  <si>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</si>
  <si>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</si>
  <si>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</si>
  <si>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</si>
  <si>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</si>
  <si>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</si>
  <si>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</si>
  <si>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</si>
  <si>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</si>
  <si>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</si>
  <si>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</si>
  <si>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</si>
  <si>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</si>
  <si>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</si>
  <si>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</si>
  <si>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</si>
  <si>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</si>
  <si>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</si>
  <si>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</si>
  <si>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</si>
  <si>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</si>
  <si>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</si>
  <si>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</si>
  <si>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</si>
  <si>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</si>
  <si>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</si>
  <si>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</si>
  <si>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</si>
  <si>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</si>
  <si>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</si>
  <si>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</si>
  <si>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</si>
  <si>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</si>
  <si>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</si>
  <si>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</si>
  <si>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</si>
  <si>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</si>
  <si>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</si>
  <si>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</si>
  <si>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</si>
  <si>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</si>
  <si>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</si>
  <si>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</si>
  <si>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</si>
  <si>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</si>
  <si>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</si>
  <si>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</si>
  <si>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</si>
  <si>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</si>
  <si>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</si>
  <si>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</si>
  <si>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</si>
  <si>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</si>
  <si>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</si>
  <si>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</si>
  <si>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</si>
  <si>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</si>
  <si>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</si>
  <si>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</si>
  <si>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</si>
  <si>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</si>
  <si>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</si>
  <si>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</si>
  <si>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</si>
  <si>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</si>
  <si>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</si>
  <si>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</si>
  <si>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</si>
  <si>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</si>
  <si>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</si>
  <si>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</si>
  <si>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</si>
  <si>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</si>
  <si>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</si>
  <si>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</si>
  <si>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</si>
  <si>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</si>
  <si>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</si>
  <si>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</si>
  <si>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</si>
  <si>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</si>
  <si>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</si>
  <si>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</si>
  <si>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</si>
  <si>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</si>
  <si>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</si>
  <si>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</si>
  <si>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</si>
  <si>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</si>
  <si>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</si>
  <si>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</si>
  <si>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</si>
  <si>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</si>
  <si>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</si>
  <si>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</si>
  <si>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</si>
  <si>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</si>
  <si>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</si>
  <si>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</si>
  <si>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</si>
  <si>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</si>
  <si>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</si>
  <si>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</si>
  <si>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</si>
  <si>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</si>
  <si>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</si>
  <si>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</si>
  <si>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</si>
  <si>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</si>
  <si>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</si>
  <si>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</si>
  <si>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</si>
  <si>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</si>
  <si>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</si>
  <si>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</si>
  <si>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</si>
  <si>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</si>
  <si>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</si>
  <si>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</si>
  <si>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</si>
  <si>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</si>
  <si>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</si>
  <si>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</si>
  <si>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</si>
  <si>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</si>
  <si>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</si>
  <si>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</si>
  <si>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</si>
  <si>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</si>
  <si>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</si>
  <si>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</si>
  <si>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</si>
  <si>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</si>
  <si>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</si>
  <si>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</si>
  <si>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</si>
  <si>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</si>
  <si>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</si>
  <si>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</si>
  <si>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</si>
  <si>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</si>
  <si>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</si>
  <si>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</si>
  <si>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</si>
  <si>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</si>
  <si>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</si>
  <si>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</si>
  <si>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</si>
  <si>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</si>
  <si>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</si>
  <si>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</si>
  <si>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</si>
  <si>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</si>
  <si>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</si>
  <si>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</si>
  <si>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</si>
  <si>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</si>
  <si>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</si>
  <si>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</si>
  <si>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</si>
  <si>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</si>
  <si>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</si>
  <si>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</si>
  <si>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</si>
  <si>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</si>
  <si>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</si>
  <si>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</si>
  <si>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</si>
  <si>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</si>
  <si>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</si>
  <si>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</si>
  <si>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</si>
  <si>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</si>
  <si>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</si>
  <si>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</si>
  <si>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</si>
  <si>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</si>
  <si>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</si>
  <si>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</si>
  <si>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</si>
  <si>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</si>
  <si>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</si>
  <si>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</si>
  <si>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</si>
  <si>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</si>
  <si>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</si>
  <si>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</si>
  <si>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</si>
  <si>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</si>
  <si>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</si>
  <si>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</si>
  <si>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</si>
  <si>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</si>
  <si>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</si>
  <si>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</si>
  <si>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</si>
  <si>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</si>
  <si>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</si>
  <si>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</si>
  <si>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</si>
  <si>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</si>
  <si>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</si>
  <si>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</si>
  <si>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</si>
  <si>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</si>
  <si>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</si>
  <si>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</si>
  <si>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</si>
  <si>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</si>
  <si>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</si>
  <si>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</si>
  <si>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</si>
  <si>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</si>
  <si>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</si>
  <si>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</si>
  <si>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</si>
  <si>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</si>
  <si>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</si>
  <si>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</si>
  <si>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</si>
  <si>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</si>
  <si>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</si>
  <si>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</si>
  <si>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</si>
  <si>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</si>
  <si>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</si>
  <si>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</si>
  <si>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</si>
  <si>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</si>
  <si>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</si>
  <si>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</si>
  <si>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</si>
  <si>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</si>
  <si>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</si>
  <si>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</si>
  <si>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</si>
  <si>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</si>
  <si>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</si>
  <si>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</si>
  <si>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</si>
  <si>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</si>
  <si>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</si>
  <si>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</si>
  <si>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</si>
  <si>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</si>
  <si>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</si>
  <si>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</si>
  <si>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</si>
  <si>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</si>
  <si>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</si>
  <si>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</si>
  <si>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</si>
  <si>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</si>
  <si>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</si>
  <si>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</si>
  <si>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</si>
  <si>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</si>
  <si>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</si>
  <si>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</si>
  <si>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</si>
  <si>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</si>
  <si>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</si>
  <si>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</si>
  <si>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</si>
  <si>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</si>
  <si>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</si>
  <si>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</si>
  <si>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</si>
  <si>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</si>
  <si>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</si>
  <si>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</si>
  <si>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</si>
  <si>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</si>
  <si>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</si>
  <si>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</si>
  <si>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</si>
  <si>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</si>
  <si>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</si>
  <si>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</si>
  <si>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</si>
  <si>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</si>
  <si>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</si>
  <si>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</si>
  <si>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</si>
  <si>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</si>
  <si>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</si>
  <si>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</si>
  <si>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</si>
  <si>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</si>
  <si>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</si>
  <si>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</si>
  <si>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</si>
  <si>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</si>
  <si>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</si>
  <si>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</si>
  <si>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</si>
  <si>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</si>
  <si>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</si>
  <si>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</si>
  <si>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</si>
  <si>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</si>
  <si>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</si>
  <si>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</si>
  <si>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</si>
  <si>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</si>
  <si>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</si>
  <si>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</si>
  <si>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</si>
  <si>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</si>
  <si>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</si>
  <si>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</si>
  <si>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</si>
  <si>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</si>
  <si>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</si>
  <si>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</si>
  <si>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</si>
  <si>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</si>
  <si>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</si>
  <si>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</si>
  <si>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</si>
  <si>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</si>
  <si>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</si>
  <si>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</si>
  <si>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</si>
  <si>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</si>
  <si>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</si>
  <si>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</si>
  <si>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</si>
  <si>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</si>
  <si>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</si>
  <si>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</si>
  <si>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</si>
  <si>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</si>
  <si>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</si>
  <si>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</si>
  <si>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</si>
  <si>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</si>
  <si>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</si>
  <si>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</si>
  <si>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</si>
  <si>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</si>
  <si>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</si>
  <si>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</si>
  <si>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</si>
  <si>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</si>
  <si>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</si>
  <si>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</si>
  <si>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</si>
  <si>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</si>
  <si>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</si>
  <si>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</si>
  <si>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</si>
  <si>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</si>
  <si>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</si>
  <si>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</si>
  <si>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</si>
  <si>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</si>
  <si>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</si>
  <si>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</si>
  <si>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</si>
  <si>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</si>
  <si>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</si>
  <si>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</si>
  <si>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</si>
  <si>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</si>
  <si>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</si>
  <si>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</si>
  <si>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</si>
  <si>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</si>
  <si>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</si>
  <si>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</si>
  <si>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</si>
  <si>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</si>
  <si>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</si>
  <si>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</si>
  <si>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</si>
  <si>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</si>
  <si>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</si>
  <si>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</si>
  <si>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</si>
  <si>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</si>
  <si>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</si>
  <si>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</si>
  <si>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</si>
  <si>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</si>
  <si>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</si>
  <si>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</si>
  <si>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</si>
  <si>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</si>
  <si>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</si>
  <si>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</si>
  <si>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</si>
  <si>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</si>
  <si>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</si>
  <si>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</si>
  <si>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</si>
  <si>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</si>
  <si>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</si>
  <si>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</si>
  <si>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</si>
  <si>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</si>
  <si>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</si>
  <si>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</si>
  <si>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</si>
  <si>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</si>
  <si>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</si>
  <si>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</si>
  <si>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</si>
  <si>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</si>
  <si>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</si>
  <si>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</si>
  <si>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</si>
  <si>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</si>
  <si>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</si>
  <si>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</si>
  <si>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</si>
  <si>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</si>
  <si>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</si>
  <si>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</si>
  <si>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</si>
  <si>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</si>
  <si>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</si>
  <si>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</si>
  <si>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</si>
  <si>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</si>
  <si>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</si>
  <si>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</si>
  <si>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</si>
  <si>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</si>
  <si>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</si>
  <si>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</si>
  <si>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</si>
  <si>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</si>
  <si>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</si>
  <si>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</si>
  <si>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</si>
  <si>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</si>
  <si>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</si>
  <si>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</si>
  <si>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</si>
  <si>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</si>
  <si>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</si>
  <si>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</si>
  <si>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</si>
  <si>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</si>
  <si>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</si>
  <si>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</si>
  <si>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</si>
  <si>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</si>
  <si>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</si>
  <si>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</si>
  <si>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</si>
  <si>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</si>
  <si>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</si>
  <si>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</si>
  <si>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</si>
  <si>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</si>
  <si>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</si>
  <si>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</si>
  <si>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</si>
  <si>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</si>
  <si>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</si>
  <si>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</si>
  <si>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</si>
  <si>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</si>
  <si>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</si>
  <si>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</si>
  <si>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</si>
  <si>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</si>
  <si>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</si>
  <si>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</si>
  <si>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</si>
  <si>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</si>
  <si>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</si>
  <si>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</si>
  <si>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</si>
  <si>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</si>
  <si>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</si>
  <si>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</si>
  <si>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</si>
  <si>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</si>
  <si>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</si>
  <si>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</si>
  <si>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</si>
  <si>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</si>
  <si>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</si>
  <si>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</si>
  <si>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</si>
  <si>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</si>
  <si>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</si>
  <si>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</si>
  <si>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</si>
  <si>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</si>
  <si>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</si>
  <si>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</si>
  <si>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</si>
  <si>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</si>
  <si>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</si>
  <si>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</si>
  <si>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</si>
  <si>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</si>
  <si>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</si>
  <si>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</si>
  <si>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</si>
  <si>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</si>
  <si>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</si>
  <si>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</si>
  <si>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</si>
  <si>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</si>
  <si>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</si>
  <si>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</si>
  <si>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</si>
  <si>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</si>
  <si>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</si>
  <si>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</si>
  <si>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</si>
  <si>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</si>
  <si>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</si>
  <si>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</si>
  <si>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</si>
  <si>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</si>
  <si>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</si>
  <si>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</si>
  <si>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</si>
  <si>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</si>
  <si>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</si>
  <si>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</si>
  <si>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</si>
  <si>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</si>
  <si>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</si>
  <si>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</si>
  <si>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</si>
  <si>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</si>
  <si>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</si>
  <si>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</si>
  <si>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</si>
  <si>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</si>
  <si>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</si>
  <si>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</si>
  <si>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</si>
  <si>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</si>
  <si>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</si>
  <si>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</si>
  <si>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</si>
  <si>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</si>
  <si>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</si>
  <si>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</si>
  <si>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</si>
  <si>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</si>
  <si>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</si>
  <si>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</si>
  <si>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</si>
  <si>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</si>
  <si>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</si>
  <si>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</si>
  <si>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</si>
  <si>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</si>
  <si>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</si>
  <si>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</si>
  <si>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</si>
  <si>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</si>
  <si>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</si>
  <si>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</si>
  <si>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</si>
  <si>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</si>
  <si>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</si>
  <si>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</si>
  <si>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</si>
  <si>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</si>
  <si>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</si>
  <si>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</si>
  <si>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</si>
  <si>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</si>
  <si>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</si>
  <si>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</si>
  <si>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</si>
  <si>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</si>
  <si>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</si>
  <si>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</si>
  <si>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</si>
  <si>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</si>
  <si>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</si>
  <si>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</si>
  <si>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</si>
  <si>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</si>
  <si>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</si>
  <si>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</si>
  <si>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</si>
  <si>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</si>
  <si>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</si>
  <si>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</si>
  <si>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</si>
  <si>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</si>
  <si>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</si>
  <si>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</si>
  <si>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</si>
  <si>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</si>
  <si>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</si>
  <si>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</si>
  <si>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</si>
  <si>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</si>
  <si>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</si>
  <si>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</si>
  <si>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</si>
  <si>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</si>
  <si>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</si>
  <si>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</si>
  <si>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</si>
  <si>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</si>
  <si>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</si>
  <si>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</si>
  <si>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</si>
  <si>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</si>
  <si>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</si>
  <si>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</si>
  <si>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</si>
  <si>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</si>
  <si>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</si>
  <si>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</si>
  <si>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</si>
  <si>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</si>
  <si>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</si>
  <si>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</si>
  <si>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</si>
  <si>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</si>
  <si>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</si>
  <si>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</si>
  <si>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</si>
  <si>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</si>
  <si>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</si>
  <si>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</si>
  <si>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</si>
  <si>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</si>
  <si>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</si>
  <si>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</si>
  <si>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</si>
  <si>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</si>
  <si>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</si>
  <si>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</si>
  <si>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</si>
  <si>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</si>
  <si>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</si>
  <si>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</si>
  <si>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</si>
  <si>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</si>
  <si>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</si>
  <si>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</si>
  <si>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</si>
  <si>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</si>
  <si>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</si>
  <si>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</si>
  <si>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</si>
  <si>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</si>
  <si>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</si>
  <si>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</si>
  <si>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</si>
  <si>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</si>
  <si>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</si>
  <si>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</si>
  <si>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</si>
  <si>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</si>
  <si>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</si>
  <si>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</si>
  <si>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</si>
  <si>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</si>
  <si>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</si>
  <si>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</si>
  <si>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</si>
  <si>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</si>
  <si>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</si>
  <si>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</si>
  <si>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</si>
  <si>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</si>
  <si>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</si>
  <si>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</si>
  <si>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</si>
  <si>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</si>
  <si>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</si>
  <si>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</si>
  <si>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</si>
  <si>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</si>
  <si>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</si>
  <si>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</si>
  <si>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</si>
  <si>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</si>
  <si>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</si>
  <si>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</si>
  <si>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</si>
  <si>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</si>
  <si>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</si>
  <si>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</si>
  <si>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</si>
  <si>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</si>
  <si>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</si>
  <si>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</si>
  <si>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</si>
  <si>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</si>
  <si>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</si>
  <si>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</si>
  <si>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</si>
  <si>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</si>
  <si>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</si>
  <si>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</si>
  <si>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</si>
  <si>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</si>
  <si>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</si>
  <si>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</si>
  <si>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</si>
  <si>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</si>
  <si>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</si>
  <si>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</si>
  <si>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</si>
  <si>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</si>
  <si>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</si>
  <si>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</si>
  <si>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</si>
  <si>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</si>
  <si>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</si>
  <si>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</si>
  <si>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</si>
  <si>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</si>
  <si>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</si>
  <si>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</si>
  <si>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</si>
  <si>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</si>
  <si>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</si>
  <si>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</si>
  <si>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</si>
  <si>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</si>
  <si>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</si>
  <si>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</si>
  <si>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</si>
  <si>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</si>
  <si>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</si>
  <si>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</si>
  <si>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</si>
  <si>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</si>
  <si>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</si>
  <si>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</si>
  <si>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</si>
  <si>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</si>
  <si>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</si>
  <si>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</si>
  <si>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</si>
  <si>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</si>
  <si>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</si>
  <si>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</si>
  <si>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</si>
  <si>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</si>
  <si>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</si>
  <si>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</si>
  <si>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</si>
  <si>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</si>
  <si>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</si>
  <si>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</si>
  <si>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</si>
  <si>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</si>
  <si>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</si>
  <si>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</si>
  <si>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</si>
  <si>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</si>
  <si>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</si>
  <si>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</si>
  <si>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</si>
  <si>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</si>
  <si>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</si>
  <si>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</si>
  <si>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</si>
  <si>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</si>
  <si>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</si>
  <si>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</si>
  <si>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</si>
  <si>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</si>
  <si>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</si>
  <si>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</si>
  <si>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</si>
  <si>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</si>
  <si>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</si>
  <si>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</si>
  <si>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</si>
  <si>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</si>
  <si>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</si>
  <si>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</si>
  <si>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</si>
  <si>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</si>
  <si>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</si>
  <si>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</si>
  <si>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</si>
  <si>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</si>
  <si>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</si>
  <si>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</si>
  <si>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</si>
  <si>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</si>
  <si>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</si>
  <si>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</si>
  <si>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</si>
  <si>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</si>
  <si>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</si>
  <si>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</si>
  <si>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</si>
  <si>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</si>
  <si>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</si>
  <si>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</si>
  <si>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</si>
  <si>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</si>
  <si>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</si>
  <si>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</si>
  <si>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</si>
  <si>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</si>
  <si>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</si>
  <si>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</si>
  <si>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</si>
  <si>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</si>
  <si>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</si>
  <si>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</si>
  <si>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</si>
  <si>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</si>
  <si>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</si>
  <si>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</si>
  <si>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</si>
  <si>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</si>
  <si>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</si>
  <si>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</si>
  <si>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</si>
  <si>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</si>
  <si>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</si>
  <si>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</si>
  <si>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</si>
  <si>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</si>
  <si>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</si>
  <si>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</si>
  <si>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</si>
  <si>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</si>
  <si>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</si>
  <si>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</si>
  <si>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</si>
  <si>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</si>
  <si>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</si>
  <si>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</si>
  <si>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</si>
  <si>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</si>
  <si>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</si>
  <si>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</si>
  <si>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</si>
  <si>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</si>
  <si>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</si>
  <si>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</si>
  <si>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</si>
  <si>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</si>
  <si>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</si>
  <si>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</si>
  <si>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</si>
  <si>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</si>
  <si>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</si>
  <si>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</si>
  <si>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</si>
  <si>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</si>
  <si>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</si>
  <si>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</si>
  <si>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</si>
  <si>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</si>
  <si>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</si>
  <si>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</si>
  <si>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</si>
  <si>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</si>
  <si>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</si>
  <si>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</si>
  <si>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</si>
  <si>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</si>
  <si>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</si>
  <si>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</si>
  <si>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</si>
  <si>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</si>
  <si>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</si>
  <si>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</si>
  <si>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</si>
  <si>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</si>
  <si>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</si>
  <si>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</si>
  <si>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</si>
  <si>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</si>
  <si>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</si>
  <si>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</si>
  <si>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</si>
  <si>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</si>
  <si>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</si>
  <si>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</si>
  <si>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</si>
  <si>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</si>
  <si>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</si>
  <si>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</si>
  <si>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</si>
  <si>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</si>
  <si>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</si>
  <si>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</si>
  <si>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</si>
  <si>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</si>
  <si>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</si>
  <si>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</si>
  <si>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</si>
  <si>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</si>
  <si>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</si>
  <si>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</si>
  <si>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</si>
  <si>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</si>
  <si>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</si>
  <si>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</si>
  <si>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</si>
  <si>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</si>
  <si>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</si>
  <si>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</si>
  <si>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</si>
  <si>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</si>
  <si>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</si>
  <si>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</si>
  <si>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</si>
  <si>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</si>
  <si>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</si>
  <si>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</si>
  <si>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</si>
  <si>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</si>
  <si>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</si>
  <si>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</si>
  <si>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</si>
  <si>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</si>
  <si>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</si>
  <si>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</si>
  <si>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</si>
  <si>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</si>
  <si>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</si>
  <si>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</si>
  <si>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</si>
  <si>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</si>
  <si>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</si>
  <si>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</si>
  <si>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</si>
  <si>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</si>
  <si>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</si>
  <si>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</si>
  <si>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</si>
  <si>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</si>
  <si>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</si>
  <si>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</si>
  <si>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</si>
  <si>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</si>
  <si>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</si>
  <si>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</si>
  <si>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</si>
  <si>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</si>
  <si>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</si>
  <si>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</si>
  <si>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</si>
  <si>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</si>
  <si>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</si>
  <si>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</si>
  <si>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</si>
  <si>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</si>
  <si>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</si>
  <si>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</si>
  <si>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</si>
  <si>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</si>
  <si>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</si>
  <si>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</si>
  <si>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</si>
  <si>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</si>
  <si>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</si>
  <si>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</si>
  <si>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</si>
  <si>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</si>
  <si>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</si>
  <si>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</si>
  <si>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</si>
  <si>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</si>
  <si>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</si>
  <si>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</si>
  <si>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</si>
  <si>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</si>
  <si>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</si>
  <si>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</si>
  <si>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</si>
  <si>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</si>
  <si>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</si>
  <si>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</si>
  <si>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</si>
  <si>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</si>
  <si>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</si>
  <si>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</si>
  <si>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</si>
  <si>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</si>
  <si>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</si>
  <si>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</si>
  <si>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</si>
  <si>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</si>
  <si>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</si>
  <si>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</si>
  <si>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</si>
  <si>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</si>
  <si>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</si>
  <si>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</si>
  <si>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</si>
  <si>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</si>
  <si>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</si>
  <si>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</si>
  <si>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</si>
  <si>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</si>
  <si>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</si>
  <si>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</si>
  <si>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</si>
  <si>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</si>
  <si>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</si>
  <si>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</si>
  <si>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</si>
  <si>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</si>
  <si>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</si>
  <si>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</si>
  <si>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</si>
  <si>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</si>
  <si>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</si>
  <si>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</si>
  <si>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</si>
  <si>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</si>
  <si>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</si>
  <si>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</si>
  <si>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</si>
  <si>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</si>
  <si>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</si>
  <si>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</si>
  <si>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</si>
  <si>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</si>
  <si>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</si>
  <si>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</si>
  <si>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</si>
  <si>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</si>
  <si>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</si>
  <si>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</si>
  <si>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</si>
  <si>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</si>
  <si>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</si>
  <si>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</si>
  <si>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</si>
  <si>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</si>
  <si>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</si>
  <si>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</si>
  <si>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</si>
  <si>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</si>
  <si>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</si>
  <si>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</si>
  <si>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</si>
  <si>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</si>
  <si>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</si>
  <si>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</si>
  <si>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</si>
  <si>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</si>
  <si>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</si>
  <si>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</si>
  <si>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</si>
  <si>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</si>
  <si>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</si>
  <si>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</si>
  <si>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</si>
  <si>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</si>
  <si>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</si>
  <si>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</si>
  <si>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</si>
  <si>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</si>
  <si>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</si>
  <si>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</si>
  <si>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</si>
  <si>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</si>
  <si>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</si>
  <si>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</si>
  <si>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</si>
  <si>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</si>
  <si>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</si>
  <si>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</si>
  <si>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</si>
  <si>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</si>
  <si>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</si>
  <si>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</si>
  <si>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</si>
  <si>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</si>
  <si>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</si>
  <si>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</si>
  <si>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</si>
  <si>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</si>
  <si>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</si>
  <si>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</si>
  <si>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</si>
  <si>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</si>
  <si>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</si>
  <si>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</si>
  <si>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</si>
  <si>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</si>
  <si>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</si>
  <si>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</si>
  <si>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</si>
  <si>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</si>
  <si>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</si>
  <si>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</si>
  <si>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</si>
  <si>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</si>
  <si>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</si>
  <si>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</si>
  <si>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</si>
  <si>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</si>
  <si>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</si>
  <si>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</si>
  <si>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</si>
  <si>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</si>
  <si>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</si>
  <si>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</si>
  <si>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</si>
  <si>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</si>
  <si>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</si>
  <si>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</si>
  <si>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</si>
  <si>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</si>
  <si>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</si>
  <si>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</si>
  <si>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</si>
  <si>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</si>
  <si>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</si>
  <si>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</si>
  <si>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</si>
  <si>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</si>
  <si>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</si>
  <si>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</si>
  <si>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</si>
  <si>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</si>
  <si>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</si>
  <si>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</si>
  <si>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</si>
  <si>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</si>
  <si>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</si>
  <si>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</si>
  <si>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</si>
  <si>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</si>
  <si>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</si>
  <si>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</si>
  <si>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</si>
  <si>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</si>
  <si>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</si>
  <si>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</si>
  <si>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</si>
  <si>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</si>
  <si>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</si>
  <si>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</si>
  <si>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</si>
  <si>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</si>
  <si>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</si>
  <si>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</si>
  <si>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</si>
  <si>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</si>
  <si>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</si>
  <si>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</si>
  <si>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</si>
  <si>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</si>
  <si>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</si>
  <si>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</si>
  <si>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</si>
  <si>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</si>
  <si>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</si>
  <si>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</si>
  <si>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</si>
  <si>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</si>
  <si>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</si>
  <si>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</si>
  <si>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</si>
  <si>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</si>
  <si>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</si>
  <si>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</si>
  <si>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</si>
  <si>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</si>
  <si>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</si>
  <si>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</si>
  <si>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</si>
  <si>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</si>
  <si>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</si>
  <si>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</si>
  <si>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</si>
  <si>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</si>
  <si>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</si>
  <si>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</si>
  <si>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</si>
  <si>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</si>
  <si>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</si>
  <si>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</si>
  <si>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</si>
  <si>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</si>
  <si>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</si>
  <si>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</si>
  <si>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</si>
  <si>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</si>
  <si>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</si>
  <si>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</si>
  <si>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</si>
  <si>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</si>
  <si>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</si>
  <si>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</si>
  <si>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</si>
  <si>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</si>
  <si>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</si>
  <si>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</si>
  <si>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</si>
  <si>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</si>
  <si>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</si>
  <si>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</si>
  <si>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</si>
  <si>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</si>
  <si>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</si>
  <si>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</si>
  <si>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</si>
  <si>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</si>
  <si>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</si>
  <si>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</si>
  <si>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</si>
  <si>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</si>
  <si>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</si>
  <si>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</si>
  <si>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</si>
  <si>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</si>
  <si>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</si>
  <si>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</si>
  <si>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</si>
  <si>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</si>
  <si>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</si>
  <si>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</si>
  <si>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</si>
  <si>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</si>
  <si>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</si>
  <si>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</si>
  <si>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</si>
  <si>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</si>
  <si>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</si>
  <si>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</si>
  <si>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</si>
  <si>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</si>
  <si>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</si>
  <si>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</si>
  <si>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</si>
  <si>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</si>
  <si>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</si>
  <si>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</si>
  <si>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</si>
  <si>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</si>
  <si>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</si>
  <si>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</si>
  <si>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</si>
  <si>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</si>
  <si>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</si>
  <si>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</si>
  <si>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</si>
  <si>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</si>
  <si>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</si>
  <si>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</si>
  <si>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</si>
  <si>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</si>
  <si>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</si>
  <si>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</si>
  <si>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</si>
  <si>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</si>
  <si>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</si>
  <si>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</si>
  <si>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</si>
  <si>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</si>
  <si>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</si>
  <si>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</si>
  <si>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</si>
  <si>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</si>
  <si>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</si>
  <si>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</si>
  <si>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</si>
  <si>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</si>
  <si>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</si>
  <si>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</si>
  <si>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</si>
  <si>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</si>
  <si>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</si>
  <si>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</si>
  <si>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</si>
  <si>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</si>
  <si>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</si>
  <si>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</si>
  <si>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</si>
  <si>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</si>
  <si>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</si>
  <si>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</si>
  <si>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</si>
  <si>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</si>
  <si>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</si>
  <si>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</si>
  <si>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</si>
  <si>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</si>
  <si>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</si>
  <si>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</si>
  <si>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</si>
  <si>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</si>
  <si>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</si>
  <si>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</si>
  <si>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</si>
  <si>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</si>
  <si>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</si>
  <si>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</si>
  <si>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</si>
  <si>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</si>
  <si>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</si>
  <si>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</si>
  <si>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</si>
  <si>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</si>
  <si>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</si>
  <si>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</si>
  <si>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</si>
  <si>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</si>
  <si>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</si>
  <si>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</si>
  <si>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</si>
  <si>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</si>
  <si>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</si>
  <si>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</si>
  <si>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</si>
  <si>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</si>
  <si>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</si>
  <si>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</si>
  <si>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</si>
  <si>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</si>
  <si>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</si>
  <si>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</si>
  <si>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</si>
  <si>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</si>
  <si>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</si>
  <si>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</si>
  <si>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</si>
  <si>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</si>
  <si>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</si>
  <si>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</si>
  <si>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</si>
  <si>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</si>
  <si>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</si>
  <si>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</si>
  <si>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</si>
  <si>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</si>
  <si>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</si>
  <si>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</si>
  <si>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</si>
  <si>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</si>
  <si>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</si>
  <si>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</si>
  <si>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</si>
  <si>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</si>
  <si>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</si>
  <si>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</si>
  <si>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</si>
  <si>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</si>
  <si>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</si>
  <si>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</si>
  <si>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</si>
  <si>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</si>
  <si>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</si>
  <si>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</si>
  <si>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</si>
  <si>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</si>
  <si>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</si>
  <si>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</si>
  <si>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</si>
  <si>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</si>
  <si>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</si>
  <si>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</si>
  <si>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</si>
  <si>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</si>
  <si>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</si>
  <si>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</si>
  <si>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</si>
  <si>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</si>
  <si>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</si>
  <si>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</si>
  <si>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</si>
  <si>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</si>
  <si>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</si>
  <si>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</si>
  <si>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</si>
  <si>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</si>
  <si>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</si>
  <si>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</si>
  <si>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</si>
  <si>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</si>
  <si>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</si>
  <si>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</si>
  <si>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</si>
  <si>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</si>
  <si>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</si>
  <si>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</si>
  <si>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</si>
  <si>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</si>
  <si>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</si>
  <si>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</si>
  <si>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</si>
  <si>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</si>
  <si>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</si>
  <si>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</si>
  <si>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</si>
  <si>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</si>
  <si>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</si>
  <si>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</si>
  <si>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</si>
  <si>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</si>
  <si>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</si>
  <si>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</si>
  <si>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</si>
  <si>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</si>
  <si>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</si>
  <si>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</si>
  <si>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</si>
  <si>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</si>
  <si>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</si>
  <si>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</si>
  <si>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</si>
  <si>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</si>
  <si>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</si>
  <si>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</si>
  <si>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</si>
  <si>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</si>
  <si>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</si>
  <si>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</si>
  <si>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</si>
  <si>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</si>
  <si>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</si>
  <si>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</si>
  <si>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</si>
  <si>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</si>
  <si>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</si>
  <si>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</si>
  <si>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</si>
  <si>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</si>
  <si>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</si>
  <si>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</si>
  <si>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</si>
  <si>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</si>
  <si>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</si>
  <si>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</si>
  <si>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</si>
  <si>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</si>
  <si>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</si>
  <si>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</si>
  <si>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</si>
  <si>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</si>
  <si>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</si>
  <si>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</si>
  <si>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</si>
  <si>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</si>
  <si>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</si>
  <si>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</si>
  <si>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</si>
  <si>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</si>
  <si>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</si>
  <si>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</si>
  <si>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</si>
  <si>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</si>
  <si>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</si>
  <si>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</si>
  <si>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</si>
  <si>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</si>
  <si>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</si>
  <si>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</si>
  <si>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</si>
  <si>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</si>
  <si>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</si>
  <si>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</si>
  <si>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</si>
  <si>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</si>
  <si>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</si>
  <si>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</si>
  <si>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</si>
  <si>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</si>
  <si>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</si>
  <si>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</si>
  <si>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</si>
  <si>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</si>
  <si>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</si>
  <si>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</si>
  <si>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</si>
  <si>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</si>
  <si>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</si>
  <si>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</si>
  <si>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</si>
  <si>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</si>
  <si>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</si>
  <si>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</si>
  <si>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</si>
  <si>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</si>
  <si>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</si>
  <si>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</si>
  <si>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</si>
  <si>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</si>
  <si>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</si>
  <si>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</si>
  <si>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</si>
  <si>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</si>
  <si>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</si>
  <si>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</si>
  <si>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</si>
  <si>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</si>
  <si>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</si>
  <si>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</si>
  <si>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</si>
  <si>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</si>
  <si>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</si>
  <si>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</si>
  <si>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</si>
  <si>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</si>
  <si>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</si>
  <si>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</si>
  <si>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</si>
  <si>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</si>
  <si>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</si>
  <si>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</si>
  <si>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</si>
  <si>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</si>
  <si>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</si>
  <si>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</si>
  <si>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</si>
  <si>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</si>
  <si>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</si>
  <si>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</si>
  <si>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</si>
  <si>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</si>
  <si>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</si>
  <si>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</si>
  <si>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</si>
  <si>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</si>
  <si>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</si>
  <si>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</si>
  <si>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</si>
  <si>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</si>
  <si>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</si>
  <si>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</si>
  <si>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</si>
  <si>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</si>
  <si>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</si>
  <si>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</si>
  <si>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</si>
  <si>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</si>
  <si>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</si>
  <si>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</si>
  <si>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</si>
  <si>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</si>
  <si>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</si>
  <si>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</si>
  <si>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</si>
  <si>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</si>
  <si>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</si>
  <si>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</si>
  <si>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</si>
  <si>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</si>
  <si>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</si>
  <si>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</si>
  <si>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</si>
  <si>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</si>
  <si>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</si>
  <si>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</si>
  <si>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</si>
  <si>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</si>
  <si>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</si>
  <si>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</si>
  <si>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</si>
  <si>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</si>
  <si>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</si>
  <si>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</si>
  <si>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</si>
  <si>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</si>
  <si>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</si>
  <si>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</si>
  <si>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</si>
  <si>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</si>
  <si>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</si>
  <si>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</si>
  <si>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</si>
  <si>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</si>
  <si>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</si>
  <si>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</si>
  <si>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</si>
  <si>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</si>
  <si>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</si>
  <si>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</si>
  <si>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</si>
  <si>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</si>
  <si>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</si>
  <si>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</si>
  <si>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</si>
  <si>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</si>
  <si>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</si>
  <si>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</si>
  <si>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</si>
  <si>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</si>
  <si>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</si>
  <si>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</si>
  <si>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</si>
  <si>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</si>
  <si>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</si>
  <si>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</si>
  <si>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</si>
  <si>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</si>
  <si>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</si>
  <si>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</si>
  <si>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</si>
  <si>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</si>
  <si>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</si>
  <si>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</si>
  <si>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</si>
  <si>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</si>
  <si>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</si>
  <si>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</si>
  <si>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</si>
  <si>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</si>
  <si>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</si>
  <si>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</si>
  <si>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</si>
  <si>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</si>
  <si>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</si>
  <si>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</si>
  <si>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</si>
  <si>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</si>
  <si>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</si>
  <si>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</si>
  <si>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</si>
  <si>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</si>
  <si>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</si>
  <si>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</si>
  <si>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</si>
  <si>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</si>
  <si>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</si>
  <si>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</si>
  <si>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</si>
  <si>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</si>
  <si>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</si>
  <si>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</si>
  <si>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</si>
  <si>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</si>
  <si>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</si>
  <si>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</si>
  <si>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</si>
  <si>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</si>
  <si>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</si>
  <si>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</si>
  <si>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</si>
  <si>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</si>
  <si>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</si>
  <si>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</si>
  <si>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Will</t>
  </si>
  <si>
    <t>801 Normantown Road</t>
  </si>
  <si>
    <t>Romeoville</t>
  </si>
  <si>
    <t>Dr. James Mitchem</t>
  </si>
  <si>
    <t>815-886-2700</t>
  </si>
  <si>
    <t>815-886-2270</t>
  </si>
  <si>
    <t>Evans, Marshall and Pease, PC</t>
  </si>
  <si>
    <t>Jeffery M. Rollefson, CPA</t>
  </si>
  <si>
    <t>1875 Hicks Road</t>
  </si>
  <si>
    <t>Rolling Meadows</t>
  </si>
  <si>
    <t>Illinois</t>
  </si>
  <si>
    <t>847-221-5700</t>
  </si>
  <si>
    <t>847-221-5701</t>
  </si>
  <si>
    <t>060-003973</t>
  </si>
  <si>
    <t>jeff@empcpa.com</t>
  </si>
  <si>
    <t>Page 9-14 Health Insurance $5,392,531; Cobra $624,492; stop loss $2,331,467; property damage $126,326; other $231,116</t>
  </si>
  <si>
    <t>Capital Appreciation Bonds 1999B</t>
  </si>
  <si>
    <t>Capital Appreciation Bonds 2002</t>
  </si>
  <si>
    <t>Capital Appreciation Bonds 2002B</t>
  </si>
  <si>
    <t>Capital Appreciation Bonds 2002C</t>
  </si>
  <si>
    <t>Capital Appreciation Bonds 2003</t>
  </si>
  <si>
    <t>Capital Appreciation Bonds 2005</t>
  </si>
  <si>
    <t>Capital Appreciation Bonds 2007B</t>
  </si>
  <si>
    <t>Capital lease obligations</t>
  </si>
  <si>
    <t>Capital Appreciation Bonds 2009C</t>
  </si>
  <si>
    <t>Refunding School Bonds 2011A</t>
  </si>
  <si>
    <t>Refunding School Bonds 2011B</t>
  </si>
  <si>
    <t>Capital Appreciation Bonds 2012</t>
  </si>
  <si>
    <t>Limited School Bonds 2016</t>
  </si>
  <si>
    <t>Wilco principal payment</t>
  </si>
  <si>
    <t>various</t>
  </si>
  <si>
    <t>3,6</t>
  </si>
  <si>
    <t>Debt certificates 2017</t>
  </si>
  <si>
    <t>Capital leases</t>
  </si>
  <si>
    <t>Debt certificate</t>
  </si>
  <si>
    <t>Wilco Area Career Center</t>
  </si>
  <si>
    <t>ED-Information Services-Purchased Services</t>
  </si>
  <si>
    <t>10-2630-300</t>
  </si>
  <si>
    <t>Gordon Flesch Leasing/Company</t>
  </si>
  <si>
    <t>OM-O &amp; M Plant Services-Purchased Services</t>
  </si>
  <si>
    <t>20-2540-300</t>
  </si>
  <si>
    <t>Waste Management</t>
  </si>
  <si>
    <t>ED-Instruction-Purchased Services</t>
  </si>
  <si>
    <t>10-1000-300</t>
  </si>
  <si>
    <t>Village of Bolingbrook</t>
  </si>
  <si>
    <t>Village of Romeoville</t>
  </si>
  <si>
    <t>Trees</t>
  </si>
  <si>
    <t>Ed-Instructional Staff-Purchased Services</t>
  </si>
  <si>
    <t>10-2200-300</t>
  </si>
  <si>
    <t>Brecht's Data Base Solutions</t>
  </si>
  <si>
    <t>Tort-General Admin-Purchased Services</t>
  </si>
  <si>
    <t>80-2300-300</t>
  </si>
  <si>
    <t>Arthur J Gallagher</t>
  </si>
  <si>
    <t>Gallagher Bassett</t>
  </si>
  <si>
    <t>Tru Green</t>
  </si>
  <si>
    <t>GCA Cleaning Services</t>
  </si>
  <si>
    <t>Premier Salt and Snow Removal</t>
  </si>
  <si>
    <t>Trans-Pupil Transportation -Purchased Services</t>
  </si>
  <si>
    <t>40-2550-300</t>
  </si>
  <si>
    <t>Midwest Transit</t>
  </si>
  <si>
    <t>Santander Leasing</t>
  </si>
  <si>
    <t>Aliant Meiserow</t>
  </si>
  <si>
    <t>Ed-Staff Services-Purchased Services</t>
  </si>
  <si>
    <t>10-2640-300</t>
  </si>
  <si>
    <t>Blue Cross Blue Shield</t>
  </si>
  <si>
    <t>PayFlex</t>
  </si>
  <si>
    <t>Combined Insurance of America</t>
  </si>
  <si>
    <t>ED-Data Processing Services-Purchased Services</t>
  </si>
  <si>
    <t>10-2660-300</t>
  </si>
  <si>
    <t>Kirtley Technology Corp</t>
  </si>
  <si>
    <t>Weidenhammer</t>
  </si>
  <si>
    <t>Consortium for Educational Change</t>
  </si>
  <si>
    <t>ED-General Admin-Purchased Services</t>
  </si>
  <si>
    <t>Tort-Staff Services-Purchased Services</t>
  </si>
  <si>
    <t>ED-Direction of Business -Purchased Services</t>
  </si>
  <si>
    <t>10-2510-300</t>
  </si>
  <si>
    <t>Evans Marshall &amp; Pease</t>
  </si>
  <si>
    <t>Talx Corporation</t>
  </si>
  <si>
    <t>Tressler LLp</t>
  </si>
  <si>
    <t>Jar Consulting</t>
  </si>
  <si>
    <t>Transworld Systems</t>
  </si>
  <si>
    <t>10-2300-300</t>
  </si>
  <si>
    <r>
      <t>The accompanying Schedule of Expenditures of Federal Awards includes the federal grant activity of Vallet View CUSD No. 365-U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</si>
  <si>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</si>
  <si>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t>The following amounts were expended in the form of non-cash assistance by Valley View CUSD No. 365-U and are included in the Schedule of Expenditures of Federal Awards:</t>
  </si>
  <si>
    <t>no</t>
  </si>
  <si>
    <t>US DEPARTMENT OF EDUCATION</t>
  </si>
  <si>
    <t>PASSED THROUGH THE ILLINOIS STATE BOARD OF EDUCATION</t>
  </si>
  <si>
    <t>TITLE I LOW INCOME (M)</t>
  </si>
  <si>
    <t>84.010A</t>
  </si>
  <si>
    <t>4300-17</t>
  </si>
  <si>
    <t>4300-18</t>
  </si>
  <si>
    <t>PROG END 8/31</t>
  </si>
  <si>
    <t>TITLE II TEACHER QUALITY</t>
  </si>
  <si>
    <t>84.367A</t>
  </si>
  <si>
    <t>4932-17</t>
  </si>
  <si>
    <t>4932-18</t>
  </si>
  <si>
    <t>TITLE III - LANG INST PROGRAM</t>
  </si>
  <si>
    <t>84.365A</t>
  </si>
  <si>
    <t>4909-17</t>
  </si>
  <si>
    <t>TITLE III - IMMIGRANT EDUCATION PROGRAM</t>
  </si>
  <si>
    <t>4905-17</t>
  </si>
  <si>
    <t>4905-18</t>
  </si>
  <si>
    <t>IDEA PRESCHOOL FLOW THROUGH (M)</t>
  </si>
  <si>
    <t>84.173A</t>
  </si>
  <si>
    <t>4600-17</t>
  </si>
  <si>
    <t>4600-18</t>
  </si>
  <si>
    <t>IDEA ROOM AND BOARD</t>
  </si>
  <si>
    <t>84.027A</t>
  </si>
  <si>
    <t>4625-XC-17</t>
  </si>
  <si>
    <t>N/A</t>
  </si>
  <si>
    <t>IDEA ROOM AND BOARD (M)</t>
  </si>
  <si>
    <t>IDEA FLOW THROUGH (M)</t>
  </si>
  <si>
    <t>4620-17</t>
  </si>
  <si>
    <t>4620-18</t>
  </si>
  <si>
    <t>PRESCHOOL EXPANSION</t>
  </si>
  <si>
    <t>84.419B</t>
  </si>
  <si>
    <t>4902-17</t>
  </si>
  <si>
    <t>4902-18</t>
  </si>
  <si>
    <t>PASSED THROUGH THE THREE RIVERS EDUCATION FOR EMPLOYMENT SYSTEM</t>
  </si>
  <si>
    <t>VOCATIONAL ED - PERKINS TITLE IIC SECONDARY</t>
  </si>
  <si>
    <t>84.048A</t>
  </si>
  <si>
    <t>4745-17</t>
  </si>
  <si>
    <t>4745-18</t>
  </si>
  <si>
    <t>PASSED THROUGH THE ILLINOIS DEPARTMENT OF HUMAN SERVICES</t>
  </si>
  <si>
    <t>DEPARTMENT OF REHABILITATION SERVICES</t>
  </si>
  <si>
    <t>746CUD00196</t>
  </si>
  <si>
    <t>846CUD00196</t>
  </si>
  <si>
    <t>TOTAL US DEPARTMENT OF EDUCATION</t>
  </si>
  <si>
    <t>US DEPARTMENT OF HEALTH AND HUMAN SERVICES</t>
  </si>
  <si>
    <t>PASSED THROUGH THE ILLINOIS DEPT OF HEALTHCARE AND FAMILY SERVICES</t>
  </si>
  <si>
    <t>MEDICAID MATCHING</t>
  </si>
  <si>
    <t>4991-17</t>
  </si>
  <si>
    <t>4991-18</t>
  </si>
  <si>
    <t>TOTAL US DEPARTMENT OF HEALTH AND HUMAN SERVICES</t>
  </si>
  <si>
    <t>US DEPARTMENT OF DEFENSE</t>
  </si>
  <si>
    <t>ROTC</t>
  </si>
  <si>
    <t>4999-17</t>
  </si>
  <si>
    <t>4999-18</t>
  </si>
  <si>
    <t>TOTAL US DEPARTMENT OF DEFENSE</t>
  </si>
  <si>
    <t>PASSED THROUGH THE REGIONAL OFFICE OF EDUCATION</t>
  </si>
  <si>
    <t>MCKINNEY EDUCATION FOR HOMELESS CHILDREN AND YOUTH</t>
  </si>
  <si>
    <t>84.196A</t>
  </si>
  <si>
    <t>ARTEC - ARTS AND SCIENCES</t>
  </si>
  <si>
    <t>84.351C</t>
  </si>
  <si>
    <t>US DEPARTMENT OF AGRICULTURE</t>
  </si>
  <si>
    <t>NATIONAL SCHOOL LUNCH</t>
  </si>
  <si>
    <t>4210-17</t>
  </si>
  <si>
    <t>4210-18</t>
  </si>
  <si>
    <t>SPECIAL MILK</t>
  </si>
  <si>
    <t>4215-17</t>
  </si>
  <si>
    <t>4215-18</t>
  </si>
  <si>
    <t>PROG END 9/30</t>
  </si>
  <si>
    <t>SCHOOL BREAKFAST</t>
  </si>
  <si>
    <t>4220-17</t>
  </si>
  <si>
    <t>4220-18</t>
  </si>
  <si>
    <t>SUMMER FOOD SERVICE PROGRAM</t>
  </si>
  <si>
    <t>4225-17</t>
  </si>
  <si>
    <t>4225-18</t>
  </si>
  <si>
    <t>DoD FRESH FRUITS AND VEG - NON CASH</t>
  </si>
  <si>
    <t>COMMODITIES - NON-CASH</t>
  </si>
  <si>
    <t>FY2018</t>
  </si>
  <si>
    <t>TOTAL US DEPARTMENT OF AGRICULTURE</t>
  </si>
  <si>
    <t xml:space="preserve">     TOTAL FEDERAL AWARDS</t>
  </si>
  <si>
    <t>4909-18</t>
  </si>
  <si>
    <t>ROUNDING</t>
  </si>
  <si>
    <t>Unmodified</t>
  </si>
  <si>
    <t>TITLE I LOW INCOME</t>
  </si>
  <si>
    <t>IDEA PRESCHOOL</t>
  </si>
  <si>
    <t>IDEA FLOW THROUGH</t>
  </si>
  <si>
    <t>X</t>
  </si>
  <si>
    <t>NONE</t>
  </si>
  <si>
    <t xml:space="preserve">  certificate and capital lease proceeds.</t>
  </si>
  <si>
    <t>Total Long-Term Debt Issued (P24, Cell F49) must = Principal on Long-Term Debt Sold (P8, Cells C33:K33). $6,971,768 is not bonds but debt</t>
  </si>
  <si>
    <t>56099365U26</t>
  </si>
  <si>
    <t>Valley View PCSD 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</si>
</sst>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color theme="1"/>
      <name val="Comic Sans MS"/>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8" fillId="0" borderId="0"/>
    <xf numFmtId="0" fontId="3" fillId="0" borderId="0"/>
    <xf numFmtId="0" fontId="3" fillId="0" borderId="0"/>
    <xf numFmtId="0" fontId="3" fillId="0" borderId="0"/>
    <xf numFmtId="0" fontId="3" fillId="0" borderId="0"/>
    <xf numFmtId="0" fontId="3" fillId="0" borderId="0"/>
  </cellStyleXfs>
  <cellXfs count="25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8" fontId="3" fillId="0" borderId="158" xfId="20" applyNumberFormat="1" applyBorder="1" applyAlignment="1" applyProtection="1">
      <alignment horizontal="right" vertical="top"/>
      <protection locked="0"/>
    </xf>
    <xf numFmtId="49" fontId="3" fillId="0" borderId="158" xfId="20" applyNumberFormat="1" applyFont="1" applyBorder="1" applyAlignment="1" applyProtection="1">
      <alignment horizontal="center" vertical="center"/>
      <protection locked="0"/>
    </xf>
    <xf numFmtId="0" fontId="3" fillId="0" borderId="158" xfId="20" applyFont="1" applyBorder="1" applyAlignment="1" applyProtection="1">
      <alignment vertical="top"/>
      <protection locked="0"/>
    </xf>
    <xf numFmtId="0" fontId="3" fillId="0" borderId="158" xfId="20" applyFont="1" applyBorder="1" applyAlignment="1" applyProtection="1">
      <alignment horizontal="left" vertical="top" wrapText="1"/>
      <protection locked="0"/>
    </xf>
    <xf numFmtId="0" fontId="2" fillId="0" borderId="158" xfId="20" applyFont="1" applyBorder="1" applyAlignment="1" applyProtection="1">
      <alignment horizontal="left" vertical="top" wrapText="1"/>
      <protection locked="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center"/>
      <protection locked="0"/>
    </xf>
    <xf numFmtId="0" fontId="2" fillId="0" borderId="158" xfId="20" applyFont="1" applyBorder="1" applyAlignment="1" applyProtection="1">
      <alignment vertical="top"/>
      <protection locked="0"/>
    </xf>
    <xf numFmtId="0" fontId="2" fillId="0" borderId="158" xfId="17" applyFont="1" applyBorder="1" applyAlignment="1" applyProtection="1">
      <alignment vertical="top"/>
      <protection locked="0"/>
    </xf>
    <xf numFmtId="49" fontId="1" fillId="0" borderId="158" xfId="20" applyNumberFormat="1" applyFont="1" applyBorder="1" applyAlignment="1" applyProtection="1">
      <alignment horizontal="center" vertical="center"/>
      <protection locked="0"/>
    </xf>
    <xf numFmtId="49" fontId="1" fillId="0" borderId="158" xfId="17" applyNumberFormat="1" applyFont="1" applyBorder="1" applyAlignment="1" applyProtection="1">
      <alignment horizontal="center" vertical="center"/>
      <protection locked="0"/>
    </xf>
    <xf numFmtId="3" fontId="64"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protection locked="0"/>
    </xf>
    <xf numFmtId="3" fontId="87"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center"/>
      <protection locked="0"/>
    </xf>
    <xf numFmtId="0" fontId="57" fillId="0" borderId="21" xfId="0" applyFont="1" applyBorder="1" applyAlignment="1">
      <alignment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2"/>
    <cellStyle name="Normal 3 3" xfId="21"/>
    <cellStyle name="Normal 4" xfId="16"/>
    <cellStyle name="Normal 4 2" xfId="24"/>
    <cellStyle name="Normal 5" xfId="17"/>
    <cellStyle name="Normal 5 2" xfId="20"/>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2294659</xdr:colOff>
          <xdr:row>5</xdr:row>
          <xdr:rowOff>77931</xdr:rowOff>
        </xdr:from>
        <xdr:to>
          <xdr:col>1</xdr:col>
          <xdr:colOff>3205595</xdr:colOff>
          <xdr:row>9</xdr:row>
          <xdr:rowOff>116031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3403023</xdr:colOff>
          <xdr:row>5</xdr:row>
          <xdr:rowOff>86591</xdr:rowOff>
        </xdr:from>
        <xdr:to>
          <xdr:col>2</xdr:col>
          <xdr:colOff>330777</xdr:colOff>
          <xdr:row>9</xdr:row>
          <xdr:rowOff>124691</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528205</xdr:colOff>
          <xdr:row>5</xdr:row>
          <xdr:rowOff>69272</xdr:rowOff>
        </xdr:from>
        <xdr:to>
          <xdr:col>4</xdr:col>
          <xdr:colOff>226868</xdr:colOff>
          <xdr:row>9</xdr:row>
          <xdr:rowOff>102177</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13" t="s">
        <v>424</v>
      </c>
      <c r="J1" s="2014"/>
      <c r="K1" s="2014"/>
      <c r="L1" s="2014"/>
      <c r="M1" s="2014"/>
      <c r="N1" s="2014"/>
      <c r="O1" s="2014"/>
      <c r="P1" s="2014"/>
      <c r="Q1" s="2014"/>
      <c r="R1" s="2014"/>
      <c r="S1" s="2014"/>
    </row>
    <row r="2" spans="1:28" ht="12" customHeight="1" x14ac:dyDescent="0.2">
      <c r="A2" s="47" t="s">
        <v>1683</v>
      </c>
      <c r="D2" s="48"/>
      <c r="I2" s="2015" t="s">
        <v>1035</v>
      </c>
      <c r="J2" s="2014"/>
      <c r="K2" s="2014"/>
      <c r="L2" s="2014"/>
      <c r="M2" s="2014"/>
      <c r="N2" s="2014"/>
      <c r="O2" s="2014"/>
      <c r="P2" s="2014"/>
      <c r="Q2" s="2014"/>
      <c r="R2" s="2014"/>
      <c r="S2" s="2014"/>
    </row>
    <row r="3" spans="1:28" ht="12" customHeight="1" x14ac:dyDescent="0.2">
      <c r="A3" s="155" t="s">
        <v>1684</v>
      </c>
      <c r="B3" s="156"/>
      <c r="C3" s="156"/>
      <c r="D3" s="157"/>
      <c r="I3" s="2015" t="s">
        <v>54</v>
      </c>
      <c r="J3" s="2014"/>
      <c r="K3" s="2014"/>
      <c r="L3" s="2014"/>
      <c r="M3" s="2014"/>
      <c r="N3" s="2014"/>
      <c r="O3" s="2014"/>
      <c r="P3" s="2014"/>
      <c r="Q3" s="2014"/>
      <c r="R3" s="2014"/>
      <c r="S3" s="2014"/>
    </row>
    <row r="4" spans="1:28" ht="12" customHeight="1" x14ac:dyDescent="0.2">
      <c r="A4" s="37"/>
      <c r="I4" s="2015" t="s">
        <v>544</v>
      </c>
      <c r="J4" s="2014"/>
      <c r="K4" s="2014"/>
      <c r="L4" s="2014"/>
      <c r="M4" s="2014"/>
      <c r="N4" s="2014"/>
      <c r="O4" s="2014"/>
      <c r="P4" s="2014"/>
      <c r="Q4" s="2014"/>
      <c r="R4" s="2014"/>
      <c r="S4" s="2014"/>
    </row>
    <row r="5" spans="1:28" ht="14.1" customHeight="1" x14ac:dyDescent="0.2">
      <c r="B5" s="104" t="s">
        <v>2074</v>
      </c>
      <c r="C5" s="26" t="s">
        <v>965</v>
      </c>
      <c r="D5" s="84"/>
      <c r="E5" s="84"/>
      <c r="H5" s="38"/>
      <c r="I5" s="2023" t="s">
        <v>700</v>
      </c>
      <c r="J5" s="2022"/>
      <c r="K5" s="2022"/>
      <c r="L5" s="2022"/>
      <c r="M5" s="2022"/>
      <c r="N5" s="2022"/>
      <c r="O5" s="2022"/>
      <c r="P5" s="2022"/>
      <c r="Q5" s="2022"/>
      <c r="R5" s="2022"/>
      <c r="S5" s="2022"/>
    </row>
    <row r="6" spans="1:28" ht="14.1" customHeight="1" x14ac:dyDescent="0.2">
      <c r="B6" s="104"/>
      <c r="C6" s="26" t="s">
        <v>966</v>
      </c>
      <c r="D6" s="84"/>
      <c r="E6" s="84"/>
      <c r="I6" s="2021" t="s">
        <v>937</v>
      </c>
      <c r="J6" s="2022"/>
      <c r="K6" s="2022"/>
      <c r="L6" s="2022"/>
      <c r="M6" s="2022"/>
      <c r="N6" s="2022"/>
      <c r="O6" s="2022"/>
      <c r="P6" s="2022"/>
      <c r="Q6" s="2022"/>
      <c r="R6" s="2022"/>
      <c r="S6" s="2022"/>
    </row>
    <row r="7" spans="1:28" ht="12.2" customHeight="1" x14ac:dyDescent="0.2">
      <c r="I7" s="2016">
        <v>43281</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694</v>
      </c>
      <c r="J9" s="2019"/>
      <c r="K9" s="2019"/>
      <c r="L9" s="2019"/>
      <c r="M9" s="2019"/>
      <c r="N9" s="2019"/>
      <c r="O9" s="2019"/>
      <c r="P9" s="2019"/>
      <c r="Q9" s="2019"/>
      <c r="R9" s="2019"/>
      <c r="S9" s="2020"/>
      <c r="T9" s="2034" t="s">
        <v>553</v>
      </c>
      <c r="U9" s="2035"/>
      <c r="V9" s="2035"/>
      <c r="W9" s="2035"/>
      <c r="X9" s="2035"/>
      <c r="Y9" s="2035"/>
      <c r="Z9" s="2035"/>
      <c r="AA9" s="2036"/>
    </row>
    <row r="10" spans="1:28" ht="13.5" customHeight="1" x14ac:dyDescent="0.2">
      <c r="A10" s="2041" t="s">
        <v>695</v>
      </c>
      <c r="B10" s="2042"/>
      <c r="C10" s="2042"/>
      <c r="D10" s="2042"/>
      <c r="E10" s="2042"/>
      <c r="F10" s="2042"/>
      <c r="G10" s="2042"/>
      <c r="H10" s="2043"/>
      <c r="I10" s="29"/>
      <c r="J10" s="30"/>
      <c r="K10" s="28"/>
      <c r="R10" s="30"/>
      <c r="S10" s="30"/>
      <c r="T10" s="2037"/>
      <c r="U10" s="2022"/>
      <c r="V10" s="2022"/>
      <c r="W10" s="2022"/>
      <c r="X10" s="2022"/>
      <c r="Y10" s="2022"/>
      <c r="Z10" s="2022"/>
      <c r="AA10" s="2028"/>
    </row>
    <row r="11" spans="1:28" ht="14.25" customHeight="1" x14ac:dyDescent="0.2">
      <c r="A11" s="2044" t="s">
        <v>1011</v>
      </c>
      <c r="B11" s="2045"/>
      <c r="C11" s="2045"/>
      <c r="D11" s="2045"/>
      <c r="E11" s="2045"/>
      <c r="F11" s="2045"/>
      <c r="G11" s="2045"/>
      <c r="H11" s="2046"/>
      <c r="I11" s="27"/>
      <c r="J11" s="74"/>
      <c r="K11" s="27"/>
      <c r="O11" s="148"/>
      <c r="P11" s="100" t="s">
        <v>210</v>
      </c>
      <c r="Q11" s="30"/>
      <c r="R11" s="28"/>
      <c r="S11" s="27"/>
      <c r="T11" s="2038"/>
      <c r="U11" s="2039"/>
      <c r="V11" s="2039"/>
      <c r="W11" s="2039"/>
      <c r="X11" s="2039"/>
      <c r="Y11" s="2039"/>
      <c r="Z11" s="2039"/>
      <c r="AA11" s="2040"/>
    </row>
    <row r="12" spans="1:28" ht="13.5" customHeight="1" x14ac:dyDescent="0.2">
      <c r="A12" s="85" t="s">
        <v>981</v>
      </c>
      <c r="B12" s="76"/>
      <c r="C12" s="76"/>
      <c r="D12" s="76"/>
      <c r="E12" s="76"/>
      <c r="F12" s="76"/>
      <c r="G12" s="76"/>
      <c r="H12" s="53"/>
      <c r="I12" s="29"/>
      <c r="J12" s="30"/>
      <c r="K12" s="28"/>
      <c r="O12" s="149" t="s">
        <v>2074</v>
      </c>
      <c r="P12" s="100" t="s">
        <v>211</v>
      </c>
      <c r="Q12" s="74"/>
      <c r="R12" s="30"/>
      <c r="S12" s="30"/>
      <c r="T12" s="85" t="s">
        <v>282</v>
      </c>
      <c r="U12" s="51"/>
      <c r="V12" s="51"/>
      <c r="W12" s="51"/>
      <c r="X12" s="51"/>
      <c r="Y12" s="45"/>
      <c r="Z12" s="45"/>
      <c r="AA12" s="46"/>
    </row>
    <row r="13" spans="1:28" ht="13.5" customHeight="1" x14ac:dyDescent="0.2">
      <c r="A13" s="2048" t="s">
        <v>2249</v>
      </c>
      <c r="B13" s="2049"/>
      <c r="C13" s="2049"/>
      <c r="D13" s="2049"/>
      <c r="E13" s="2049"/>
      <c r="F13" s="2049"/>
      <c r="G13" s="2049"/>
      <c r="H13" s="2050"/>
      <c r="I13" s="31"/>
      <c r="J13" s="30"/>
      <c r="K13" s="28"/>
      <c r="L13" s="30"/>
      <c r="M13" s="30"/>
      <c r="N13" s="30"/>
      <c r="O13" s="30"/>
      <c r="P13" s="30"/>
      <c r="Q13" s="30"/>
      <c r="R13" s="30"/>
      <c r="S13" s="30"/>
      <c r="T13" s="2053" t="s">
        <v>2081</v>
      </c>
      <c r="U13" s="2054"/>
      <c r="V13" s="2054"/>
      <c r="W13" s="2054"/>
      <c r="X13" s="2054"/>
      <c r="Y13" s="2055"/>
      <c r="Z13" s="2055"/>
      <c r="AA13" s="2056"/>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47" t="s">
        <v>2075</v>
      </c>
      <c r="B15" s="2051"/>
      <c r="C15" s="2051"/>
      <c r="D15" s="2051"/>
      <c r="E15" s="2051"/>
      <c r="F15" s="2051"/>
      <c r="G15" s="2051"/>
      <c r="H15" s="2052"/>
      <c r="T15" s="2057" t="s">
        <v>2082</v>
      </c>
      <c r="U15" s="2001"/>
      <c r="V15" s="2001"/>
      <c r="W15" s="2001"/>
      <c r="X15" s="2001"/>
      <c r="Y15" s="2058"/>
      <c r="Z15" s="2058"/>
      <c r="AA15" s="205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07" t="s">
        <v>2250</v>
      </c>
      <c r="B17" s="2008"/>
      <c r="C17" s="2008"/>
      <c r="D17" s="2008"/>
      <c r="E17" s="2008"/>
      <c r="F17" s="2008"/>
      <c r="G17" s="2008"/>
      <c r="H17" s="2033"/>
      <c r="T17" s="2064" t="s">
        <v>2083</v>
      </c>
      <c r="U17" s="2065"/>
      <c r="V17" s="2065"/>
      <c r="W17" s="2065"/>
      <c r="X17" s="2065"/>
      <c r="Y17" s="2065"/>
      <c r="Z17" s="2065"/>
      <c r="AA17" s="2066"/>
    </row>
    <row r="18" spans="1:27" ht="13.5" customHeight="1" x14ac:dyDescent="0.2">
      <c r="A18" s="85" t="s">
        <v>550</v>
      </c>
      <c r="B18" s="76"/>
      <c r="C18" s="72"/>
      <c r="D18" s="76"/>
      <c r="E18" s="76"/>
      <c r="F18" s="76"/>
      <c r="G18" s="76"/>
      <c r="H18" s="56"/>
      <c r="I18" s="2032" t="s">
        <v>696</v>
      </c>
      <c r="J18" s="1983"/>
      <c r="K18" s="1983"/>
      <c r="L18" s="1983"/>
      <c r="M18" s="1983"/>
      <c r="N18" s="1983"/>
      <c r="O18" s="1983"/>
      <c r="P18" s="1983"/>
      <c r="Q18" s="1983"/>
      <c r="R18" s="1983"/>
      <c r="S18" s="1984"/>
      <c r="T18" s="85" t="s">
        <v>734</v>
      </c>
      <c r="U18" s="51"/>
      <c r="V18" s="72"/>
      <c r="W18" s="50"/>
      <c r="X18" s="85" t="s">
        <v>283</v>
      </c>
      <c r="Y18" s="81"/>
      <c r="Z18" s="159" t="s">
        <v>697</v>
      </c>
      <c r="AA18" s="46"/>
    </row>
    <row r="19" spans="1:27" ht="13.5" customHeight="1" x14ac:dyDescent="0.2">
      <c r="A19" s="2047" t="s">
        <v>2076</v>
      </c>
      <c r="B19" s="1993"/>
      <c r="C19" s="1993"/>
      <c r="D19" s="1993"/>
      <c r="E19" s="1993"/>
      <c r="F19" s="1993"/>
      <c r="G19" s="1993"/>
      <c r="H19" s="1973"/>
      <c r="I19" s="30"/>
      <c r="J19" s="99"/>
      <c r="K19" s="40"/>
      <c r="L19" s="38"/>
      <c r="M19" s="112" t="s">
        <v>332</v>
      </c>
      <c r="P19" s="27"/>
      <c r="Q19" s="27"/>
      <c r="R19" s="27"/>
      <c r="S19" s="31"/>
      <c r="T19" s="2047" t="s">
        <v>2084</v>
      </c>
      <c r="U19" s="1972"/>
      <c r="V19" s="1972"/>
      <c r="W19" s="1973"/>
      <c r="X19" s="2062" t="s">
        <v>2085</v>
      </c>
      <c r="Y19" s="2063"/>
      <c r="Z19" s="2060">
        <v>60435</v>
      </c>
      <c r="AA19" s="206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71" t="s">
        <v>2077</v>
      </c>
      <c r="B21" s="1972"/>
      <c r="C21" s="1972"/>
      <c r="D21" s="1972"/>
      <c r="E21" s="1972"/>
      <c r="F21" s="1972"/>
      <c r="G21" s="1972"/>
      <c r="H21" s="1973"/>
      <c r="I21" s="2027" t="s">
        <v>698</v>
      </c>
      <c r="J21" s="2022"/>
      <c r="K21" s="2022"/>
      <c r="L21" s="2022"/>
      <c r="M21" s="2022"/>
      <c r="N21" s="2022"/>
      <c r="O21" s="2022"/>
      <c r="P21" s="2022"/>
      <c r="Q21" s="2022"/>
      <c r="R21" s="2022"/>
      <c r="S21" s="2028"/>
      <c r="T21" s="2071" t="s">
        <v>2086</v>
      </c>
      <c r="U21" s="2072"/>
      <c r="V21" s="2072"/>
      <c r="W21" s="2072"/>
      <c r="X21" s="2077" t="s">
        <v>2087</v>
      </c>
      <c r="Y21" s="2078"/>
      <c r="Z21" s="2078"/>
      <c r="AA21" s="2079"/>
    </row>
    <row r="22" spans="1:27" ht="13.5" customHeight="1" x14ac:dyDescent="0.2">
      <c r="A22" s="87" t="s">
        <v>551</v>
      </c>
      <c r="B22" s="59"/>
      <c r="C22" s="59"/>
      <c r="D22" s="59"/>
      <c r="E22" s="59"/>
      <c r="F22" s="59"/>
      <c r="G22" s="59"/>
      <c r="H22" s="60"/>
      <c r="I22" s="2029" t="s">
        <v>1503</v>
      </c>
      <c r="J22" s="2030"/>
      <c r="K22" s="2030"/>
      <c r="L22" s="2030"/>
      <c r="M22" s="2030"/>
      <c r="N22" s="2030"/>
      <c r="O22" s="2030"/>
      <c r="P22" s="2030"/>
      <c r="Q22" s="2030"/>
      <c r="R22" s="2030"/>
      <c r="S22" s="2031"/>
      <c r="T22" s="85" t="s">
        <v>1595</v>
      </c>
      <c r="U22" s="51"/>
      <c r="V22" s="72"/>
      <c r="W22" s="51"/>
      <c r="X22" s="160" t="s">
        <v>1384</v>
      </c>
      <c r="Z22" s="45"/>
      <c r="AA22" s="46"/>
    </row>
    <row r="23" spans="1:27" ht="13.5" customHeight="1" x14ac:dyDescent="0.2">
      <c r="A23" s="2024"/>
      <c r="B23" s="2025"/>
      <c r="C23" s="2025"/>
      <c r="D23" s="2025"/>
      <c r="E23" s="2025"/>
      <c r="F23" s="2025"/>
      <c r="G23" s="2025"/>
      <c r="H23" s="2026"/>
      <c r="T23" s="2007" t="s">
        <v>2088</v>
      </c>
      <c r="U23" s="2070"/>
      <c r="V23" s="2070"/>
      <c r="W23" s="2070"/>
      <c r="X23" s="2074">
        <v>43466</v>
      </c>
      <c r="Y23" s="2075"/>
      <c r="Z23" s="2075"/>
      <c r="AA23" s="2076"/>
    </row>
    <row r="24" spans="1:27" ht="14.1" customHeight="1" x14ac:dyDescent="0.2">
      <c r="A24" s="88" t="s">
        <v>697</v>
      </c>
      <c r="B24" s="49"/>
      <c r="C24" s="49"/>
      <c r="D24" s="49"/>
      <c r="E24" s="49"/>
      <c r="F24" s="49"/>
      <c r="G24" s="49"/>
      <c r="H24" s="61"/>
      <c r="J24" s="1994">
        <f>IF(B5="x",IF(AUDITCHECK!D29="AFR form Incomplete.","",IF(AUDITCHECK!D29="Deficit reduction plan is required.","School District must complete a deficit reduction plan in the 2018-2019 Budget",)),"")</f>
        <v>0</v>
      </c>
      <c r="K24" s="1994"/>
      <c r="L24" s="1994"/>
      <c r="M24" s="1994"/>
      <c r="N24" s="1994"/>
      <c r="O24" s="1994"/>
      <c r="P24" s="1994"/>
      <c r="Q24" s="1994"/>
      <c r="R24" s="1994"/>
      <c r="S24" s="1995"/>
      <c r="T24" s="105" t="s">
        <v>551</v>
      </c>
      <c r="U24" s="106"/>
      <c r="V24" s="106"/>
      <c r="W24" s="106"/>
      <c r="X24" s="107"/>
      <c r="Y24" s="107"/>
      <c r="Z24" s="107"/>
      <c r="AA24" s="108"/>
    </row>
    <row r="25" spans="1:27" ht="14.1" customHeight="1" x14ac:dyDescent="0.2">
      <c r="A25" s="1971">
        <v>60446</v>
      </c>
      <c r="B25" s="1972"/>
      <c r="C25" s="1972"/>
      <c r="D25" s="1972"/>
      <c r="E25" s="1972"/>
      <c r="F25" s="1972"/>
      <c r="G25" s="1972"/>
      <c r="H25" s="1973"/>
      <c r="I25" s="113"/>
      <c r="J25" s="1996"/>
      <c r="K25" s="1996"/>
      <c r="L25" s="1996"/>
      <c r="M25" s="1996"/>
      <c r="N25" s="1996"/>
      <c r="O25" s="1996"/>
      <c r="P25" s="1996"/>
      <c r="Q25" s="1996"/>
      <c r="R25" s="1996"/>
      <c r="S25" s="1997"/>
      <c r="T25" s="2067" t="s">
        <v>2089</v>
      </c>
      <c r="U25" s="2068"/>
      <c r="V25" s="2068"/>
      <c r="W25" s="2068"/>
      <c r="X25" s="2068"/>
      <c r="Y25" s="2068"/>
      <c r="Z25" s="2068"/>
      <c r="AA25" s="20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82" t="s">
        <v>1590</v>
      </c>
      <c r="J27" s="1983"/>
      <c r="K27" s="1983"/>
      <c r="L27" s="1983"/>
      <c r="M27" s="1983"/>
      <c r="N27" s="1983"/>
      <c r="O27" s="1983"/>
      <c r="P27" s="1983"/>
      <c r="Q27" s="1983"/>
      <c r="R27" s="1983"/>
      <c r="S27" s="1984"/>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2074</v>
      </c>
      <c r="F29" s="141" t="s">
        <v>1382</v>
      </c>
      <c r="G29" s="114"/>
      <c r="I29" s="54"/>
      <c r="J29" s="148"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3"/>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07" t="s">
        <v>2078</v>
      </c>
      <c r="B38" s="2008"/>
      <c r="C38" s="2008"/>
      <c r="D38" s="2008"/>
      <c r="E38" s="2008"/>
      <c r="F38" s="1972"/>
      <c r="G38" s="1972"/>
      <c r="H38" s="1973"/>
      <c r="I38" s="2000"/>
      <c r="J38" s="2001"/>
      <c r="K38" s="2001"/>
      <c r="L38" s="2001"/>
      <c r="M38" s="2001"/>
      <c r="N38" s="2001"/>
      <c r="O38" s="2001"/>
      <c r="P38" s="2002"/>
      <c r="Q38" s="2002"/>
      <c r="R38" s="2002"/>
      <c r="S38" s="2003"/>
      <c r="T38" s="2057"/>
      <c r="U38" s="2001"/>
      <c r="V38" s="2001"/>
      <c r="W38" s="2001"/>
      <c r="X38" s="2002"/>
      <c r="Y38" s="2002"/>
      <c r="Z38" s="2002"/>
      <c r="AA38" s="2003"/>
    </row>
    <row r="39" spans="1:27" ht="12" customHeight="1" x14ac:dyDescent="0.2">
      <c r="A39" s="1977" t="s">
        <v>551</v>
      </c>
      <c r="B39" s="1978"/>
      <c r="C39" s="72"/>
      <c r="D39" s="69"/>
      <c r="E39" s="69"/>
      <c r="F39" s="79"/>
      <c r="G39" s="69"/>
      <c r="H39" s="56"/>
      <c r="I39" s="1977" t="s">
        <v>551</v>
      </c>
      <c r="J39" s="1978"/>
      <c r="K39" s="1978"/>
      <c r="L39" s="1978"/>
      <c r="M39" s="1978"/>
      <c r="N39" s="67"/>
      <c r="O39" s="72"/>
      <c r="P39" s="72"/>
      <c r="Q39" s="78"/>
      <c r="R39" s="72"/>
      <c r="S39" s="56"/>
      <c r="T39" s="72" t="s">
        <v>551</v>
      </c>
      <c r="U39" s="51"/>
      <c r="V39" s="72"/>
      <c r="W39" s="50"/>
      <c r="X39" s="78"/>
      <c r="Y39" s="45"/>
      <c r="Z39" s="45"/>
      <c r="AA39" s="46"/>
    </row>
    <row r="40" spans="1:27" ht="13.5" customHeight="1" x14ac:dyDescent="0.2">
      <c r="A40" s="1985"/>
      <c r="B40" s="1986"/>
      <c r="C40" s="1987"/>
      <c r="D40" s="1987"/>
      <c r="E40" s="1987"/>
      <c r="F40" s="1988"/>
      <c r="G40" s="1988"/>
      <c r="H40" s="1989"/>
      <c r="I40" s="2010"/>
      <c r="J40" s="2011"/>
      <c r="K40" s="2011"/>
      <c r="L40" s="2011"/>
      <c r="M40" s="2011"/>
      <c r="N40" s="2011"/>
      <c r="O40" s="2011"/>
      <c r="P40" s="2011"/>
      <c r="Q40" s="2011"/>
      <c r="R40" s="2011"/>
      <c r="S40" s="2012"/>
      <c r="T40" s="2010"/>
      <c r="U40" s="2073"/>
      <c r="V40" s="2011"/>
      <c r="W40" s="2011"/>
      <c r="X40" s="2011"/>
      <c r="Y40" s="2011"/>
      <c r="Z40" s="2011"/>
      <c r="AA40" s="201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99" t="s">
        <v>2079</v>
      </c>
      <c r="B42" s="1991"/>
      <c r="C42" s="1992"/>
      <c r="D42" s="1990" t="s">
        <v>2080</v>
      </c>
      <c r="E42" s="1991"/>
      <c r="F42" s="1991"/>
      <c r="G42" s="1991"/>
      <c r="H42" s="1992"/>
      <c r="I42" s="1974"/>
      <c r="J42" s="1975"/>
      <c r="K42" s="1975"/>
      <c r="L42" s="1975"/>
      <c r="M42" s="1975"/>
      <c r="N42" s="1975"/>
      <c r="O42" s="1976"/>
      <c r="P42" s="2009"/>
      <c r="Q42" s="1975"/>
      <c r="R42" s="1975"/>
      <c r="S42" s="1976"/>
      <c r="T42" s="1974"/>
      <c r="U42" s="1975"/>
      <c r="V42" s="1975"/>
      <c r="W42" s="1976"/>
      <c r="X42" s="2009"/>
      <c r="Y42" s="1975"/>
      <c r="Z42" s="1975"/>
      <c r="AA42" s="197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0" sqref="C1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3" t="s">
        <v>1902</v>
      </c>
      <c r="B2" s="1550" t="s">
        <v>2034</v>
      </c>
      <c r="C2" s="715" t="s">
        <v>1907</v>
      </c>
      <c r="D2" s="715" t="s">
        <v>1908</v>
      </c>
      <c r="E2" s="715" t="s">
        <v>1909</v>
      </c>
      <c r="F2" s="715" t="s">
        <v>1910</v>
      </c>
    </row>
    <row r="3" spans="1:6" ht="12" customHeight="1" x14ac:dyDescent="0.2">
      <c r="A3" s="2214"/>
      <c r="B3" s="1547"/>
      <c r="C3" s="1548"/>
      <c r="D3" s="1549" t="s">
        <v>274</v>
      </c>
      <c r="E3" s="1548"/>
      <c r="F3" s="1549" t="s">
        <v>275</v>
      </c>
    </row>
    <row r="4" spans="1:6" ht="13.7" customHeight="1" x14ac:dyDescent="0.2">
      <c r="A4" s="716" t="s">
        <v>1216</v>
      </c>
      <c r="B4" s="1771">
        <f>'Revenues 9-14'!C5</f>
        <v>93884641</v>
      </c>
      <c r="C4" s="1546">
        <v>49100512</v>
      </c>
      <c r="D4" s="1774">
        <f>B4-C4</f>
        <v>44784129</v>
      </c>
      <c r="E4" s="1546">
        <v>96305712</v>
      </c>
      <c r="F4" s="1774">
        <f>E4-C4</f>
        <v>47205200</v>
      </c>
    </row>
    <row r="5" spans="1:6" ht="13.7" customHeight="1" x14ac:dyDescent="0.2">
      <c r="A5" s="716" t="s">
        <v>924</v>
      </c>
      <c r="B5" s="1772">
        <f>'Revenues 9-14'!D5</f>
        <v>17001560</v>
      </c>
      <c r="C5" s="585">
        <v>8877832</v>
      </c>
      <c r="D5" s="1775">
        <f t="shared" ref="D5:D18" si="0">B5-C5</f>
        <v>8123728</v>
      </c>
      <c r="E5" s="585">
        <v>17412975</v>
      </c>
      <c r="F5" s="1775">
        <f>E5-C5</f>
        <v>8535143</v>
      </c>
    </row>
    <row r="6" spans="1:6" ht="13.7" customHeight="1" x14ac:dyDescent="0.2">
      <c r="A6" s="716" t="s">
        <v>430</v>
      </c>
      <c r="B6" s="1772">
        <f>'Revenues 9-14'!E5</f>
        <v>30827095</v>
      </c>
      <c r="C6" s="585">
        <v>16234786</v>
      </c>
      <c r="D6" s="1775">
        <f t="shared" si="0"/>
        <v>14592309</v>
      </c>
      <c r="E6" s="585">
        <v>31842899</v>
      </c>
      <c r="F6" s="1775">
        <f t="shared" ref="F6:F18" si="1">E6-C6</f>
        <v>15608113</v>
      </c>
    </row>
    <row r="7" spans="1:6" ht="13.7" customHeight="1" x14ac:dyDescent="0.2">
      <c r="A7" s="716" t="s">
        <v>157</v>
      </c>
      <c r="B7" s="1772">
        <f>'Revenues 9-14'!F5</f>
        <v>5935369</v>
      </c>
      <c r="C7" s="585">
        <v>3099243</v>
      </c>
      <c r="D7" s="1775">
        <f t="shared" si="0"/>
        <v>2836126</v>
      </c>
      <c r="E7" s="585">
        <v>6078854</v>
      </c>
      <c r="F7" s="1775">
        <f t="shared" si="1"/>
        <v>2979611</v>
      </c>
    </row>
    <row r="8" spans="1:6" ht="13.7" customHeight="1" x14ac:dyDescent="0.2">
      <c r="A8" s="716" t="s">
        <v>1240</v>
      </c>
      <c r="B8" s="1772">
        <f>'Revenues 9-14'!G5</f>
        <v>2691251</v>
      </c>
      <c r="C8" s="585">
        <v>1405907</v>
      </c>
      <c r="D8" s="1775">
        <f t="shared" si="0"/>
        <v>1285344</v>
      </c>
      <c r="E8" s="585">
        <v>2757545</v>
      </c>
      <c r="F8" s="1775">
        <f t="shared" si="1"/>
        <v>1351638</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37952</v>
      </c>
      <c r="C10" s="585">
        <v>38741</v>
      </c>
      <c r="D10" s="1775">
        <f t="shared" si="0"/>
        <v>-789</v>
      </c>
      <c r="E10" s="585">
        <v>75986</v>
      </c>
      <c r="F10" s="1775">
        <f t="shared" si="1"/>
        <v>37245</v>
      </c>
    </row>
    <row r="11" spans="1:6" x14ac:dyDescent="0.2">
      <c r="A11" s="716" t="s">
        <v>428</v>
      </c>
      <c r="B11" s="1772">
        <f>'Revenues 9-14'!J5</f>
        <v>1385943</v>
      </c>
      <c r="C11" s="585">
        <v>723573</v>
      </c>
      <c r="D11" s="1775">
        <f t="shared" si="0"/>
        <v>662370</v>
      </c>
      <c r="E11" s="585">
        <v>1419216</v>
      </c>
      <c r="F11" s="1775">
        <f t="shared" si="1"/>
        <v>695643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18405254</v>
      </c>
      <c r="C14" s="585">
        <v>9610154</v>
      </c>
      <c r="D14" s="1775">
        <f t="shared" si="0"/>
        <v>8795100</v>
      </c>
      <c r="E14" s="585">
        <v>18849349</v>
      </c>
      <c r="F14" s="1775">
        <f t="shared" si="1"/>
        <v>9239195</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2681750</v>
      </c>
      <c r="C16" s="585">
        <v>1400908</v>
      </c>
      <c r="D16" s="1775">
        <f t="shared" si="0"/>
        <v>1280842</v>
      </c>
      <c r="E16" s="585">
        <v>2747740</v>
      </c>
      <c r="F16" s="1775">
        <f t="shared" si="1"/>
        <v>1346832</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172850815</v>
      </c>
      <c r="C19" s="1773">
        <f>SUM(C4:C18)</f>
        <v>90491656</v>
      </c>
      <c r="D19" s="1773">
        <f>SUM(D4:D18)</f>
        <v>82359159</v>
      </c>
      <c r="E19" s="1773">
        <f>SUM(E4:E18)</f>
        <v>177490276</v>
      </c>
      <c r="F19" s="1773">
        <f>SUM(F4:F18)</f>
        <v>86998620</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6" colorId="8" zoomScale="110" zoomScaleNormal="110" workbookViewId="0">
      <selection activeCell="J44" sqref="J4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649</v>
      </c>
      <c r="B1" s="2233"/>
      <c r="C1" s="722"/>
    </row>
    <row r="2" spans="1:7" ht="33.75" x14ac:dyDescent="0.2">
      <c r="A2" s="2240" t="s">
        <v>1902</v>
      </c>
      <c r="B2" s="2241"/>
      <c r="C2" s="1907" t="s">
        <v>2035</v>
      </c>
      <c r="D2" s="724" t="s">
        <v>2042</v>
      </c>
      <c r="E2" s="724" t="s">
        <v>2043</v>
      </c>
      <c r="F2" s="1907" t="s">
        <v>2036</v>
      </c>
    </row>
    <row r="3" spans="1:7" ht="15.75" customHeight="1" x14ac:dyDescent="0.2">
      <c r="A3" s="2242" t="s">
        <v>1175</v>
      </c>
      <c r="B3" s="2243"/>
      <c r="C3" s="2236"/>
      <c r="D3" s="2237"/>
      <c r="E3" s="2237"/>
      <c r="F3" s="2238"/>
    </row>
    <row r="4" spans="1:7" ht="12.75" customHeight="1" thickBot="1" x14ac:dyDescent="0.25">
      <c r="A4" s="2230" t="s">
        <v>650</v>
      </c>
      <c r="B4" s="2231"/>
      <c r="C4" s="581"/>
      <c r="D4" s="581"/>
      <c r="E4" s="581"/>
      <c r="F4" s="1777">
        <f>SUM(C4+D4)-E4</f>
        <v>0</v>
      </c>
    </row>
    <row r="5" spans="1:7" ht="15.75" customHeight="1" thickTop="1" x14ac:dyDescent="0.2">
      <c r="A5" s="2234" t="s">
        <v>1171</v>
      </c>
      <c r="B5" s="2229"/>
      <c r="C5" s="2223"/>
      <c r="D5" s="2224"/>
      <c r="E5" s="2224"/>
      <c r="F5" s="222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26" t="s">
        <v>651</v>
      </c>
      <c r="B15" s="2227"/>
      <c r="C15" s="1777">
        <f>SUM(C6:C14)</f>
        <v>0</v>
      </c>
      <c r="D15" s="1777">
        <f>SUM(D6:D14)</f>
        <v>0</v>
      </c>
      <c r="E15" s="1777">
        <f>SUM(E6:E14)</f>
        <v>0</v>
      </c>
      <c r="F15" s="1777">
        <f>SUM(F6:F14)</f>
        <v>0</v>
      </c>
      <c r="G15" s="552"/>
    </row>
    <row r="16" spans="1:7" s="202" customFormat="1" ht="15.75" customHeight="1" thickTop="1" x14ac:dyDescent="0.2">
      <c r="A16" s="2239" t="s">
        <v>1172</v>
      </c>
      <c r="B16" s="2229"/>
      <c r="C16" s="2223"/>
      <c r="D16" s="2224"/>
      <c r="E16" s="2224"/>
      <c r="F16" s="2225"/>
    </row>
    <row r="17" spans="1:11" ht="12.75" customHeight="1" thickBot="1" x14ac:dyDescent="0.25">
      <c r="A17" s="2221" t="s">
        <v>66</v>
      </c>
      <c r="B17" s="2222"/>
      <c r="C17" s="727"/>
      <c r="D17" s="585"/>
      <c r="E17" s="727"/>
      <c r="F17" s="1777">
        <f>SUM(C17+D17)-E17</f>
        <v>0</v>
      </c>
    </row>
    <row r="18" spans="1:11" ht="12.75" customHeight="1" thickTop="1" thickBot="1" x14ac:dyDescent="0.25">
      <c r="A18" s="2221" t="s">
        <v>6</v>
      </c>
      <c r="B18" s="2222"/>
      <c r="C18" s="727"/>
      <c r="D18" s="585"/>
      <c r="E18" s="727"/>
      <c r="F18" s="1777">
        <f>SUM(C18+D18)-E18</f>
        <v>0</v>
      </c>
    </row>
    <row r="19" spans="1:11" ht="12.75" customHeight="1" thickTop="1" thickBot="1" x14ac:dyDescent="0.25">
      <c r="A19" s="2221" t="s">
        <v>405</v>
      </c>
      <c r="B19" s="2222"/>
      <c r="C19" s="727"/>
      <c r="D19" s="585"/>
      <c r="E19" s="727"/>
      <c r="F19" s="1777">
        <f>SUM(C19+D19)-E19</f>
        <v>0</v>
      </c>
    </row>
    <row r="20" spans="1:11" ht="12.75" customHeight="1" thickTop="1" thickBot="1" x14ac:dyDescent="0.25">
      <c r="A20" s="2221" t="s">
        <v>467</v>
      </c>
      <c r="B20" s="2222"/>
      <c r="C20" s="727"/>
      <c r="D20" s="585"/>
      <c r="E20" s="727"/>
      <c r="F20" s="1777">
        <f>SUM(C20+D20)-E20</f>
        <v>0</v>
      </c>
    </row>
    <row r="21" spans="1:11" ht="14.25" thickTop="1" thickBot="1" x14ac:dyDescent="0.25">
      <c r="A21" s="2226" t="s">
        <v>652</v>
      </c>
      <c r="B21" s="2227"/>
      <c r="C21" s="1777">
        <f>SUM(C17:C20)</f>
        <v>0</v>
      </c>
      <c r="D21" s="1777">
        <f>SUM(D17:D20)</f>
        <v>0</v>
      </c>
      <c r="E21" s="1777">
        <f>SUM(E17:E20)</f>
        <v>0</v>
      </c>
      <c r="F21" s="1777">
        <f>SUM(F17:F20)</f>
        <v>0</v>
      </c>
      <c r="G21" s="552"/>
    </row>
    <row r="22" spans="1:11" ht="15.75" customHeight="1" thickTop="1" x14ac:dyDescent="0.2">
      <c r="A22" s="2228" t="s">
        <v>1173</v>
      </c>
      <c r="B22" s="2229"/>
      <c r="C22" s="2223"/>
      <c r="D22" s="2224"/>
      <c r="E22" s="2224"/>
      <c r="F22" s="2225"/>
    </row>
    <row r="23" spans="1:11" ht="13.5" thickBot="1" x14ac:dyDescent="0.25">
      <c r="A23" s="2230" t="s">
        <v>653</v>
      </c>
      <c r="B23" s="2231"/>
      <c r="C23" s="581"/>
      <c r="D23" s="581"/>
      <c r="E23" s="581"/>
      <c r="F23" s="1777">
        <f>SUM(C23+D23)-E23</f>
        <v>0</v>
      </c>
      <c r="G23" s="552"/>
    </row>
    <row r="24" spans="1:11" ht="15.75" customHeight="1" thickTop="1" x14ac:dyDescent="0.2">
      <c r="A24" s="2228" t="s">
        <v>1174</v>
      </c>
      <c r="B24" s="2229"/>
      <c r="C24" s="2223"/>
      <c r="D24" s="2224"/>
      <c r="E24" s="2224"/>
      <c r="F24" s="2225"/>
    </row>
    <row r="25" spans="1:11" ht="13.5" thickBot="1" x14ac:dyDescent="0.25">
      <c r="A25" s="2230" t="s">
        <v>654</v>
      </c>
      <c r="B25" s="2231"/>
      <c r="C25" s="581"/>
      <c r="D25" s="581"/>
      <c r="E25" s="581"/>
      <c r="F25" s="1777">
        <f>SUM(C25+D25)-E25</f>
        <v>0</v>
      </c>
      <c r="G25" s="552"/>
    </row>
    <row r="26" spans="1:11" ht="15.75" customHeight="1" thickTop="1" x14ac:dyDescent="0.2">
      <c r="A26" s="2234" t="s">
        <v>677</v>
      </c>
      <c r="B26" s="2229"/>
      <c r="C26" s="728"/>
      <c r="D26" s="728"/>
      <c r="E26" s="728"/>
      <c r="F26" s="729"/>
    </row>
    <row r="27" spans="1:11" ht="13.5" thickBot="1" x14ac:dyDescent="0.25">
      <c r="A27" s="2226" t="s">
        <v>1129</v>
      </c>
      <c r="B27" s="2227"/>
      <c r="C27" s="585"/>
      <c r="D27" s="585"/>
      <c r="E27" s="585"/>
      <c r="F27" s="1777">
        <f>SUM(C27+D27)-E27</f>
        <v>0</v>
      </c>
      <c r="G27" s="552"/>
    </row>
    <row r="28" spans="1:11" ht="7.5" customHeight="1" thickTop="1" x14ac:dyDescent="0.2">
      <c r="A28" s="594"/>
    </row>
    <row r="29" spans="1:11" ht="23.25" customHeight="1" x14ac:dyDescent="0.2">
      <c r="A29" s="2232" t="s">
        <v>602</v>
      </c>
      <c r="B29" s="2233"/>
      <c r="C29" s="730"/>
      <c r="D29" s="730"/>
      <c r="E29" s="730"/>
      <c r="F29" s="730"/>
      <c r="G29" s="730"/>
      <c r="H29" s="730"/>
      <c r="I29" s="730"/>
      <c r="J29" s="730"/>
    </row>
    <row r="30" spans="1:11" ht="33.75" x14ac:dyDescent="0.2">
      <c r="A30" s="1551" t="s">
        <v>1130</v>
      </c>
      <c r="B30" s="731" t="s">
        <v>1185</v>
      </c>
      <c r="C30" s="1908" t="s">
        <v>603</v>
      </c>
      <c r="D30" s="1908" t="s">
        <v>1771</v>
      </c>
      <c r="E30" s="1908" t="s">
        <v>2037</v>
      </c>
      <c r="F30" s="1908" t="s">
        <v>2038</v>
      </c>
      <c r="G30" s="1908" t="s">
        <v>2041</v>
      </c>
      <c r="H30" s="1908" t="s">
        <v>2039</v>
      </c>
      <c r="I30" s="1908" t="s">
        <v>2040</v>
      </c>
      <c r="J30" s="1909" t="s">
        <v>2</v>
      </c>
      <c r="K30" s="732"/>
    </row>
    <row r="31" spans="1:11" ht="12" customHeight="1" x14ac:dyDescent="0.2">
      <c r="A31" s="733" t="s">
        <v>2091</v>
      </c>
      <c r="B31" s="734">
        <v>36307</v>
      </c>
      <c r="C31" s="735">
        <v>11456517</v>
      </c>
      <c r="D31" s="736">
        <v>6</v>
      </c>
      <c r="E31" s="735">
        <v>6738380</v>
      </c>
      <c r="F31" s="735"/>
      <c r="G31" s="735">
        <v>556160</v>
      </c>
      <c r="H31" s="735"/>
      <c r="I31" s="1778">
        <f>((E31+F31)-H31)+G31</f>
        <v>7294540</v>
      </c>
      <c r="J31" s="735">
        <v>6927863</v>
      </c>
      <c r="K31" s="737"/>
    </row>
    <row r="32" spans="1:11" ht="12" customHeight="1" x14ac:dyDescent="0.2">
      <c r="A32" s="733" t="s">
        <v>2092</v>
      </c>
      <c r="B32" s="734">
        <v>37348</v>
      </c>
      <c r="C32" s="735">
        <v>102655836</v>
      </c>
      <c r="D32" s="736">
        <v>6</v>
      </c>
      <c r="E32" s="735">
        <v>65286825</v>
      </c>
      <c r="F32" s="735"/>
      <c r="G32" s="735">
        <v>4881346</v>
      </c>
      <c r="H32" s="735">
        <v>18575000</v>
      </c>
      <c r="I32" s="1778">
        <f>((E32+F32)-H32)+G32</f>
        <v>51593171</v>
      </c>
      <c r="J32" s="735">
        <v>48999718</v>
      </c>
      <c r="K32" s="737"/>
    </row>
    <row r="33" spans="1:11" ht="12" customHeight="1" x14ac:dyDescent="0.2">
      <c r="A33" s="733" t="s">
        <v>2093</v>
      </c>
      <c r="B33" s="734">
        <v>37620</v>
      </c>
      <c r="C33" s="735">
        <v>6272885</v>
      </c>
      <c r="D33" s="736">
        <v>3</v>
      </c>
      <c r="E33" s="735">
        <v>13964332</v>
      </c>
      <c r="F33" s="735"/>
      <c r="G33" s="735">
        <v>791788</v>
      </c>
      <c r="H33" s="735"/>
      <c r="I33" s="1778">
        <f t="shared" ref="I33:I48" si="1">((E33+F33)-H33)+G33</f>
        <v>14756120</v>
      </c>
      <c r="J33" s="735">
        <v>14014369</v>
      </c>
      <c r="K33" s="737"/>
    </row>
    <row r="34" spans="1:11" ht="12" customHeight="1" x14ac:dyDescent="0.2">
      <c r="A34" s="733" t="s">
        <v>2094</v>
      </c>
      <c r="B34" s="734">
        <v>37620</v>
      </c>
      <c r="C34" s="735">
        <v>1546998</v>
      </c>
      <c r="D34" s="736">
        <v>3</v>
      </c>
      <c r="E34" s="735">
        <v>3568636</v>
      </c>
      <c r="F34" s="735"/>
      <c r="G34" s="735">
        <v>211602</v>
      </c>
      <c r="H34" s="735"/>
      <c r="I34" s="1778">
        <f t="shared" si="1"/>
        <v>3780238</v>
      </c>
      <c r="J34" s="735">
        <v>3590215</v>
      </c>
      <c r="K34" s="738"/>
    </row>
    <row r="35" spans="1:11" ht="12" customHeight="1" x14ac:dyDescent="0.2">
      <c r="A35" s="733" t="s">
        <v>2095</v>
      </c>
      <c r="B35" s="734">
        <v>37965</v>
      </c>
      <c r="C35" s="739">
        <v>25846763</v>
      </c>
      <c r="D35" s="736" t="s">
        <v>2106</v>
      </c>
      <c r="E35" s="739">
        <v>50434586</v>
      </c>
      <c r="F35" s="739"/>
      <c r="G35" s="739">
        <v>4580930</v>
      </c>
      <c r="H35" s="739">
        <v>1345000</v>
      </c>
      <c r="I35" s="1778">
        <f t="shared" si="1"/>
        <v>53670516</v>
      </c>
      <c r="J35" s="739">
        <v>50972641</v>
      </c>
      <c r="K35" s="738"/>
    </row>
    <row r="36" spans="1:11" ht="12" customHeight="1" x14ac:dyDescent="0.2">
      <c r="A36" s="733" t="s">
        <v>2096</v>
      </c>
      <c r="B36" s="734">
        <v>38701</v>
      </c>
      <c r="C36" s="735">
        <v>18005758</v>
      </c>
      <c r="D36" s="736">
        <v>6</v>
      </c>
      <c r="E36" s="735">
        <v>41459727</v>
      </c>
      <c r="F36" s="735"/>
      <c r="G36" s="735">
        <v>3815332</v>
      </c>
      <c r="H36" s="735"/>
      <c r="I36" s="1778">
        <f t="shared" si="1"/>
        <v>45275059</v>
      </c>
      <c r="J36" s="735">
        <v>42999201</v>
      </c>
      <c r="K36" s="740"/>
    </row>
    <row r="37" spans="1:11" ht="12" customHeight="1" x14ac:dyDescent="0.2">
      <c r="A37" s="733" t="s">
        <v>2097</v>
      </c>
      <c r="B37" s="734">
        <v>39119</v>
      </c>
      <c r="C37" s="467">
        <v>6532730</v>
      </c>
      <c r="D37" s="741" t="s">
        <v>2106</v>
      </c>
      <c r="E37" s="467">
        <v>10593493</v>
      </c>
      <c r="F37" s="467"/>
      <c r="G37" s="467">
        <v>974866</v>
      </c>
      <c r="H37" s="467"/>
      <c r="I37" s="1778">
        <f t="shared" si="1"/>
        <v>11568359</v>
      </c>
      <c r="J37" s="467">
        <v>10986848</v>
      </c>
      <c r="K37" s="738"/>
    </row>
    <row r="38" spans="1:11" ht="12" customHeight="1" x14ac:dyDescent="0.2">
      <c r="A38" s="733" t="s">
        <v>2098</v>
      </c>
      <c r="B38" s="734" t="s">
        <v>2105</v>
      </c>
      <c r="C38" s="735">
        <v>8802821</v>
      </c>
      <c r="D38" s="742">
        <v>7</v>
      </c>
      <c r="E38" s="743">
        <v>4392152</v>
      </c>
      <c r="F38" s="743">
        <v>1646768</v>
      </c>
      <c r="G38" s="743"/>
      <c r="H38" s="743">
        <v>2603827</v>
      </c>
      <c r="I38" s="1778">
        <f t="shared" si="1"/>
        <v>3435093</v>
      </c>
      <c r="J38" s="744">
        <v>3435093</v>
      </c>
      <c r="K38" s="745"/>
    </row>
    <row r="39" spans="1:11" ht="12" customHeight="1" x14ac:dyDescent="0.2">
      <c r="A39" s="733" t="s">
        <v>2099</v>
      </c>
      <c r="B39" s="734">
        <v>39889</v>
      </c>
      <c r="C39" s="735">
        <v>23616901</v>
      </c>
      <c r="D39" s="742">
        <v>3</v>
      </c>
      <c r="E39" s="743">
        <v>22079665</v>
      </c>
      <c r="F39" s="743"/>
      <c r="G39" s="743">
        <v>2437353</v>
      </c>
      <c r="H39" s="743"/>
      <c r="I39" s="1778">
        <f t="shared" si="1"/>
        <v>24517018</v>
      </c>
      <c r="J39" s="744">
        <v>23284612</v>
      </c>
      <c r="K39" s="745"/>
    </row>
    <row r="40" spans="1:11" ht="12" customHeight="1" x14ac:dyDescent="0.2">
      <c r="A40" s="733" t="s">
        <v>2100</v>
      </c>
      <c r="B40" s="734">
        <v>40666</v>
      </c>
      <c r="C40" s="735">
        <v>55595000</v>
      </c>
      <c r="D40" s="742">
        <v>3</v>
      </c>
      <c r="E40" s="743">
        <v>55595000</v>
      </c>
      <c r="F40" s="743"/>
      <c r="G40" s="743"/>
      <c r="H40" s="743">
        <v>1500000</v>
      </c>
      <c r="I40" s="1778">
        <f t="shared" si="1"/>
        <v>54095000</v>
      </c>
      <c r="J40" s="744">
        <v>51375787</v>
      </c>
      <c r="K40" s="745"/>
    </row>
    <row r="41" spans="1:11" ht="12" customHeight="1" x14ac:dyDescent="0.2">
      <c r="A41" s="733" t="s">
        <v>2101</v>
      </c>
      <c r="B41" s="734">
        <v>40696</v>
      </c>
      <c r="C41" s="735">
        <v>14505000</v>
      </c>
      <c r="D41" s="742">
        <v>3</v>
      </c>
      <c r="E41" s="743">
        <v>9610000</v>
      </c>
      <c r="F41" s="743"/>
      <c r="G41" s="743"/>
      <c r="H41" s="743">
        <v>4180000</v>
      </c>
      <c r="I41" s="1778">
        <f t="shared" si="1"/>
        <v>5430000</v>
      </c>
      <c r="J41" s="744">
        <v>5157048</v>
      </c>
      <c r="K41" s="745"/>
    </row>
    <row r="42" spans="1:11" ht="12" customHeight="1" x14ac:dyDescent="0.2">
      <c r="A42" s="733" t="s">
        <v>2102</v>
      </c>
      <c r="B42" s="734">
        <v>41179</v>
      </c>
      <c r="C42" s="735">
        <v>9952138</v>
      </c>
      <c r="D42" s="736">
        <v>3</v>
      </c>
      <c r="E42" s="735">
        <v>11487704</v>
      </c>
      <c r="F42" s="743"/>
      <c r="G42" s="743">
        <v>364714</v>
      </c>
      <c r="H42" s="743"/>
      <c r="I42" s="1778">
        <f t="shared" si="1"/>
        <v>11852418</v>
      </c>
      <c r="J42" s="744">
        <v>11256628</v>
      </c>
      <c r="K42" s="745"/>
    </row>
    <row r="43" spans="1:11" ht="12" customHeight="1" x14ac:dyDescent="0.2">
      <c r="A43" s="733" t="s">
        <v>2103</v>
      </c>
      <c r="B43" s="734">
        <v>42552</v>
      </c>
      <c r="C43" s="735">
        <v>25000000</v>
      </c>
      <c r="D43" s="736">
        <v>1</v>
      </c>
      <c r="E43" s="735">
        <v>25000000</v>
      </c>
      <c r="F43" s="743"/>
      <c r="G43" s="743"/>
      <c r="H43" s="743"/>
      <c r="I43" s="1778">
        <f t="shared" si="1"/>
        <v>25000000</v>
      </c>
      <c r="J43" s="744">
        <v>23743316</v>
      </c>
      <c r="K43" s="745"/>
    </row>
    <row r="44" spans="1:11" ht="12" customHeight="1" x14ac:dyDescent="0.2">
      <c r="A44" s="733" t="s">
        <v>2104</v>
      </c>
      <c r="B44" s="734"/>
      <c r="C44" s="735"/>
      <c r="D44" s="736"/>
      <c r="E44" s="735"/>
      <c r="F44" s="735"/>
      <c r="G44" s="735">
        <v>64015</v>
      </c>
      <c r="H44" s="735">
        <v>64015</v>
      </c>
      <c r="I44" s="1778">
        <f t="shared" si="1"/>
        <v>0</v>
      </c>
      <c r="J44" s="735"/>
      <c r="K44" s="738"/>
    </row>
    <row r="45" spans="1:11" ht="12" customHeight="1" x14ac:dyDescent="0.2">
      <c r="A45" s="733" t="s">
        <v>2107</v>
      </c>
      <c r="B45" s="734">
        <v>42927</v>
      </c>
      <c r="C45" s="735">
        <v>5325000</v>
      </c>
      <c r="D45" s="736">
        <v>8</v>
      </c>
      <c r="E45" s="735"/>
      <c r="F45" s="735">
        <v>5325000</v>
      </c>
      <c r="G45" s="735"/>
      <c r="H45" s="735"/>
      <c r="I45" s="1778">
        <f t="shared" si="1"/>
        <v>5325000</v>
      </c>
      <c r="J45" s="735">
        <v>5325000</v>
      </c>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315114347</v>
      </c>
      <c r="D49" s="746"/>
      <c r="E49" s="1778">
        <f t="shared" ref="E49:J49" si="2">SUM(E31:E48)</f>
        <v>320210500</v>
      </c>
      <c r="F49" s="1778">
        <f t="shared" si="2"/>
        <v>6971768</v>
      </c>
      <c r="G49" s="1778">
        <f t="shared" si="2"/>
        <v>18678106</v>
      </c>
      <c r="H49" s="1778">
        <f t="shared" si="2"/>
        <v>28267842</v>
      </c>
      <c r="I49" s="1778">
        <f t="shared" si="2"/>
        <v>317592532</v>
      </c>
      <c r="J49" s="1778">
        <f t="shared" si="2"/>
        <v>302068339</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215" t="s">
        <v>604</v>
      </c>
      <c r="C52" s="2216"/>
      <c r="D52" s="2216"/>
      <c r="E52" s="750" t="s">
        <v>899</v>
      </c>
      <c r="F52" s="2217" t="s">
        <v>2108</v>
      </c>
      <c r="G52" s="2218"/>
      <c r="H52" s="737"/>
      <c r="I52" s="737"/>
      <c r="J52" s="747"/>
    </row>
    <row r="53" spans="1:11" ht="11.25" customHeight="1" x14ac:dyDescent="0.2">
      <c r="A53" s="751" t="s">
        <v>968</v>
      </c>
      <c r="B53" s="752" t="s">
        <v>1007</v>
      </c>
      <c r="C53" s="747"/>
      <c r="D53" s="738"/>
      <c r="E53" s="750" t="s">
        <v>517</v>
      </c>
      <c r="F53" s="2219" t="s">
        <v>2109</v>
      </c>
      <c r="G53" s="2220"/>
      <c r="H53" s="737"/>
      <c r="I53" s="737"/>
      <c r="J53" s="747"/>
    </row>
    <row r="54" spans="1:11" ht="11.25" customHeight="1" x14ac:dyDescent="0.2">
      <c r="A54" s="753" t="s">
        <v>969</v>
      </c>
      <c r="B54" s="748" t="s">
        <v>1008</v>
      </c>
      <c r="C54" s="747"/>
      <c r="D54" s="738"/>
      <c r="E54" s="750" t="s">
        <v>518</v>
      </c>
      <c r="F54" s="2219"/>
      <c r="G54" s="222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910</v>
      </c>
      <c r="B1" s="2245"/>
      <c r="C1" s="2245"/>
      <c r="D1" s="2245"/>
      <c r="E1" s="2245"/>
      <c r="F1" s="2245"/>
      <c r="G1" s="2246"/>
      <c r="H1" s="1552"/>
      <c r="I1" s="761"/>
      <c r="J1" s="433"/>
    </row>
    <row r="2" spans="1:11" ht="26.25" x14ac:dyDescent="0.2">
      <c r="A2" s="2263" t="s">
        <v>1775</v>
      </c>
      <c r="B2" s="2264"/>
      <c r="C2" s="2264"/>
      <c r="D2" s="2264"/>
      <c r="E2" s="2265"/>
      <c r="F2" s="762" t="s">
        <v>959</v>
      </c>
      <c r="G2" s="763" t="s">
        <v>1772</v>
      </c>
      <c r="H2" s="763" t="s">
        <v>429</v>
      </c>
      <c r="I2" s="763" t="s">
        <v>1219</v>
      </c>
      <c r="J2" s="763" t="s">
        <v>1916</v>
      </c>
      <c r="K2" s="763" t="s">
        <v>140</v>
      </c>
    </row>
    <row r="3" spans="1:11" x14ac:dyDescent="0.2">
      <c r="A3" s="2266" t="s">
        <v>1697</v>
      </c>
      <c r="B3" s="2267"/>
      <c r="C3" s="2267"/>
      <c r="D3" s="2267"/>
      <c r="E3" s="2268"/>
      <c r="F3" s="764"/>
      <c r="G3" s="765"/>
      <c r="H3" s="765"/>
      <c r="I3" s="765"/>
      <c r="J3" s="766"/>
      <c r="K3" s="766"/>
    </row>
    <row r="4" spans="1:11" x14ac:dyDescent="0.2">
      <c r="A4" s="2269" t="s">
        <v>386</v>
      </c>
      <c r="B4" s="2270"/>
      <c r="C4" s="2270"/>
      <c r="D4" s="2270"/>
      <c r="E4" s="2216"/>
      <c r="F4" s="767"/>
      <c r="G4" s="768"/>
      <c r="H4" s="769"/>
      <c r="I4" s="768"/>
      <c r="J4" s="770"/>
      <c r="K4" s="770"/>
    </row>
    <row r="5" spans="1:11" x14ac:dyDescent="0.2">
      <c r="A5" s="2247" t="s">
        <v>1128</v>
      </c>
      <c r="B5" s="2248"/>
      <c r="C5" s="2248"/>
      <c r="D5" s="2248"/>
      <c r="E5" s="2249"/>
      <c r="F5" s="771" t="s">
        <v>902</v>
      </c>
      <c r="G5" s="772"/>
      <c r="H5" s="765">
        <v>18405254</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41304</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47" t="s">
        <v>1917</v>
      </c>
      <c r="B10" s="2248"/>
      <c r="C10" s="2248"/>
      <c r="D10" s="2248"/>
      <c r="E10" s="2250"/>
      <c r="F10" s="784" t="s">
        <v>916</v>
      </c>
      <c r="G10" s="783"/>
      <c r="H10" s="785"/>
      <c r="I10" s="765"/>
      <c r="J10" s="766"/>
      <c r="K10" s="766"/>
    </row>
    <row r="11" spans="1:11" x14ac:dyDescent="0.2">
      <c r="A11" s="2247" t="s">
        <v>162</v>
      </c>
      <c r="B11" s="2248"/>
      <c r="C11" s="2248"/>
      <c r="D11" s="2248"/>
      <c r="E11" s="2249"/>
      <c r="F11" s="771" t="s">
        <v>906</v>
      </c>
      <c r="G11" s="772"/>
      <c r="H11" s="765"/>
      <c r="I11" s="765"/>
      <c r="J11" s="766"/>
      <c r="K11" s="774"/>
    </row>
    <row r="12" spans="1:11" ht="13.5" thickBot="1" x14ac:dyDescent="0.25">
      <c r="A12" s="2274" t="s">
        <v>960</v>
      </c>
      <c r="B12" s="2275"/>
      <c r="C12" s="2275"/>
      <c r="D12" s="2275"/>
      <c r="E12" s="2276"/>
      <c r="F12" s="1779"/>
      <c r="G12" s="1780">
        <f>SUM(G5:G11)</f>
        <v>0</v>
      </c>
      <c r="H12" s="1780">
        <f>SUM(H5:H11)</f>
        <v>18405254</v>
      </c>
      <c r="I12" s="1780">
        <f>SUM(I5:I11)</f>
        <v>0</v>
      </c>
      <c r="J12" s="1780">
        <f>SUM(J5:J11)</f>
        <v>0</v>
      </c>
      <c r="K12" s="1780">
        <f>SUM(K5:K11)</f>
        <v>41304</v>
      </c>
    </row>
    <row r="13" spans="1:11" ht="13.5" thickTop="1" x14ac:dyDescent="0.2">
      <c r="A13" s="2271" t="s">
        <v>387</v>
      </c>
      <c r="B13" s="2272"/>
      <c r="C13" s="2272"/>
      <c r="D13" s="2272"/>
      <c r="E13" s="2273"/>
      <c r="F13" s="786"/>
      <c r="G13" s="787"/>
      <c r="H13" s="788"/>
      <c r="I13" s="789"/>
      <c r="J13" s="789"/>
      <c r="K13" s="789"/>
    </row>
    <row r="14" spans="1:11" x14ac:dyDescent="0.2">
      <c r="A14" s="2254" t="s">
        <v>475</v>
      </c>
      <c r="B14" s="2254"/>
      <c r="C14" s="2254"/>
      <c r="D14" s="2254"/>
      <c r="E14" s="2255"/>
      <c r="F14" s="790" t="s">
        <v>908</v>
      </c>
      <c r="G14" s="783"/>
      <c r="H14" s="765">
        <v>18405254</v>
      </c>
      <c r="I14" s="772"/>
      <c r="J14" s="774"/>
      <c r="K14" s="766">
        <v>41304</v>
      </c>
    </row>
    <row r="15" spans="1:11" x14ac:dyDescent="0.2">
      <c r="A15" s="2248" t="s">
        <v>4</v>
      </c>
      <c r="B15" s="2248"/>
      <c r="C15" s="2248"/>
      <c r="D15" s="2248"/>
      <c r="E15" s="2249"/>
      <c r="F15" s="790" t="s">
        <v>909</v>
      </c>
      <c r="G15" s="772"/>
      <c r="H15" s="765"/>
      <c r="I15" s="765"/>
      <c r="J15" s="766"/>
      <c r="K15" s="766"/>
    </row>
    <row r="16" spans="1:11" x14ac:dyDescent="0.2">
      <c r="A16" s="2248" t="s">
        <v>315</v>
      </c>
      <c r="B16" s="2248"/>
      <c r="C16" s="2248"/>
      <c r="D16" s="2248"/>
      <c r="E16" s="2249"/>
      <c r="F16" s="790" t="s">
        <v>979</v>
      </c>
      <c r="G16" s="773"/>
      <c r="H16" s="768"/>
      <c r="I16" s="768"/>
      <c r="J16" s="770"/>
      <c r="K16" s="770"/>
    </row>
    <row r="17" spans="1:11" x14ac:dyDescent="0.2">
      <c r="A17" s="2279" t="s">
        <v>991</v>
      </c>
      <c r="B17" s="2279"/>
      <c r="C17" s="2279"/>
      <c r="D17" s="2279"/>
      <c r="E17" s="2280"/>
      <c r="F17" s="791"/>
      <c r="G17" s="792"/>
      <c r="H17" s="793"/>
      <c r="I17" s="793"/>
      <c r="J17" s="794"/>
      <c r="K17" s="795"/>
    </row>
    <row r="18" spans="1:11" x14ac:dyDescent="0.2">
      <c r="A18" s="2258" t="s">
        <v>385</v>
      </c>
      <c r="B18" s="2259"/>
      <c r="C18" s="2259"/>
      <c r="D18" s="2259"/>
      <c r="E18" s="2260"/>
      <c r="F18" s="790" t="s">
        <v>988</v>
      </c>
      <c r="G18" s="783"/>
      <c r="H18" s="783"/>
      <c r="I18" s="783"/>
      <c r="J18" s="766"/>
      <c r="K18" s="796"/>
    </row>
    <row r="19" spans="1:11" ht="21.75" customHeight="1" x14ac:dyDescent="0.2">
      <c r="A19" s="2256" t="s">
        <v>1913</v>
      </c>
      <c r="B19" s="2256"/>
      <c r="C19" s="2256"/>
      <c r="D19" s="2256"/>
      <c r="E19" s="2257"/>
      <c r="F19" s="790" t="s">
        <v>989</v>
      </c>
      <c r="G19" s="783"/>
      <c r="H19" s="783"/>
      <c r="I19" s="783"/>
      <c r="J19" s="766"/>
      <c r="K19" s="796"/>
    </row>
    <row r="20" spans="1:11" x14ac:dyDescent="0.2">
      <c r="A20" s="2258" t="s">
        <v>1918</v>
      </c>
      <c r="B20" s="2259"/>
      <c r="C20" s="2259"/>
      <c r="D20" s="2259"/>
      <c r="E20" s="2260"/>
      <c r="F20" s="790" t="s">
        <v>990</v>
      </c>
      <c r="G20" s="783"/>
      <c r="H20" s="783"/>
      <c r="I20" s="783"/>
      <c r="J20" s="766"/>
      <c r="K20" s="796"/>
    </row>
    <row r="21" spans="1:11" ht="13.5" thickBot="1" x14ac:dyDescent="0.25">
      <c r="A21" s="2277" t="s">
        <v>658</v>
      </c>
      <c r="B21" s="2277"/>
      <c r="C21" s="2277"/>
      <c r="D21" s="2277"/>
      <c r="E21" s="2277"/>
      <c r="F21" s="1781"/>
      <c r="G21" s="793"/>
      <c r="H21" s="797"/>
      <c r="I21" s="797"/>
      <c r="J21" s="1782">
        <f>SUM(J18:J20)</f>
        <v>0</v>
      </c>
      <c r="K21" s="794"/>
    </row>
    <row r="22" spans="1:11" ht="13.5" thickTop="1" x14ac:dyDescent="0.2">
      <c r="A22" s="2248" t="s">
        <v>1919</v>
      </c>
      <c r="B22" s="2248"/>
      <c r="C22" s="2248"/>
      <c r="D22" s="2248"/>
      <c r="E22" s="2249"/>
      <c r="F22" s="790" t="s">
        <v>916</v>
      </c>
      <c r="G22" s="783"/>
      <c r="H22" s="765"/>
      <c r="I22" s="765"/>
      <c r="J22" s="798"/>
      <c r="K22" s="766"/>
    </row>
    <row r="23" spans="1:11" ht="13.5" thickBot="1" x14ac:dyDescent="0.25">
      <c r="A23" s="2278" t="s">
        <v>961</v>
      </c>
      <c r="B23" s="2277"/>
      <c r="C23" s="2277"/>
      <c r="D23" s="2277"/>
      <c r="E23" s="2277"/>
      <c r="F23" s="1783"/>
      <c r="G23" s="1780">
        <f>SUM(G14:G16,G21,G22)</f>
        <v>0</v>
      </c>
      <c r="H23" s="1780">
        <f>SUM(H14:H16,H21,H22)</f>
        <v>18405254</v>
      </c>
      <c r="I23" s="1780">
        <f>SUM(I14:I16,I21,I22)</f>
        <v>0</v>
      </c>
      <c r="J23" s="1780">
        <f>SUM(J14:J16,J21,J22)</f>
        <v>0</v>
      </c>
      <c r="K23" s="1780">
        <f>SUM(K14:K16,K21,K22)</f>
        <v>41304</v>
      </c>
    </row>
    <row r="24" spans="1:11" ht="14.25" thickTop="1" thickBot="1" x14ac:dyDescent="0.25">
      <c r="A24" s="2278" t="s">
        <v>2023</v>
      </c>
      <c r="B24" s="2277"/>
      <c r="C24" s="2277"/>
      <c r="D24" s="2277"/>
      <c r="E24" s="2277"/>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2033</v>
      </c>
      <c r="B28" s="1904"/>
      <c r="C28" s="1904"/>
      <c r="D28" s="1904"/>
      <c r="E28" s="1905"/>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51"/>
      <c r="I31" s="2252"/>
      <c r="J31" s="2252"/>
      <c r="K31" s="2252"/>
    </row>
    <row r="32" spans="1:11" x14ac:dyDescent="0.2">
      <c r="A32" s="810"/>
      <c r="B32" s="237"/>
      <c r="C32" s="237"/>
      <c r="D32" s="237"/>
      <c r="E32" s="806"/>
      <c r="F32" s="812" t="s">
        <v>560</v>
      </c>
      <c r="G32" s="765"/>
      <c r="H32" s="2253"/>
      <c r="I32" s="2252"/>
      <c r="J32" s="2252"/>
      <c r="K32" s="2252"/>
    </row>
    <row r="33" spans="1:11" ht="1.5" customHeight="1" x14ac:dyDescent="0.2">
      <c r="A33" s="813" t="s">
        <v>1230</v>
      </c>
      <c r="B33" s="364"/>
      <c r="C33" s="364"/>
      <c r="D33" s="364"/>
      <c r="E33" s="364"/>
      <c r="F33" s="364"/>
      <c r="G33" s="814"/>
      <c r="H33" s="2253"/>
      <c r="I33" s="2252"/>
      <c r="J33" s="2252"/>
      <c r="K33" s="2252"/>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8" t="s">
        <v>561</v>
      </c>
      <c r="B41" s="2261"/>
      <c r="C41" s="2261"/>
      <c r="D41" s="2261"/>
      <c r="E41" s="2261"/>
      <c r="F41" s="226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1914</v>
      </c>
      <c r="B46" s="408" t="s">
        <v>1773</v>
      </c>
    </row>
    <row r="47" spans="1:11" s="824" customFormat="1" ht="12.75" customHeight="1" x14ac:dyDescent="0.2">
      <c r="A47" s="822"/>
      <c r="B47" s="823" t="s">
        <v>1774</v>
      </c>
      <c r="E47" s="823"/>
      <c r="K47" s="825"/>
    </row>
    <row r="48" spans="1:11" ht="12.75" customHeight="1" x14ac:dyDescent="0.2">
      <c r="A48" s="1554"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2032</v>
      </c>
      <c r="B1" s="2284"/>
      <c r="C1" s="2285"/>
      <c r="D1" s="827"/>
      <c r="E1" s="828"/>
      <c r="F1" s="828"/>
      <c r="G1" s="829"/>
      <c r="H1" s="830"/>
      <c r="I1" s="831"/>
      <c r="J1" s="2281"/>
      <c r="K1" s="2282"/>
      <c r="L1" s="2282"/>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17041154</v>
      </c>
      <c r="D5" s="842"/>
      <c r="E5" s="842"/>
      <c r="F5" s="1782">
        <f>(C5+D5)-E5</f>
        <v>17041154</v>
      </c>
      <c r="G5" s="838"/>
      <c r="H5" s="843"/>
      <c r="I5" s="843"/>
      <c r="J5" s="843"/>
      <c r="K5" s="794"/>
      <c r="L5" s="1791">
        <f>F5-K5</f>
        <v>17041154</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371669510</v>
      </c>
      <c r="D8" s="845">
        <v>8772629</v>
      </c>
      <c r="E8" s="845"/>
      <c r="F8" s="1782">
        <f>(C8+D8)-E8</f>
        <v>380442139</v>
      </c>
      <c r="G8" s="844">
        <v>50</v>
      </c>
      <c r="H8" s="766">
        <v>82375736</v>
      </c>
      <c r="I8" s="766">
        <v>5594762</v>
      </c>
      <c r="J8" s="766"/>
      <c r="K8" s="1791">
        <f>(H8+I8)-J8</f>
        <v>87970498</v>
      </c>
      <c r="L8" s="1791">
        <f>F8-K8</f>
        <v>292471641</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16512726</v>
      </c>
      <c r="D10" s="847">
        <v>3539437</v>
      </c>
      <c r="E10" s="847"/>
      <c r="F10" s="1786">
        <f>(C10+D10)-E10</f>
        <v>20052163</v>
      </c>
      <c r="G10" s="844">
        <v>20</v>
      </c>
      <c r="H10" s="848">
        <v>6765850</v>
      </c>
      <c r="I10" s="848">
        <v>644864</v>
      </c>
      <c r="J10" s="848"/>
      <c r="K10" s="1791">
        <f>(H10+I10)-J10</f>
        <v>7410714</v>
      </c>
      <c r="L10" s="1791">
        <f>F10-K10</f>
        <v>12641449</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f>23251574</f>
        <v>23251574</v>
      </c>
      <c r="D12" s="845">
        <f>118105+1166755</f>
        <v>1284860</v>
      </c>
      <c r="E12" s="845"/>
      <c r="F12" s="1782">
        <f>(C12+D12)-E12</f>
        <v>24536434</v>
      </c>
      <c r="G12" s="844">
        <v>10</v>
      </c>
      <c r="H12" s="766">
        <f>12544604</f>
        <v>12544604</v>
      </c>
      <c r="I12" s="766">
        <f>778047+80887</f>
        <v>858934</v>
      </c>
      <c r="J12" s="766"/>
      <c r="K12" s="1791">
        <f>(H12+I12)-J12</f>
        <v>13403538</v>
      </c>
      <c r="L12" s="1791">
        <f>F12-K12</f>
        <v>11132896</v>
      </c>
    </row>
    <row r="13" spans="1:14" ht="14.25" thickTop="1" thickBot="1" x14ac:dyDescent="0.25">
      <c r="A13" s="849" t="s">
        <v>1183</v>
      </c>
      <c r="B13" s="841">
        <v>252</v>
      </c>
      <c r="C13" s="845">
        <v>2059573</v>
      </c>
      <c r="D13" s="845">
        <v>254524</v>
      </c>
      <c r="E13" s="845">
        <v>26028</v>
      </c>
      <c r="F13" s="1782">
        <f>(C13+D13)-E13</f>
        <v>2288069</v>
      </c>
      <c r="G13" s="844">
        <v>5</v>
      </c>
      <c r="H13" s="766">
        <v>1635259</v>
      </c>
      <c r="I13" s="766">
        <f>68949+17594</f>
        <v>86543</v>
      </c>
      <c r="J13" s="766">
        <v>26028</v>
      </c>
      <c r="K13" s="1791">
        <f>(H13+I13)-J13</f>
        <v>1695774</v>
      </c>
      <c r="L13" s="1791">
        <f>F13-K13</f>
        <v>592295</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8914800</v>
      </c>
      <c r="D15" s="845">
        <v>1425543</v>
      </c>
      <c r="E15" s="845">
        <v>4179048</v>
      </c>
      <c r="F15" s="1782">
        <f>(C15+D15)-E15</f>
        <v>6161295</v>
      </c>
      <c r="G15" s="850" t="s">
        <v>916</v>
      </c>
      <c r="H15" s="782"/>
      <c r="I15" s="782"/>
      <c r="J15" s="782"/>
      <c r="K15" s="782"/>
      <c r="L15" s="1791">
        <f>F15-K15</f>
        <v>6161295</v>
      </c>
    </row>
    <row r="16" spans="1:14" ht="15" customHeight="1" thickTop="1" thickBot="1" x14ac:dyDescent="0.25">
      <c r="A16" s="1787" t="s">
        <v>663</v>
      </c>
      <c r="B16" s="1788">
        <v>200</v>
      </c>
      <c r="C16" s="1782">
        <f>SUM(C3,C5:C6,C8:C10,C12:C15)</f>
        <v>439449337</v>
      </c>
      <c r="D16" s="1782">
        <f>SUM(D3,D5:D6,D8:D10,D12:D15)</f>
        <v>15276993</v>
      </c>
      <c r="E16" s="1782">
        <f>SUM(E3,E5:E6,E8:E10,E12:E15)</f>
        <v>4205076</v>
      </c>
      <c r="F16" s="1782">
        <f>SUM(F3,F5:F6,F8:F10,F12:F15)</f>
        <v>450521254</v>
      </c>
      <c r="G16" s="844"/>
      <c r="H16" s="1782">
        <f>SUM(H3,H6,H8:H10,H12:H14,)</f>
        <v>103321449</v>
      </c>
      <c r="I16" s="1782">
        <f>SUM(I3,I6,I8:I10,I12:I14,)</f>
        <v>7185103</v>
      </c>
      <c r="J16" s="1782">
        <f>SUM(J3,J6,J8:J10,J12:J14,)</f>
        <v>26028</v>
      </c>
      <c r="K16" s="1782">
        <f>(H16+I16)-J16</f>
        <v>110480524</v>
      </c>
      <c r="L16" s="1782">
        <f>F16-K16</f>
        <v>340040730</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1761567</v>
      </c>
      <c r="G17" s="838">
        <v>10</v>
      </c>
      <c r="H17" s="770"/>
      <c r="I17" s="1791">
        <f>F17/G17</f>
        <v>176156.7</v>
      </c>
      <c r="J17" s="770"/>
      <c r="K17" s="796"/>
      <c r="L17" s="796"/>
    </row>
    <row r="18" spans="1:12" ht="14.25" thickTop="1" thickBot="1" x14ac:dyDescent="0.25">
      <c r="A18" s="1789" t="s">
        <v>705</v>
      </c>
      <c r="B18" s="1790"/>
      <c r="C18" s="772"/>
      <c r="D18" s="772"/>
      <c r="E18" s="772"/>
      <c r="F18" s="851"/>
      <c r="G18" s="852"/>
      <c r="H18" s="774"/>
      <c r="I18" s="1782">
        <f>SUM(I16,I17)</f>
        <v>7361259.7000000002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3" activePane="bottomLeft" state="frozen"/>
      <selection activeCell="A47" sqref="A47"/>
      <selection pane="bottomLeft" activeCell="D116" sqref="D11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9" t="s">
        <v>1698</v>
      </c>
      <c r="B1" s="2290"/>
      <c r="C1" s="2290"/>
      <c r="D1" s="2290"/>
      <c r="E1" s="2290"/>
      <c r="F1" s="2291"/>
      <c r="G1" s="856"/>
    </row>
    <row r="2" spans="1:7" ht="15" customHeight="1" thickBot="1" x14ac:dyDescent="0.25">
      <c r="A2" s="2292" t="s">
        <v>497</v>
      </c>
      <c r="B2" s="2293"/>
      <c r="C2" s="2293"/>
      <c r="D2" s="2293"/>
      <c r="E2" s="2293"/>
      <c r="F2" s="2294"/>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5"/>
      <c r="B5" s="2296"/>
      <c r="C5" s="2296"/>
      <c r="D5" s="2296"/>
      <c r="E5" s="2296"/>
      <c r="F5" s="2296"/>
    </row>
    <row r="6" spans="1:7" ht="13.5" customHeight="1" thickBot="1" x14ac:dyDescent="0.25">
      <c r="A6" s="2286" t="s">
        <v>1165</v>
      </c>
      <c r="B6" s="2287"/>
      <c r="C6" s="2287"/>
      <c r="D6" s="2287"/>
      <c r="E6" s="2287"/>
      <c r="F6" s="2288"/>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2">
        <f>'Expenditures 15-22'!K114</f>
        <v>192175092</v>
      </c>
      <c r="G8" s="866"/>
    </row>
    <row r="9" spans="1:7" x14ac:dyDescent="0.2">
      <c r="A9" s="870" t="s">
        <v>479</v>
      </c>
      <c r="B9" s="871" t="s">
        <v>1986</v>
      </c>
      <c r="C9" s="872"/>
      <c r="D9" s="870" t="s">
        <v>521</v>
      </c>
      <c r="E9" s="869"/>
      <c r="F9" s="1933">
        <f>'Expenditures 15-22'!K151</f>
        <v>18669752</v>
      </c>
      <c r="G9" s="873"/>
    </row>
    <row r="10" spans="1:7" x14ac:dyDescent="0.2">
      <c r="A10" s="870" t="s">
        <v>519</v>
      </c>
      <c r="B10" s="871" t="s">
        <v>1987</v>
      </c>
      <c r="C10" s="872"/>
      <c r="D10" s="870" t="s">
        <v>521</v>
      </c>
      <c r="E10" s="869"/>
      <c r="F10" s="1933">
        <f>'Expenditures 15-22'!K174</f>
        <v>33179053</v>
      </c>
      <c r="G10" s="873"/>
    </row>
    <row r="11" spans="1:7" x14ac:dyDescent="0.2">
      <c r="A11" s="870" t="s">
        <v>480</v>
      </c>
      <c r="B11" s="871" t="s">
        <v>1988</v>
      </c>
      <c r="C11" s="872"/>
      <c r="D11" s="870" t="s">
        <v>521</v>
      </c>
      <c r="E11" s="869"/>
      <c r="F11" s="1933">
        <f>'Expenditures 15-22'!K210</f>
        <v>13735284</v>
      </c>
      <c r="G11" s="873"/>
    </row>
    <row r="12" spans="1:7" x14ac:dyDescent="0.2">
      <c r="A12" s="870" t="s">
        <v>481</v>
      </c>
      <c r="B12" s="871" t="s">
        <v>1989</v>
      </c>
      <c r="C12" s="872"/>
      <c r="D12" s="870" t="s">
        <v>521</v>
      </c>
      <c r="E12" s="869"/>
      <c r="F12" s="1933">
        <f>'Expenditures 15-22'!K295</f>
        <v>6900296</v>
      </c>
      <c r="G12" s="873"/>
    </row>
    <row r="13" spans="1:7" x14ac:dyDescent="0.2">
      <c r="A13" s="870" t="s">
        <v>108</v>
      </c>
      <c r="B13" s="871" t="s">
        <v>1990</v>
      </c>
      <c r="C13" s="872"/>
      <c r="D13" s="870" t="s">
        <v>521</v>
      </c>
      <c r="E13" s="869"/>
      <c r="F13" s="1933">
        <f>'Expenditures 15-22'!K342</f>
        <v>2590529</v>
      </c>
      <c r="G13" s="874"/>
    </row>
    <row r="14" spans="1:7" ht="12" customHeight="1" thickBot="1" x14ac:dyDescent="0.25">
      <c r="A14" s="1792"/>
      <c r="B14" s="1793"/>
      <c r="C14" s="1794"/>
      <c r="D14" s="1795" t="s">
        <v>521</v>
      </c>
      <c r="E14" s="1796" t="s">
        <v>1014</v>
      </c>
      <c r="F14" s="1797">
        <f>SUM(F8:F13)</f>
        <v>267250006</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4">
        <f>'Revenues 9-14'!F43</f>
        <v>62977</v>
      </c>
      <c r="G18" s="866"/>
    </row>
    <row r="19" spans="1:7" x14ac:dyDescent="0.2">
      <c r="A19" s="870" t="s">
        <v>480</v>
      </c>
      <c r="B19" s="871" t="s">
        <v>1068</v>
      </c>
      <c r="C19" s="878">
        <f>'Revenues 9-14'!B47</f>
        <v>1421</v>
      </c>
      <c r="D19" s="879" t="str">
        <f>'Revenues 9-14'!A47</f>
        <v>Summer Sch - Transp. Fees from Pupils or Parents (In State)</v>
      </c>
      <c r="E19" s="880"/>
      <c r="F19" s="1935">
        <f>'Revenues 9-14'!F47</f>
        <v>0</v>
      </c>
      <c r="G19" s="866"/>
    </row>
    <row r="20" spans="1:7" x14ac:dyDescent="0.2">
      <c r="A20" s="870" t="s">
        <v>480</v>
      </c>
      <c r="B20" s="871" t="s">
        <v>1069</v>
      </c>
      <c r="C20" s="876">
        <f>'Revenues 9-14'!B48</f>
        <v>1422</v>
      </c>
      <c r="D20" s="877" t="str">
        <f>'Revenues 9-14'!A48</f>
        <v>Summer Sch - Transp. Fees from Other Districts (In State)</v>
      </c>
      <c r="E20" s="869"/>
      <c r="F20" s="1936">
        <f>'Revenues 9-14'!F48</f>
        <v>0</v>
      </c>
      <c r="G20" s="866"/>
    </row>
    <row r="21" spans="1:7" x14ac:dyDescent="0.2">
      <c r="A21" s="870" t="s">
        <v>480</v>
      </c>
      <c r="B21" s="871" t="s">
        <v>1070</v>
      </c>
      <c r="C21" s="878">
        <f>'Revenues 9-14'!B49</f>
        <v>1423</v>
      </c>
      <c r="D21" s="877" t="str">
        <f>'Revenues 9-14'!A49</f>
        <v>Summer Sch - Transp. Fees from Other Sources (In State)</v>
      </c>
      <c r="E21" s="869"/>
      <c r="F21" s="1937">
        <f>'Revenues 9-14'!F49</f>
        <v>0</v>
      </c>
      <c r="G21" s="866"/>
    </row>
    <row r="22" spans="1:7" x14ac:dyDescent="0.2">
      <c r="A22" s="870" t="s">
        <v>480</v>
      </c>
      <c r="B22" s="871" t="s">
        <v>1071</v>
      </c>
      <c r="C22" s="878">
        <f>'Revenues 9-14'!B50</f>
        <v>1424</v>
      </c>
      <c r="D22" s="877" t="str">
        <f>'Revenues 9-14'!A50</f>
        <v>Summer Sch - Transp. Fees from Other Sources (Out of State)</v>
      </c>
      <c r="E22" s="869"/>
      <c r="F22" s="1937">
        <f>'Revenues 9-14'!F50</f>
        <v>0</v>
      </c>
      <c r="G22" s="866"/>
    </row>
    <row r="23" spans="1:7" x14ac:dyDescent="0.2">
      <c r="A23" s="870" t="s">
        <v>480</v>
      </c>
      <c r="B23" s="871" t="s">
        <v>1072</v>
      </c>
      <c r="C23" s="876">
        <f>'Revenues 9-14'!B52</f>
        <v>1432</v>
      </c>
      <c r="D23" s="877" t="str">
        <f>'Revenues 9-14'!A52</f>
        <v>CTE - Transp Fees from Other Districts (In State)</v>
      </c>
      <c r="E23" s="869"/>
      <c r="F23" s="1937">
        <f>'Revenues 9-14'!F52</f>
        <v>0</v>
      </c>
      <c r="G23" s="866"/>
    </row>
    <row r="24" spans="1:7" x14ac:dyDescent="0.2">
      <c r="A24" s="870" t="s">
        <v>480</v>
      </c>
      <c r="B24" s="871" t="s">
        <v>1073</v>
      </c>
      <c r="C24" s="876">
        <f>'Revenues 9-14'!B56</f>
        <v>1442</v>
      </c>
      <c r="D24" s="877" t="str">
        <f>'Revenues 9-14'!A56</f>
        <v>Special Ed - Transp Fees from Other Districts (In State)</v>
      </c>
      <c r="E24" s="869"/>
      <c r="F24" s="1937">
        <f>'Revenues 9-14'!F56</f>
        <v>0</v>
      </c>
      <c r="G24" s="866"/>
    </row>
    <row r="25" spans="1:7" x14ac:dyDescent="0.2">
      <c r="A25" s="870" t="s">
        <v>480</v>
      </c>
      <c r="B25" s="871" t="s">
        <v>1074</v>
      </c>
      <c r="C25" s="876">
        <f>'Revenues 9-14'!B59</f>
        <v>1451</v>
      </c>
      <c r="D25" s="877" t="str">
        <f>'Revenues 9-14'!A59</f>
        <v>Adult - Transp Fees from Pupils or Parents (In State)</v>
      </c>
      <c r="E25" s="869"/>
      <c r="F25" s="1937">
        <f>'Revenues 9-14'!F59</f>
        <v>0</v>
      </c>
      <c r="G25" s="866"/>
    </row>
    <row r="26" spans="1:7" x14ac:dyDescent="0.2">
      <c r="A26" s="870" t="s">
        <v>480</v>
      </c>
      <c r="B26" s="871" t="s">
        <v>1075</v>
      </c>
      <c r="C26" s="876">
        <f>'Revenues 9-14'!B60</f>
        <v>1452</v>
      </c>
      <c r="D26" s="877" t="str">
        <f>'Revenues 9-14'!A60</f>
        <v>Adult - Transp Fees from Other Districts (In State)</v>
      </c>
      <c r="E26" s="869"/>
      <c r="F26" s="1937">
        <f>'Revenues 9-14'!F60</f>
        <v>0</v>
      </c>
      <c r="G26" s="866"/>
    </row>
    <row r="27" spans="1:7" x14ac:dyDescent="0.2">
      <c r="A27" s="870" t="s">
        <v>480</v>
      </c>
      <c r="B27" s="871" t="s">
        <v>1076</v>
      </c>
      <c r="C27" s="876">
        <f>'Revenues 9-14'!B61</f>
        <v>1453</v>
      </c>
      <c r="D27" s="877" t="str">
        <f>'Revenues 9-14'!A61</f>
        <v>Adult - Transp Fees from Other Sources (In State)</v>
      </c>
      <c r="E27" s="869"/>
      <c r="F27" s="1937">
        <f>'Revenues 9-14'!F61</f>
        <v>0</v>
      </c>
      <c r="G27" s="866"/>
    </row>
    <row r="28" spans="1:7" x14ac:dyDescent="0.2">
      <c r="A28" s="870" t="s">
        <v>480</v>
      </c>
      <c r="B28" s="871" t="s">
        <v>1077</v>
      </c>
      <c r="C28" s="876">
        <f>'Revenues 9-14'!B62</f>
        <v>1454</v>
      </c>
      <c r="D28" s="877" t="str">
        <f>'Revenues 9-14'!A62</f>
        <v>Adult - Transp Fees from Other Sources (Out of State)</v>
      </c>
      <c r="E28" s="869"/>
      <c r="F28" s="1937">
        <f>'Revenues 9-14'!F62</f>
        <v>0</v>
      </c>
      <c r="G28" s="866"/>
    </row>
    <row r="29" spans="1:7" x14ac:dyDescent="0.2">
      <c r="A29" s="870" t="s">
        <v>1158</v>
      </c>
      <c r="B29" s="871" t="s">
        <v>1682</v>
      </c>
      <c r="C29" s="881">
        <f>'Revenues 9-14'!B148</f>
        <v>3410</v>
      </c>
      <c r="D29" s="882" t="str">
        <f>'Revenues 9-14'!A148</f>
        <v>Adult Ed (from ICCB)</v>
      </c>
      <c r="E29" s="869"/>
      <c r="F29" s="1937">
        <f>SUM('Revenues 9-14'!D148,F149)</f>
        <v>0</v>
      </c>
      <c r="G29" s="866"/>
    </row>
    <row r="30" spans="1:7" x14ac:dyDescent="0.2">
      <c r="A30" s="870" t="s">
        <v>1158</v>
      </c>
      <c r="B30" s="871" t="s">
        <v>860</v>
      </c>
      <c r="C30" s="881">
        <f>'Revenues 9-14'!B149</f>
        <v>3499</v>
      </c>
      <c r="D30" s="882" t="str">
        <f>'Revenues 9-14'!A149</f>
        <v>Adult Ed - Other (Describe &amp; Itemize)</v>
      </c>
      <c r="E30" s="869"/>
      <c r="F30" s="1938">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7">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7">
        <f>SUM('Revenues 9-14'!D219,'Revenues 9-14'!F219)</f>
        <v>0</v>
      </c>
      <c r="G32" s="866"/>
    </row>
    <row r="33" spans="1:7" x14ac:dyDescent="0.2">
      <c r="A33" s="870" t="s">
        <v>479</v>
      </c>
      <c r="B33" s="871" t="s">
        <v>800</v>
      </c>
      <c r="C33" s="876">
        <f>'Revenues 9-14'!B229</f>
        <v>4810</v>
      </c>
      <c r="D33" s="884" t="str">
        <f>'Revenues 9-14'!A229</f>
        <v>Federal - Adult Education</v>
      </c>
      <c r="E33" s="869"/>
      <c r="F33" s="1937">
        <f>'Revenues 9-14'!D229</f>
        <v>0</v>
      </c>
      <c r="G33" s="866"/>
    </row>
    <row r="34" spans="1:7" x14ac:dyDescent="0.2">
      <c r="A34" s="870" t="s">
        <v>478</v>
      </c>
      <c r="B34" s="870" t="s">
        <v>1544</v>
      </c>
      <c r="C34" s="887" t="str">
        <f>'Expenditures 15-22'!B7</f>
        <v>1125</v>
      </c>
      <c r="D34" s="888" t="str">
        <f>'Expenditures 15-22'!A7</f>
        <v>Pre-K Programs</v>
      </c>
      <c r="E34" s="869"/>
      <c r="F34" s="1937">
        <f>'Expenditures 15-22'!K7-SUM('Expenditures 15-22'!G7,'Expenditures 15-22'!I7)</f>
        <v>2914278</v>
      </c>
      <c r="G34" s="866"/>
    </row>
    <row r="35" spans="1:7" x14ac:dyDescent="0.2">
      <c r="A35" s="870" t="s">
        <v>478</v>
      </c>
      <c r="B35" s="870" t="s">
        <v>1545</v>
      </c>
      <c r="C35" s="887" t="str">
        <f>'Expenditures 15-22'!B9</f>
        <v>1225</v>
      </c>
      <c r="D35" s="888" t="str">
        <f>'Expenditures 15-22'!A9</f>
        <v>Special Education Programs Pre-K</v>
      </c>
      <c r="E35" s="869"/>
      <c r="F35" s="1937">
        <f>'Expenditures 15-22'!K9-SUM('Expenditures 15-22'!G9+'Expenditures 15-22'!I9)</f>
        <v>128019</v>
      </c>
      <c r="G35" s="866"/>
    </row>
    <row r="36" spans="1:7" x14ac:dyDescent="0.2">
      <c r="A36" s="870" t="s">
        <v>478</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7">
        <f>'Expenditures 15-22'!K15-SUM('Expenditures 15-22'!G15,'Expenditures 15-22'!I15)</f>
        <v>495636</v>
      </c>
      <c r="G38" s="866"/>
    </row>
    <row r="39" spans="1:7" x14ac:dyDescent="0.2">
      <c r="A39" s="870" t="s">
        <v>478</v>
      </c>
      <c r="B39" s="870" t="s">
        <v>119</v>
      </c>
      <c r="C39" s="887" t="str">
        <f>'Expenditures 15-22'!B20</f>
        <v>1910</v>
      </c>
      <c r="D39" s="889" t="str">
        <f>'Expenditures 15-22'!A20</f>
        <v>Pre-K Programs - Private Tuition</v>
      </c>
      <c r="E39" s="869"/>
      <c r="F39" s="1937">
        <f>'Expenditures 15-22'!K20</f>
        <v>0</v>
      </c>
      <c r="G39" s="866"/>
    </row>
    <row r="40" spans="1:7" x14ac:dyDescent="0.2">
      <c r="A40" s="870" t="s">
        <v>478</v>
      </c>
      <c r="B40" s="870" t="s">
        <v>120</v>
      </c>
      <c r="C40" s="887" t="str">
        <f>'Expenditures 15-22'!B21</f>
        <v>1911</v>
      </c>
      <c r="D40" s="889" t="str">
        <f>'Expenditures 15-22'!A21</f>
        <v>Regular K-12 Programs - Private Tuition</v>
      </c>
      <c r="E40" s="869"/>
      <c r="F40" s="1937">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7">
        <f>'Expenditures 15-22'!K22</f>
        <v>6423251</v>
      </c>
      <c r="G41" s="866"/>
    </row>
    <row r="42" spans="1:7" x14ac:dyDescent="0.2">
      <c r="A42" s="870" t="s">
        <v>478</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478</v>
      </c>
      <c r="B46" s="870" t="s">
        <v>126</v>
      </c>
      <c r="C46" s="887" t="str">
        <f>'Expenditures 15-22'!B27</f>
        <v>1917</v>
      </c>
      <c r="D46" s="889" t="str">
        <f>'Expenditures 15-22'!A27</f>
        <v>CTE Programs - Private Tuition</v>
      </c>
      <c r="E46" s="869"/>
      <c r="F46" s="1937">
        <f>'Expenditures 15-22'!K27</f>
        <v>977340</v>
      </c>
      <c r="G46" s="866"/>
    </row>
    <row r="47" spans="1:7" x14ac:dyDescent="0.2">
      <c r="A47" s="870" t="s">
        <v>478</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478</v>
      </c>
      <c r="B49" s="870" t="s">
        <v>129</v>
      </c>
      <c r="C49" s="887" t="str">
        <f>'Expenditures 15-22'!B30</f>
        <v>1920</v>
      </c>
      <c r="D49" s="889" t="str">
        <f>'Expenditures 15-22'!A30</f>
        <v>Gifted Programs - Private Tuition</v>
      </c>
      <c r="E49" s="869"/>
      <c r="F49" s="1937">
        <f>'Expenditures 15-22'!K30</f>
        <v>0</v>
      </c>
      <c r="G49" s="866"/>
    </row>
    <row r="50" spans="1:7" x14ac:dyDescent="0.2">
      <c r="A50" s="870" t="s">
        <v>478</v>
      </c>
      <c r="B50" s="870" t="s">
        <v>130</v>
      </c>
      <c r="C50" s="887" t="str">
        <f>'Expenditures 15-22'!B31</f>
        <v>1921</v>
      </c>
      <c r="D50" s="889" t="str">
        <f>'Expenditures 15-22'!A31</f>
        <v>Bilingual Programs - Private Tuition</v>
      </c>
      <c r="E50" s="869"/>
      <c r="F50" s="1937">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7">
        <f>'Expenditures 15-22'!K32</f>
        <v>223524</v>
      </c>
      <c r="G51" s="866"/>
    </row>
    <row r="52" spans="1:7" x14ac:dyDescent="0.2">
      <c r="A52" s="870" t="s">
        <v>478</v>
      </c>
      <c r="B52" s="870" t="s">
        <v>1549</v>
      </c>
      <c r="C52" s="890" t="str">
        <f>'Expenditures 15-22'!B75</f>
        <v>3000</v>
      </c>
      <c r="D52" s="889" t="s">
        <v>468</v>
      </c>
      <c r="E52" s="869"/>
      <c r="F52" s="1937">
        <f>'Expenditures 15-22'!K75-SUM('Expenditures 15-22'!G75,'Expenditures 15-22'!I75)</f>
        <v>329455</v>
      </c>
      <c r="G52" s="866"/>
    </row>
    <row r="53" spans="1:7" x14ac:dyDescent="0.2">
      <c r="A53" s="870" t="s">
        <v>478</v>
      </c>
      <c r="B53" s="870" t="s">
        <v>1550</v>
      </c>
      <c r="C53" s="890">
        <f>'Expenditures 15-22'!B102</f>
        <v>4000</v>
      </c>
      <c r="D53" s="889" t="str">
        <f>'Expenditures 15-22'!A102</f>
        <v>Total Payments to Other Govt Units</v>
      </c>
      <c r="E53" s="869"/>
      <c r="F53" s="1937">
        <f>'Expenditures 15-22'!K102</f>
        <v>0</v>
      </c>
      <c r="G53" s="866"/>
    </row>
    <row r="54" spans="1:7" x14ac:dyDescent="0.2">
      <c r="A54" s="870" t="s">
        <v>478</v>
      </c>
      <c r="B54" s="870" t="s">
        <v>1551</v>
      </c>
      <c r="C54" s="890" t="s">
        <v>1038</v>
      </c>
      <c r="D54" s="886" t="s">
        <v>1156</v>
      </c>
      <c r="E54" s="869"/>
      <c r="F54" s="1937">
        <f>'Expenditures 15-22'!G114</f>
        <v>297469</v>
      </c>
      <c r="G54" s="866"/>
    </row>
    <row r="55" spans="1:7" x14ac:dyDescent="0.2">
      <c r="A55" s="870" t="s">
        <v>478</v>
      </c>
      <c r="B55" s="870" t="s">
        <v>1552</v>
      </c>
      <c r="C55" s="890" t="s">
        <v>1038</v>
      </c>
      <c r="D55" s="886" t="s">
        <v>308</v>
      </c>
      <c r="E55" s="869"/>
      <c r="F55" s="1937">
        <f>'Expenditures 15-22'!I114</f>
        <v>378037</v>
      </c>
      <c r="G55" s="866"/>
    </row>
    <row r="56" spans="1:7" x14ac:dyDescent="0.2">
      <c r="A56" s="870" t="s">
        <v>479</v>
      </c>
      <c r="B56" s="870" t="s">
        <v>1553</v>
      </c>
      <c r="C56" s="887" t="str">
        <f>'Expenditures 15-22'!B130</f>
        <v>3000</v>
      </c>
      <c r="D56" s="893" t="s">
        <v>468</v>
      </c>
      <c r="E56" s="869"/>
      <c r="F56" s="1937">
        <f>'Expenditures 15-22'!K130-SUM('Expenditures 15-22'!G130+'Expenditures 15-22'!I130)</f>
        <v>0</v>
      </c>
      <c r="G56" s="866"/>
    </row>
    <row r="57" spans="1:7" x14ac:dyDescent="0.2">
      <c r="A57" s="870" t="s">
        <v>479</v>
      </c>
      <c r="B57" s="870" t="s">
        <v>1991</v>
      </c>
      <c r="C57" s="890">
        <f>'Expenditures 15-22'!B139</f>
        <v>4000</v>
      </c>
      <c r="D57" s="888" t="str">
        <f>'Expenditures 15-22'!A139</f>
        <v>Total Payments to Other Govt Units</v>
      </c>
      <c r="E57" s="869"/>
      <c r="F57" s="1937">
        <f>'Expenditures 15-22'!K139</f>
        <v>0</v>
      </c>
      <c r="G57" s="866"/>
    </row>
    <row r="58" spans="1:7" x14ac:dyDescent="0.2">
      <c r="A58" s="870" t="s">
        <v>479</v>
      </c>
      <c r="B58" s="870" t="s">
        <v>1992</v>
      </c>
      <c r="C58" s="887" t="s">
        <v>1038</v>
      </c>
      <c r="D58" s="886" t="s">
        <v>1156</v>
      </c>
      <c r="E58" s="869"/>
      <c r="F58" s="1939">
        <f>'Expenditures 15-22'!G151</f>
        <v>2516726</v>
      </c>
      <c r="G58" s="866"/>
    </row>
    <row r="59" spans="1:7" x14ac:dyDescent="0.2">
      <c r="A59" s="894" t="s">
        <v>479</v>
      </c>
      <c r="B59" s="857" t="s">
        <v>1993</v>
      </c>
      <c r="C59" s="895" t="s">
        <v>1038</v>
      </c>
      <c r="D59" s="857" t="s">
        <v>308</v>
      </c>
      <c r="F59" s="1940">
        <f>'Expenditures 15-22'!I151</f>
        <v>918419</v>
      </c>
      <c r="G59" s="866"/>
    </row>
    <row r="60" spans="1:7" x14ac:dyDescent="0.2">
      <c r="A60" s="894" t="s">
        <v>519</v>
      </c>
      <c r="B60" s="857" t="s">
        <v>1994</v>
      </c>
      <c r="C60" s="895">
        <v>4000</v>
      </c>
      <c r="D60" s="857" t="s">
        <v>329</v>
      </c>
      <c r="F60" s="1938">
        <f>'Expenditures 15-22'!K160</f>
        <v>0</v>
      </c>
      <c r="G60" s="866"/>
    </row>
    <row r="61" spans="1:7" x14ac:dyDescent="0.2">
      <c r="A61" s="896" t="s">
        <v>519</v>
      </c>
      <c r="B61" s="896" t="s">
        <v>1995</v>
      </c>
      <c r="C61" s="897" t="str">
        <f>'Expenditures 15-22'!B170</f>
        <v>5300</v>
      </c>
      <c r="D61" s="898" t="s">
        <v>328</v>
      </c>
      <c r="E61" s="880"/>
      <c r="F61" s="1937">
        <f>'Expenditures 15-22'!K170</f>
        <v>28267842</v>
      </c>
      <c r="G61" s="866"/>
    </row>
    <row r="62" spans="1:7" x14ac:dyDescent="0.2">
      <c r="A62" s="870" t="s">
        <v>480</v>
      </c>
      <c r="B62" s="870" t="s">
        <v>1996</v>
      </c>
      <c r="C62" s="887">
        <f>'Expenditures 15-22'!B185</f>
        <v>3000</v>
      </c>
      <c r="D62" s="877" t="s">
        <v>468</v>
      </c>
      <c r="E62" s="869"/>
      <c r="F62" s="1937">
        <f>'Expenditures 15-22'!K185-SUM('Expenditures 15-22'!G185,'Expenditures 15-22'!I185)</f>
        <v>0</v>
      </c>
      <c r="G62" s="866"/>
    </row>
    <row r="63" spans="1:7" x14ac:dyDescent="0.2">
      <c r="A63" s="870" t="s">
        <v>480</v>
      </c>
      <c r="B63" s="870" t="s">
        <v>1997</v>
      </c>
      <c r="C63" s="887" t="str">
        <f>'Expenditures 15-22'!B196</f>
        <v>4000</v>
      </c>
      <c r="D63" s="888" t="str">
        <f>'Expenditures 15-22'!A196</f>
        <v>Total Payments to Other Govt Units</v>
      </c>
      <c r="E63" s="869"/>
      <c r="F63" s="1937">
        <f>'Expenditures 15-22'!K196</f>
        <v>0</v>
      </c>
      <c r="G63" s="866"/>
    </row>
    <row r="64" spans="1:7" x14ac:dyDescent="0.2">
      <c r="A64" s="896" t="s">
        <v>480</v>
      </c>
      <c r="B64" s="896" t="s">
        <v>1998</v>
      </c>
      <c r="C64" s="897" t="str">
        <f>'Expenditures 15-22'!B206</f>
        <v>5300</v>
      </c>
      <c r="D64" s="893" t="s">
        <v>328</v>
      </c>
      <c r="E64" s="869"/>
      <c r="F64" s="1937">
        <f>'Expenditures 15-22'!K206</f>
        <v>0</v>
      </c>
      <c r="G64" s="866"/>
    </row>
    <row r="65" spans="1:8" x14ac:dyDescent="0.2">
      <c r="A65" s="870" t="s">
        <v>480</v>
      </c>
      <c r="B65" s="870" t="s">
        <v>1999</v>
      </c>
      <c r="C65" s="887" t="s">
        <v>1038</v>
      </c>
      <c r="D65" s="886" t="s">
        <v>1156</v>
      </c>
      <c r="E65" s="869"/>
      <c r="F65" s="1937">
        <f>'Expenditures 15-22'!G210</f>
        <v>26169</v>
      </c>
      <c r="G65" s="866"/>
    </row>
    <row r="66" spans="1:8" x14ac:dyDescent="0.2">
      <c r="A66" s="870" t="s">
        <v>480</v>
      </c>
      <c r="B66" s="870" t="s">
        <v>2000</v>
      </c>
      <c r="C66" s="887" t="s">
        <v>1038</v>
      </c>
      <c r="D66" s="886" t="s">
        <v>308</v>
      </c>
      <c r="E66" s="869"/>
      <c r="F66" s="1937">
        <f>'Expenditures 15-22'!I210</f>
        <v>10913</v>
      </c>
      <c r="G66" s="866"/>
    </row>
    <row r="67" spans="1:8" x14ac:dyDescent="0.2">
      <c r="A67" s="870" t="s">
        <v>481</v>
      </c>
      <c r="B67" s="870" t="s">
        <v>2001</v>
      </c>
      <c r="C67" s="887" t="str">
        <f>'Expenditures 15-22'!B216</f>
        <v>1125</v>
      </c>
      <c r="D67" s="893" t="str">
        <f>'Expenditures 15-22'!A216</f>
        <v>Pre-K Programs</v>
      </c>
      <c r="E67" s="869"/>
      <c r="F67" s="1937">
        <f>'Expenditures 15-22'!K216</f>
        <v>58398</v>
      </c>
      <c r="G67" s="866"/>
    </row>
    <row r="68" spans="1:8" x14ac:dyDescent="0.2">
      <c r="A68" s="870" t="s">
        <v>481</v>
      </c>
      <c r="B68" s="870" t="s">
        <v>1554</v>
      </c>
      <c r="C68" s="887" t="str">
        <f>'Expenditures 15-22'!B218</f>
        <v>1225</v>
      </c>
      <c r="D68" s="893" t="str">
        <f>'Expenditures 15-22'!A218</f>
        <v>Special Education Programs - Pre-K</v>
      </c>
      <c r="E68" s="869"/>
      <c r="F68" s="1937">
        <f>'Expenditures 15-22'!K218</f>
        <v>22617</v>
      </c>
      <c r="G68" s="866"/>
    </row>
    <row r="69" spans="1:8" x14ac:dyDescent="0.2">
      <c r="A69" s="870" t="s">
        <v>481</v>
      </c>
      <c r="B69" s="870" t="s">
        <v>2002</v>
      </c>
      <c r="C69" s="887" t="str">
        <f>'Expenditures 15-22'!B220</f>
        <v>1275</v>
      </c>
      <c r="D69" s="893" t="str">
        <f>'Expenditures 15-22'!A220</f>
        <v>Remedial and Supplemental Programs - Pre-K</v>
      </c>
      <c r="E69" s="869"/>
      <c r="F69" s="1937">
        <f>'Expenditures 15-22'!K220</f>
        <v>0</v>
      </c>
      <c r="G69" s="866"/>
    </row>
    <row r="70" spans="1:8" x14ac:dyDescent="0.2">
      <c r="A70" s="870" t="s">
        <v>481</v>
      </c>
      <c r="B70" s="870" t="s">
        <v>2003</v>
      </c>
      <c r="C70" s="887">
        <f>'Expenditures 15-22'!B221</f>
        <v>1300</v>
      </c>
      <c r="D70" s="888" t="str">
        <f>'Expenditures 15-22'!A221</f>
        <v>Adult/Continuing Education Programs</v>
      </c>
      <c r="E70" s="869"/>
      <c r="F70" s="1937">
        <f>'Expenditures 15-22'!K221</f>
        <v>0</v>
      </c>
      <c r="G70" s="866"/>
    </row>
    <row r="71" spans="1:8" x14ac:dyDescent="0.2">
      <c r="A71" s="870" t="s">
        <v>481</v>
      </c>
      <c r="B71" s="870" t="s">
        <v>2004</v>
      </c>
      <c r="C71" s="887">
        <f>'Expenditures 15-22'!B224</f>
        <v>1600</v>
      </c>
      <c r="D71" s="888" t="str">
        <f>'Expenditures 15-22'!A224</f>
        <v>Summer School Programs</v>
      </c>
      <c r="E71" s="869"/>
      <c r="F71" s="1937">
        <f>'Expenditures 15-22'!K224</f>
        <v>73155</v>
      </c>
      <c r="G71" s="866"/>
    </row>
    <row r="72" spans="1:8" x14ac:dyDescent="0.2">
      <c r="A72" s="870" t="s">
        <v>481</v>
      </c>
      <c r="B72" s="870" t="s">
        <v>2005</v>
      </c>
      <c r="C72" s="887">
        <f>'Expenditures 15-22'!B280</f>
        <v>3000</v>
      </c>
      <c r="D72" s="877" t="s">
        <v>468</v>
      </c>
      <c r="E72" s="869"/>
      <c r="F72" s="1937">
        <f>'Expenditures 15-22'!K280</f>
        <v>674</v>
      </c>
      <c r="G72" s="866"/>
    </row>
    <row r="73" spans="1:8" x14ac:dyDescent="0.2">
      <c r="A73" s="870" t="s">
        <v>481</v>
      </c>
      <c r="B73" s="870" t="s">
        <v>2006</v>
      </c>
      <c r="C73" s="887" t="str">
        <f>'Expenditures 15-22'!B285</f>
        <v>4000</v>
      </c>
      <c r="D73" s="888" t="str">
        <f>'Expenditures 15-22'!A285</f>
        <v>Total Payments to Other Govt Units</v>
      </c>
      <c r="E73" s="869"/>
      <c r="F73" s="1937">
        <f>'Expenditures 15-22'!K285</f>
        <v>0</v>
      </c>
      <c r="G73" s="866"/>
    </row>
    <row r="74" spans="1:8" x14ac:dyDescent="0.2">
      <c r="A74" s="870" t="s">
        <v>455</v>
      </c>
      <c r="B74" s="870" t="s">
        <v>2007</v>
      </c>
      <c r="C74" s="887" t="s">
        <v>914</v>
      </c>
      <c r="D74" s="888" t="s">
        <v>1566</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1014</v>
      </c>
      <c r="F76" s="1800">
        <f>SUM(F18:F74)</f>
        <v>44124899</v>
      </c>
      <c r="G76" s="866"/>
    </row>
    <row r="77" spans="1:8" s="894" customFormat="1" ht="12" customHeight="1" thickTop="1" thickBot="1" x14ac:dyDescent="0.25">
      <c r="A77" s="1801"/>
      <c r="B77" s="1798"/>
      <c r="C77" s="1794"/>
      <c r="D77" s="1799" t="s">
        <v>2009</v>
      </c>
      <c r="E77" s="1796"/>
      <c r="F77" s="1802">
        <f>(F14-F76)</f>
        <v>223125107</v>
      </c>
      <c r="G77" s="870"/>
    </row>
    <row r="78" spans="1:8" s="894" customFormat="1" ht="12" customHeight="1" thickTop="1" x14ac:dyDescent="0.2">
      <c r="A78" s="1803"/>
      <c r="B78" s="1798"/>
      <c r="C78" s="1794"/>
      <c r="D78" s="1799" t="s">
        <v>2056</v>
      </c>
      <c r="E78" s="1796"/>
      <c r="F78" s="899">
        <v>15429.91</v>
      </c>
      <c r="G78" s="900"/>
      <c r="H78" s="870"/>
    </row>
    <row r="79" spans="1:8" s="894" customFormat="1" ht="12" customHeight="1" thickBot="1" x14ac:dyDescent="0.25">
      <c r="A79" s="1804"/>
      <c r="B79" s="1798"/>
      <c r="C79" s="1794"/>
      <c r="D79" s="1799" t="s">
        <v>2010</v>
      </c>
      <c r="E79" s="1796" t="s">
        <v>1014</v>
      </c>
      <c r="F79" s="1805">
        <f>IF(F78&gt;0,F77/F78," Complete Line 78")</f>
        <v>14460.557903448562</v>
      </c>
      <c r="G79" s="870"/>
    </row>
    <row r="80" spans="1:8" s="894" customFormat="1" ht="8.25" customHeight="1" thickTop="1" x14ac:dyDescent="0.2">
      <c r="A80" s="901"/>
      <c r="B80" s="870"/>
      <c r="C80" s="872"/>
      <c r="D80" s="902"/>
      <c r="E80" s="869"/>
      <c r="F80" s="903"/>
      <c r="G80" s="870"/>
    </row>
    <row r="81" spans="1:7" s="894" customFormat="1" ht="12" thickBot="1" x14ac:dyDescent="0.25">
      <c r="A81" s="2286" t="s">
        <v>1166</v>
      </c>
      <c r="B81" s="2287"/>
      <c r="C81" s="2287"/>
      <c r="D81" s="2287"/>
      <c r="E81" s="2287"/>
      <c r="F81" s="2288"/>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1">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214398</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383877</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2194998</v>
      </c>
      <c r="G94" s="913"/>
    </row>
    <row r="95" spans="1:7" x14ac:dyDescent="0.2">
      <c r="A95" s="909" t="s">
        <v>142</v>
      </c>
      <c r="B95" s="909" t="s">
        <v>177</v>
      </c>
      <c r="C95" s="911">
        <v>1700</v>
      </c>
      <c r="D95" s="919" t="str">
        <f>'Revenues 9-14'!A82</f>
        <v>Total District/School Activity Income</v>
      </c>
      <c r="E95" s="907"/>
      <c r="F95" s="1811">
        <f>SUM('Revenues 9-14'!C82,'Revenues 9-14'!D82)</f>
        <v>2490612</v>
      </c>
      <c r="G95" s="913"/>
    </row>
    <row r="96" spans="1:7" x14ac:dyDescent="0.2">
      <c r="A96" s="909" t="s">
        <v>478</v>
      </c>
      <c r="B96" s="909" t="s">
        <v>178</v>
      </c>
      <c r="C96" s="911">
        <f>'Revenues 9-14'!B84</f>
        <v>1811</v>
      </c>
      <c r="D96" s="912" t="str">
        <f>'Revenues 9-14'!A84</f>
        <v>Rentals - Regular Textbooks</v>
      </c>
      <c r="E96" s="907"/>
      <c r="F96" s="1811">
        <f>'Revenues 9-14'!C84</f>
        <v>480612</v>
      </c>
      <c r="G96" s="913"/>
    </row>
    <row r="97" spans="1:7" x14ac:dyDescent="0.2">
      <c r="A97" s="909" t="s">
        <v>478</v>
      </c>
      <c r="B97" s="909" t="s">
        <v>179</v>
      </c>
      <c r="C97" s="911">
        <f>'Revenues 9-14'!B87</f>
        <v>1819</v>
      </c>
      <c r="D97" s="912" t="str">
        <f>'Revenues 9-14'!A87</f>
        <v>Rentals - Other (Describe &amp; Itemize)</v>
      </c>
      <c r="E97" s="907"/>
      <c r="F97" s="1811">
        <f>'Revenues 9-14'!C87</f>
        <v>15913</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200535</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560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121309</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5187083</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152655</v>
      </c>
      <c r="G106" s="913"/>
    </row>
    <row r="107" spans="1:7" x14ac:dyDescent="0.2">
      <c r="A107" s="922" t="s">
        <v>684</v>
      </c>
      <c r="B107" s="909" t="s">
        <v>842</v>
      </c>
      <c r="C107" s="921">
        <v>3300</v>
      </c>
      <c r="D107" s="912" t="str">
        <f>'Revenues 9-14'!A144</f>
        <v>Total Bilingual Ed</v>
      </c>
      <c r="E107" s="907"/>
      <c r="F107" s="1811">
        <f>SUM('Revenues 9-14'!C144,'Revenues 9-14'!G144)</f>
        <v>1032436</v>
      </c>
      <c r="G107" s="913"/>
    </row>
    <row r="108" spans="1:7" x14ac:dyDescent="0.2">
      <c r="A108" s="909" t="s">
        <v>478</v>
      </c>
      <c r="B108" s="909" t="s">
        <v>843</v>
      </c>
      <c r="C108" s="921">
        <f>'Revenues 9-14'!B145</f>
        <v>3360</v>
      </c>
      <c r="D108" s="912" t="str">
        <f>'Revenues 9-14'!A145</f>
        <v>State Free Lunch &amp; Breakfast</v>
      </c>
      <c r="E108" s="907"/>
      <c r="F108" s="1811">
        <f>'Revenues 9-14'!C145</f>
        <v>58634</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132089</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7441594</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1">
        <f>SUM('Revenues 9-14'!C166:G166)</f>
        <v>0</v>
      </c>
      <c r="G122" s="913"/>
    </row>
    <row r="123" spans="1:7" x14ac:dyDescent="0.2">
      <c r="A123" s="924" t="s">
        <v>524</v>
      </c>
      <c r="B123" s="924" t="s">
        <v>852</v>
      </c>
      <c r="C123" s="925">
        <f>'Revenues 9-14'!B167</f>
        <v>3815</v>
      </c>
      <c r="D123" s="926" t="str">
        <f>'Revenues 9-14'!A167</f>
        <v>State Charter Schools</v>
      </c>
      <c r="E123" s="907"/>
      <c r="F123" s="1931">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448808</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6198789</v>
      </c>
      <c r="G129" s="931"/>
    </row>
    <row r="130" spans="1:7" x14ac:dyDescent="0.2">
      <c r="A130" s="928" t="s">
        <v>688</v>
      </c>
      <c r="B130" s="928" t="s">
        <v>803</v>
      </c>
      <c r="C130" s="933">
        <v>4300</v>
      </c>
      <c r="D130" s="934" t="str">
        <f>'Revenues 9-14'!A211</f>
        <v>Total Title I</v>
      </c>
      <c r="E130" s="907"/>
      <c r="F130" s="1811">
        <f>SUM('Revenues 9-14'!C211,'Revenues 9-14'!D211,'Revenues 9-14'!F211,'Revenues 9-14'!G211)</f>
        <v>4121937</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3331587</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66893</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113833</v>
      </c>
      <c r="G136" s="931">
        <v>6303</v>
      </c>
    </row>
    <row r="137" spans="1:7" s="868" customFormat="1" hidden="1" x14ac:dyDescent="0.2">
      <c r="A137" s="935" t="s">
        <v>215</v>
      </c>
      <c r="B137" s="935" t="s">
        <v>1483</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868215</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19537</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263887</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9566</v>
      </c>
      <c r="G168" s="931"/>
    </row>
    <row r="169" spans="1:7" x14ac:dyDescent="0.2">
      <c r="A169" s="945" t="s">
        <v>688</v>
      </c>
      <c r="B169" s="945" t="s">
        <v>707</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1">
        <f>SUM('Revenues 9-14'!C268,'Revenues 9-14'!D268,'Revenues 9-14'!F268,'Revenues 9-14'!G268)</f>
        <v>303825</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124048</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1472646</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236224</v>
      </c>
      <c r="G174" s="928"/>
    </row>
    <row r="175" spans="1:7" x14ac:dyDescent="0.2">
      <c r="A175" s="1942" t="s">
        <v>5</v>
      </c>
      <c r="B175" s="1943" t="s">
        <v>2055</v>
      </c>
      <c r="C175" s="1944">
        <v>3100</v>
      </c>
      <c r="D175" s="1945" t="s">
        <v>2058</v>
      </c>
      <c r="E175" s="907"/>
      <c r="F175" s="1929"/>
      <c r="G175" s="928"/>
    </row>
    <row r="176" spans="1:7" x14ac:dyDescent="0.2">
      <c r="A176" s="1942" t="s">
        <v>684</v>
      </c>
      <c r="B176" s="1943" t="s">
        <v>2055</v>
      </c>
      <c r="C176" s="1944">
        <v>3300</v>
      </c>
      <c r="D176" s="1945" t="s">
        <v>2059</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1014</v>
      </c>
      <c r="F178" s="1810">
        <f>SUM(F84:F136,F161:F176)</f>
        <v>37687100</v>
      </c>
    </row>
    <row r="179" spans="1:7" ht="12" customHeight="1" x14ac:dyDescent="0.2">
      <c r="A179" s="1792"/>
      <c r="B179" s="1806"/>
      <c r="C179" s="1807"/>
      <c r="D179" s="1808" t="s">
        <v>2012</v>
      </c>
      <c r="E179" s="1809"/>
      <c r="F179" s="1811">
        <f>'PCTC-OEPP 27-28'!F77-F178</f>
        <v>185438007</v>
      </c>
    </row>
    <row r="180" spans="1:7" ht="12" customHeight="1" x14ac:dyDescent="0.2">
      <c r="A180" s="1792"/>
      <c r="B180" s="1806"/>
      <c r="C180" s="1807"/>
      <c r="D180" s="1808" t="s">
        <v>1921</v>
      </c>
      <c r="E180" s="1809"/>
      <c r="F180" s="1811">
        <f>'Cap Outlay Deprec 26'!I18</f>
        <v>7361259.7000000002</v>
      </c>
    </row>
    <row r="181" spans="1:7" ht="12" customHeight="1" x14ac:dyDescent="0.2">
      <c r="A181" s="1792"/>
      <c r="B181" s="1806"/>
      <c r="C181" s="1807"/>
      <c r="D181" s="1808" t="s">
        <v>2013</v>
      </c>
      <c r="E181" s="1809"/>
      <c r="F181" s="1811">
        <f>F179+F180</f>
        <v>192799266.69999999</v>
      </c>
    </row>
    <row r="182" spans="1:7" ht="12" customHeight="1" x14ac:dyDescent="0.2">
      <c r="A182" s="1792"/>
      <c r="B182" s="1812"/>
      <c r="C182" s="1807"/>
      <c r="D182" s="1808" t="str">
        <f>D78</f>
        <v>9 Month ADA from District Average Daily Attendance/Prior General State Aid Inquiry 2017-2018</v>
      </c>
      <c r="E182" s="1809"/>
      <c r="F182" s="1813">
        <f>'PCTC-OEPP 27-28'!F78</f>
        <v>15429.91</v>
      </c>
      <c r="G182" s="931"/>
    </row>
    <row r="183" spans="1:7" ht="12" customHeight="1" thickBot="1" x14ac:dyDescent="0.25">
      <c r="A183" s="1792"/>
      <c r="B183" s="1812"/>
      <c r="C183" s="1807"/>
      <c r="D183" s="1808" t="s">
        <v>2014</v>
      </c>
      <c r="E183" s="1809" t="s">
        <v>1625</v>
      </c>
      <c r="F183" s="1814">
        <f>F181/F182</f>
        <v>12495.164696359214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6" customFormat="1" ht="12.2" customHeight="1" x14ac:dyDescent="0.2">
      <c r="A186" s="1946" t="s">
        <v>2062</v>
      </c>
      <c r="B186" s="1947"/>
      <c r="C186" s="1948"/>
      <c r="D186" s="1947"/>
      <c r="E186" s="1948"/>
      <c r="F186" s="1947"/>
      <c r="G186" s="1947"/>
    </row>
    <row r="187" spans="1:7" s="1946" customFormat="1" ht="12.2" customHeight="1" x14ac:dyDescent="0.2">
      <c r="A187" s="1949" t="s">
        <v>2063</v>
      </c>
      <c r="C187" s="1948"/>
      <c r="D187" s="1947"/>
      <c r="E187" s="1948"/>
      <c r="F187" s="1947"/>
      <c r="G187" s="1947"/>
    </row>
    <row r="188" spans="1:7" ht="12" customHeight="1" x14ac:dyDescent="0.2">
      <c r="C188" s="950"/>
      <c r="D188" s="931"/>
      <c r="E188" s="950"/>
      <c r="F188" s="931"/>
      <c r="G188" s="931"/>
    </row>
    <row r="189" spans="1:7" x14ac:dyDescent="0.2">
      <c r="A189" s="1950" t="s">
        <v>2061</v>
      </c>
      <c r="B189" s="1951"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00" t="s">
        <v>1922</v>
      </c>
      <c r="B4" s="2301"/>
      <c r="C4" s="2301"/>
      <c r="D4" s="2301"/>
      <c r="E4" s="2301"/>
      <c r="F4" s="2301"/>
      <c r="G4" s="2302"/>
    </row>
    <row r="5" spans="1:7" x14ac:dyDescent="0.25">
      <c r="A5" s="2303"/>
      <c r="B5" s="2304"/>
      <c r="C5" s="2304"/>
      <c r="D5" s="2304"/>
      <c r="E5" s="2304"/>
      <c r="F5" s="2304"/>
      <c r="G5" s="2305"/>
    </row>
    <row r="6" spans="1:7" ht="18.75" x14ac:dyDescent="0.25">
      <c r="A6" s="1556" t="s">
        <v>1923</v>
      </c>
      <c r="B6" s="1557"/>
      <c r="C6" s="1557"/>
      <c r="D6" s="1557"/>
      <c r="E6" s="1557"/>
      <c r="F6" s="1557"/>
      <c r="G6" s="1558"/>
    </row>
    <row r="7" spans="1:7" ht="30.75" customHeight="1" x14ac:dyDescent="0.25">
      <c r="A7" s="2306" t="s">
        <v>2072</v>
      </c>
      <c r="B7" s="2307"/>
      <c r="C7" s="2307"/>
      <c r="D7" s="2307"/>
      <c r="E7" s="2307"/>
      <c r="F7" s="2307"/>
      <c r="G7" s="2308"/>
    </row>
    <row r="8" spans="1:7" ht="15.75" customHeight="1" x14ac:dyDescent="0.25">
      <c r="A8" s="2309" t="s">
        <v>2021</v>
      </c>
      <c r="B8" s="2310"/>
      <c r="C8" s="2310"/>
      <c r="D8" s="2310"/>
      <c r="E8" s="2310"/>
      <c r="F8" s="2310"/>
      <c r="G8" s="2311"/>
    </row>
    <row r="9" spans="1:7" ht="35.25" customHeight="1" x14ac:dyDescent="0.25">
      <c r="A9" s="2306" t="s">
        <v>2020</v>
      </c>
      <c r="B9" s="2307"/>
      <c r="C9" s="2307"/>
      <c r="D9" s="2307"/>
      <c r="E9" s="2307"/>
      <c r="F9" s="2307"/>
      <c r="G9" s="2308"/>
    </row>
    <row r="10" spans="1:7" ht="15" customHeight="1" x14ac:dyDescent="0.25">
      <c r="A10" s="1559" t="s">
        <v>1924</v>
      </c>
      <c r="B10" s="1560"/>
      <c r="C10" s="1560"/>
      <c r="D10" s="1560"/>
      <c r="E10" s="1560"/>
      <c r="F10" s="1560"/>
      <c r="G10" s="1561"/>
    </row>
    <row r="11" spans="1:7" ht="17.25" customHeight="1" x14ac:dyDescent="0.25">
      <c r="A11" s="2306" t="s">
        <v>1938</v>
      </c>
      <c r="B11" s="2307"/>
      <c r="C11" s="2307"/>
      <c r="D11" s="2307"/>
      <c r="E11" s="2307"/>
      <c r="F11" s="2307"/>
      <c r="G11" s="2308"/>
    </row>
    <row r="12" spans="1:7" ht="15" customHeight="1" x14ac:dyDescent="0.25">
      <c r="A12" s="1559" t="s">
        <v>1929</v>
      </c>
      <c r="B12" s="1560"/>
      <c r="C12" s="1560"/>
      <c r="D12" s="1560"/>
      <c r="E12" s="1560"/>
      <c r="F12" s="1560"/>
      <c r="G12" s="1561"/>
    </row>
    <row r="13" spans="1:7" ht="32.25" customHeight="1" x14ac:dyDescent="0.25">
      <c r="A13" s="2297" t="s">
        <v>1930</v>
      </c>
      <c r="B13" s="2298"/>
      <c r="C13" s="2298"/>
      <c r="D13" s="2298"/>
      <c r="E13" s="2298"/>
      <c r="F13" s="2298"/>
      <c r="G13" s="2299"/>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2111</v>
      </c>
      <c r="B17" s="1955" t="s">
        <v>2112</v>
      </c>
      <c r="C17" s="1956" t="s">
        <v>2113</v>
      </c>
      <c r="D17" s="1954">
        <v>269803.90999999997</v>
      </c>
      <c r="E17" s="1562">
        <f t="shared" ref="E17:E141" si="1">IF(D17&lt;=25000,D17,IF(D17&gt;25000,25000,0))</f>
        <v>25000</v>
      </c>
      <c r="F17" s="1815">
        <f t="shared" si="0"/>
        <v>25000</v>
      </c>
      <c r="G17" s="1816">
        <f>IF(F17=0,0,D17-F17)</f>
        <v>244803.90999999997</v>
      </c>
      <c r="H17" s="1669"/>
    </row>
    <row r="18" spans="1:8" x14ac:dyDescent="0.25">
      <c r="A18" s="1957" t="s">
        <v>2114</v>
      </c>
      <c r="B18" s="1955" t="s">
        <v>2115</v>
      </c>
      <c r="C18" s="1956" t="s">
        <v>2116</v>
      </c>
      <c r="D18" s="1954">
        <v>119605.75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94605.75</v>
      </c>
    </row>
    <row r="19" spans="1:8" x14ac:dyDescent="0.25">
      <c r="A19" s="1957" t="s">
        <v>2117</v>
      </c>
      <c r="B19" s="1955" t="s">
        <v>2118</v>
      </c>
      <c r="C19" s="1956" t="s">
        <v>2119</v>
      </c>
      <c r="D19" s="1954">
        <v>154468.48000000001</v>
      </c>
      <c r="E19" s="1562">
        <f t="shared" si="2"/>
        <v>25000</v>
      </c>
      <c r="F19" s="1815">
        <f t="shared" si="3"/>
        <v>25000</v>
      </c>
      <c r="G19" s="1816">
        <f t="shared" si="4"/>
        <v>129468.48000000001</v>
      </c>
    </row>
    <row r="20" spans="1:8" x14ac:dyDescent="0.25">
      <c r="A20" s="1957" t="s">
        <v>2117</v>
      </c>
      <c r="B20" s="1955" t="s">
        <v>2118</v>
      </c>
      <c r="C20" s="1956" t="s">
        <v>2120</v>
      </c>
      <c r="D20" s="1954">
        <v>43313.39</v>
      </c>
      <c r="E20" s="1562">
        <f t="shared" si="2"/>
        <v>25000</v>
      </c>
      <c r="F20" s="1815">
        <f t="shared" si="3"/>
        <v>25000</v>
      </c>
      <c r="G20" s="1816">
        <f t="shared" si="4"/>
        <v>18313.39</v>
      </c>
    </row>
    <row r="21" spans="1:8" x14ac:dyDescent="0.25">
      <c r="A21" s="1957" t="s">
        <v>2117</v>
      </c>
      <c r="B21" s="1955" t="s">
        <v>2118</v>
      </c>
      <c r="C21" s="1956" t="s">
        <v>2121</v>
      </c>
      <c r="D21" s="1954">
        <v>9555</v>
      </c>
      <c r="E21" s="1562">
        <f t="shared" si="2"/>
        <v>9555</v>
      </c>
      <c r="F21" s="1815">
        <f t="shared" si="3"/>
        <v>9555</v>
      </c>
      <c r="G21" s="1816">
        <f t="shared" si="4"/>
        <v>0</v>
      </c>
    </row>
    <row r="22" spans="1:8" x14ac:dyDescent="0.25">
      <c r="A22" s="1957" t="s">
        <v>2122</v>
      </c>
      <c r="B22" s="1955" t="s">
        <v>2123</v>
      </c>
      <c r="C22" s="1956" t="s">
        <v>2124</v>
      </c>
      <c r="D22" s="1954">
        <v>45609.479999999996</v>
      </c>
      <c r="E22" s="1562">
        <f t="shared" si="2"/>
        <v>25000</v>
      </c>
      <c r="F22" s="1815">
        <f t="shared" si="3"/>
        <v>25000</v>
      </c>
      <c r="G22" s="1816">
        <f t="shared" si="4"/>
        <v>20609.479999999996</v>
      </c>
    </row>
    <row r="23" spans="1:8" x14ac:dyDescent="0.25">
      <c r="A23" s="1957" t="s">
        <v>2125</v>
      </c>
      <c r="B23" s="1955" t="s">
        <v>2126</v>
      </c>
      <c r="C23" s="1956" t="s">
        <v>2119</v>
      </c>
      <c r="D23" s="1954">
        <v>68643.09</v>
      </c>
      <c r="E23" s="1562">
        <f t="shared" si="2"/>
        <v>25000</v>
      </c>
      <c r="F23" s="1815">
        <f t="shared" si="3"/>
        <v>25000</v>
      </c>
      <c r="G23" s="1816">
        <f t="shared" si="4"/>
        <v>43643.09</v>
      </c>
    </row>
    <row r="24" spans="1:8" x14ac:dyDescent="0.25">
      <c r="A24" s="1957" t="s">
        <v>2125</v>
      </c>
      <c r="B24" s="1955" t="s">
        <v>2126</v>
      </c>
      <c r="C24" s="1956" t="s">
        <v>2127</v>
      </c>
      <c r="D24" s="1954">
        <v>106430</v>
      </c>
      <c r="E24" s="1562">
        <f t="shared" si="2"/>
        <v>25000</v>
      </c>
      <c r="F24" s="1815">
        <f t="shared" si="3"/>
        <v>25000</v>
      </c>
      <c r="G24" s="1816">
        <f t="shared" si="4"/>
        <v>81430</v>
      </c>
    </row>
    <row r="25" spans="1:8" x14ac:dyDescent="0.25">
      <c r="A25" s="1957" t="s">
        <v>2125</v>
      </c>
      <c r="B25" s="1955" t="s">
        <v>2126</v>
      </c>
      <c r="C25" s="1956" t="s">
        <v>2128</v>
      </c>
      <c r="D25" s="1954">
        <v>67832</v>
      </c>
      <c r="E25" s="1562">
        <f t="shared" si="2"/>
        <v>25000</v>
      </c>
      <c r="F25" s="1815">
        <f t="shared" si="3"/>
        <v>25000</v>
      </c>
      <c r="G25" s="1816">
        <f t="shared" si="4"/>
        <v>42832</v>
      </c>
    </row>
    <row r="26" spans="1:8" x14ac:dyDescent="0.25">
      <c r="A26" s="1957" t="s">
        <v>2114</v>
      </c>
      <c r="B26" s="1955" t="s">
        <v>2115</v>
      </c>
      <c r="C26" s="1956" t="s">
        <v>2129</v>
      </c>
      <c r="D26" s="1954">
        <v>47508</v>
      </c>
      <c r="E26" s="1562">
        <f t="shared" si="2"/>
        <v>25000</v>
      </c>
      <c r="F26" s="1815">
        <f t="shared" si="3"/>
        <v>25000</v>
      </c>
      <c r="G26" s="1816">
        <f t="shared" si="4"/>
        <v>22508</v>
      </c>
    </row>
    <row r="27" spans="1:8" x14ac:dyDescent="0.25">
      <c r="A27" s="1957" t="s">
        <v>2114</v>
      </c>
      <c r="B27" s="1955" t="s">
        <v>2115</v>
      </c>
      <c r="C27" s="1956" t="s">
        <v>2130</v>
      </c>
      <c r="D27" s="1954">
        <v>3549540.46</v>
      </c>
      <c r="E27" s="1562">
        <f t="shared" si="2"/>
        <v>25000</v>
      </c>
      <c r="F27" s="1815">
        <f t="shared" si="3"/>
        <v>25000</v>
      </c>
      <c r="G27" s="1816">
        <f t="shared" si="4"/>
        <v>3524540.46</v>
      </c>
    </row>
    <row r="28" spans="1:8" x14ac:dyDescent="0.25">
      <c r="A28" s="1957" t="s">
        <v>2114</v>
      </c>
      <c r="B28" s="1955" t="s">
        <v>2115</v>
      </c>
      <c r="C28" s="1956" t="s">
        <v>2131</v>
      </c>
      <c r="D28" s="1954">
        <v>53604.25</v>
      </c>
      <c r="E28" s="1562">
        <f t="shared" si="2"/>
        <v>25000</v>
      </c>
      <c r="F28" s="1815">
        <f t="shared" si="3"/>
        <v>25000</v>
      </c>
      <c r="G28" s="1816">
        <f t="shared" si="4"/>
        <v>28604.25</v>
      </c>
    </row>
    <row r="29" spans="1:8" x14ac:dyDescent="0.25">
      <c r="A29" s="1957" t="s">
        <v>2132</v>
      </c>
      <c r="B29" s="1955" t="s">
        <v>2133</v>
      </c>
      <c r="C29" s="1956" t="s">
        <v>2134</v>
      </c>
      <c r="D29" s="1954">
        <v>188304</v>
      </c>
      <c r="E29" s="1562">
        <f t="shared" si="2"/>
        <v>25000</v>
      </c>
      <c r="F29" s="1815">
        <f t="shared" si="3"/>
        <v>25000</v>
      </c>
      <c r="G29" s="1816">
        <f t="shared" si="4"/>
        <v>163304</v>
      </c>
    </row>
    <row r="30" spans="1:8" x14ac:dyDescent="0.25">
      <c r="A30" s="1957" t="s">
        <v>2132</v>
      </c>
      <c r="B30" s="1955" t="s">
        <v>2133</v>
      </c>
      <c r="C30" s="1956" t="s">
        <v>2135</v>
      </c>
      <c r="D30" s="1954">
        <v>2076778</v>
      </c>
      <c r="E30" s="1562">
        <f t="shared" si="2"/>
        <v>25000</v>
      </c>
      <c r="F30" s="1815">
        <f t="shared" si="3"/>
        <v>25000</v>
      </c>
      <c r="G30" s="1816">
        <f t="shared" si="4"/>
        <v>2051778</v>
      </c>
    </row>
    <row r="31" spans="1:8" x14ac:dyDescent="0.25">
      <c r="A31" s="1957" t="s">
        <v>2132</v>
      </c>
      <c r="B31" s="1955" t="s">
        <v>2133</v>
      </c>
      <c r="C31" s="1956" t="s">
        <v>2136</v>
      </c>
      <c r="D31" s="1954">
        <v>133396</v>
      </c>
      <c r="E31" s="1562">
        <f t="shared" si="2"/>
        <v>25000</v>
      </c>
      <c r="F31" s="1815">
        <f t="shared" si="3"/>
        <v>25000</v>
      </c>
      <c r="G31" s="1816">
        <f t="shared" si="4"/>
        <v>108396</v>
      </c>
    </row>
    <row r="32" spans="1:8" x14ac:dyDescent="0.25">
      <c r="A32" s="1957" t="s">
        <v>2137</v>
      </c>
      <c r="B32" s="1955" t="s">
        <v>2138</v>
      </c>
      <c r="C32" s="1956" t="s">
        <v>2136</v>
      </c>
      <c r="D32" s="1954">
        <v>80000</v>
      </c>
      <c r="E32" s="1562">
        <f t="shared" si="2"/>
        <v>25000</v>
      </c>
      <c r="F32" s="1815">
        <f t="shared" si="3"/>
        <v>25000</v>
      </c>
      <c r="G32" s="1816">
        <f t="shared" si="4"/>
        <v>55000</v>
      </c>
    </row>
    <row r="33" spans="1:7" x14ac:dyDescent="0.25">
      <c r="A33" s="1957" t="s">
        <v>2137</v>
      </c>
      <c r="B33" s="1955" t="s">
        <v>2138</v>
      </c>
      <c r="C33" s="1956" t="s">
        <v>2139</v>
      </c>
      <c r="D33" s="1954">
        <v>712226.49</v>
      </c>
      <c r="E33" s="1562">
        <f t="shared" si="2"/>
        <v>25000</v>
      </c>
      <c r="F33" s="1815">
        <f t="shared" si="3"/>
        <v>25000</v>
      </c>
      <c r="G33" s="1816">
        <f t="shared" si="4"/>
        <v>687226.49</v>
      </c>
    </row>
    <row r="34" spans="1:7" x14ac:dyDescent="0.25">
      <c r="A34" s="1957" t="s">
        <v>2137</v>
      </c>
      <c r="B34" s="1955" t="s">
        <v>2138</v>
      </c>
      <c r="C34" s="1956" t="s">
        <v>2140</v>
      </c>
      <c r="D34" s="1954">
        <v>8998</v>
      </c>
      <c r="E34" s="1562">
        <f t="shared" si="2"/>
        <v>8998</v>
      </c>
      <c r="F34" s="1815">
        <f t="shared" si="3"/>
        <v>8998</v>
      </c>
      <c r="G34" s="1816">
        <f t="shared" si="4"/>
        <v>0</v>
      </c>
    </row>
    <row r="35" spans="1:7" x14ac:dyDescent="0.25">
      <c r="A35" s="1957" t="s">
        <v>2137</v>
      </c>
      <c r="B35" s="1955" t="s">
        <v>2138</v>
      </c>
      <c r="C35" s="1956" t="s">
        <v>2141</v>
      </c>
      <c r="D35" s="1954">
        <v>177749.91</v>
      </c>
      <c r="E35" s="1562">
        <f t="shared" si="2"/>
        <v>25000</v>
      </c>
      <c r="F35" s="1815">
        <f t="shared" si="3"/>
        <v>25000</v>
      </c>
      <c r="G35" s="1816">
        <f t="shared" si="4"/>
        <v>152749.91</v>
      </c>
    </row>
    <row r="36" spans="1:7" x14ac:dyDescent="0.25">
      <c r="A36" s="1957" t="s">
        <v>2142</v>
      </c>
      <c r="B36" s="1955" t="s">
        <v>2143</v>
      </c>
      <c r="C36" s="1956" t="s">
        <v>2124</v>
      </c>
      <c r="D36" s="1954">
        <v>71896.86</v>
      </c>
      <c r="E36" s="1562">
        <f t="shared" si="2"/>
        <v>25000</v>
      </c>
      <c r="F36" s="1815">
        <f t="shared" si="3"/>
        <v>25000</v>
      </c>
      <c r="G36" s="1816">
        <f t="shared" si="4"/>
        <v>46896.86</v>
      </c>
    </row>
    <row r="37" spans="1:7" x14ac:dyDescent="0.25">
      <c r="A37" s="1957" t="s">
        <v>2142</v>
      </c>
      <c r="B37" s="1955" t="s">
        <v>2143</v>
      </c>
      <c r="C37" s="1956" t="s">
        <v>2144</v>
      </c>
      <c r="D37" s="1954">
        <v>28990</v>
      </c>
      <c r="E37" s="1562">
        <f t="shared" si="2"/>
        <v>25000</v>
      </c>
      <c r="F37" s="1815">
        <f t="shared" si="3"/>
        <v>25000</v>
      </c>
      <c r="G37" s="1816">
        <f t="shared" si="4"/>
        <v>3990</v>
      </c>
    </row>
    <row r="38" spans="1:7" x14ac:dyDescent="0.25">
      <c r="A38" s="1957" t="s">
        <v>2142</v>
      </c>
      <c r="B38" s="1955" t="s">
        <v>2143</v>
      </c>
      <c r="C38" s="1956" t="s">
        <v>2145</v>
      </c>
      <c r="D38" s="1954">
        <v>45106</v>
      </c>
      <c r="E38" s="1562">
        <f t="shared" si="2"/>
        <v>25000</v>
      </c>
      <c r="F38" s="1815">
        <f t="shared" si="3"/>
        <v>25000</v>
      </c>
      <c r="G38" s="1816">
        <f t="shared" si="4"/>
        <v>20106</v>
      </c>
    </row>
    <row r="39" spans="1:7" x14ac:dyDescent="0.25">
      <c r="A39" s="1957" t="s">
        <v>2142</v>
      </c>
      <c r="B39" s="1955" t="s">
        <v>2143</v>
      </c>
      <c r="C39" s="1956" t="s">
        <v>2146</v>
      </c>
      <c r="D39" s="1954">
        <v>22400</v>
      </c>
      <c r="E39" s="1562">
        <f t="shared" si="2"/>
        <v>22400</v>
      </c>
      <c r="F39" s="1815">
        <f t="shared" si="3"/>
        <v>22400</v>
      </c>
      <c r="G39" s="1816">
        <f t="shared" si="4"/>
        <v>0</v>
      </c>
    </row>
    <row r="40" spans="1:7" x14ac:dyDescent="0.25">
      <c r="A40" s="1958" t="s">
        <v>2147</v>
      </c>
      <c r="B40" s="1963" t="s">
        <v>2156</v>
      </c>
      <c r="C40" s="1961" t="s">
        <v>2151</v>
      </c>
      <c r="D40" s="1954">
        <v>22500</v>
      </c>
      <c r="E40" s="1562">
        <f t="shared" si="2"/>
        <v>22500</v>
      </c>
      <c r="F40" s="1815">
        <f t="shared" si="3"/>
        <v>22500</v>
      </c>
      <c r="G40" s="1816">
        <f t="shared" si="4"/>
        <v>0</v>
      </c>
    </row>
    <row r="41" spans="1:7" x14ac:dyDescent="0.25">
      <c r="A41" s="1959" t="s">
        <v>2148</v>
      </c>
      <c r="B41" s="1964" t="s">
        <v>2126</v>
      </c>
      <c r="C41" s="1962" t="s">
        <v>2152</v>
      </c>
      <c r="D41" s="1867">
        <v>3050</v>
      </c>
      <c r="E41" s="1562">
        <f t="shared" si="2"/>
        <v>3050</v>
      </c>
      <c r="F41" s="1815">
        <f t="shared" si="3"/>
        <v>3050</v>
      </c>
      <c r="G41" s="1816">
        <f t="shared" si="4"/>
        <v>0</v>
      </c>
    </row>
    <row r="42" spans="1:7" x14ac:dyDescent="0.25">
      <c r="A42" s="1959" t="s">
        <v>2147</v>
      </c>
      <c r="B42" s="1964" t="s">
        <v>2156</v>
      </c>
      <c r="C42" s="1962" t="s">
        <v>2153</v>
      </c>
      <c r="D42" s="1867">
        <v>174000</v>
      </c>
      <c r="E42" s="1562">
        <f t="shared" si="2"/>
        <v>25000</v>
      </c>
      <c r="F42" s="1815">
        <f t="shared" si="3"/>
        <v>25000</v>
      </c>
      <c r="G42" s="1816">
        <f t="shared" si="4"/>
        <v>149000</v>
      </c>
    </row>
    <row r="43" spans="1:7" x14ac:dyDescent="0.25">
      <c r="A43" s="1959" t="s">
        <v>2149</v>
      </c>
      <c r="B43" s="1960" t="s">
        <v>2150</v>
      </c>
      <c r="C43" s="1962" t="s">
        <v>2154</v>
      </c>
      <c r="D43" s="1867">
        <v>36000</v>
      </c>
      <c r="E43" s="1562">
        <f t="shared" si="2"/>
        <v>25000</v>
      </c>
      <c r="F43" s="1815">
        <f t="shared" si="3"/>
        <v>25000</v>
      </c>
      <c r="G43" s="1816">
        <f t="shared" si="4"/>
        <v>11000</v>
      </c>
    </row>
    <row r="44" spans="1:7" x14ac:dyDescent="0.25">
      <c r="A44" s="1959" t="s">
        <v>2149</v>
      </c>
      <c r="B44" s="1960" t="s">
        <v>2150</v>
      </c>
      <c r="C44" s="1962" t="s">
        <v>2155</v>
      </c>
      <c r="D44" s="1867">
        <v>78500</v>
      </c>
      <c r="E44" s="1562">
        <f t="shared" si="2"/>
        <v>25000</v>
      </c>
      <c r="F44" s="1815">
        <f t="shared" si="3"/>
        <v>25000</v>
      </c>
      <c r="G44" s="1816">
        <f t="shared" si="4"/>
        <v>53500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8395809.0700000003</v>
      </c>
      <c r="E141" s="1563">
        <f t="shared" si="1"/>
        <v>25000</v>
      </c>
      <c r="F141" s="1817">
        <f>SUM(F17:F140)</f>
        <v>641503</v>
      </c>
      <c r="G141" s="1818">
        <f>SUM(G17:G140)</f>
        <v>7754306.0700000003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B44" sqref="B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12" t="s">
        <v>1777</v>
      </c>
      <c r="B5" s="2313"/>
      <c r="C5" s="2313"/>
      <c r="D5" s="2313"/>
      <c r="E5" s="2313"/>
      <c r="F5" s="2313"/>
      <c r="G5" s="231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3906977</v>
      </c>
      <c r="F10" s="975"/>
      <c r="G10" s="976"/>
      <c r="H10" s="162"/>
      <c r="I10" s="162"/>
    </row>
    <row r="11" spans="1:9" s="669" customFormat="1" ht="22.5" customHeight="1" x14ac:dyDescent="0.2">
      <c r="A11" s="2317" t="s">
        <v>1942</v>
      </c>
      <c r="B11" s="2318"/>
      <c r="C11" s="2318"/>
      <c r="D11" s="2319"/>
      <c r="E11" s="978">
        <v>690188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136715616</v>
      </c>
      <c r="F19" s="1822"/>
      <c r="G19" s="1824">
        <f>'Expenditures 15-22'!K33-SUM('Expenditures 15-22'!G33,'Expenditures 15-22'!I33)+'Expenditures 15-22'!D229</f>
        <v>136715616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13265871</v>
      </c>
      <c r="F21" s="1825"/>
      <c r="G21" s="1828">
        <f>'Expenditures 15-22'!K42-SUM('Expenditures 15-22'!G42,'Expenditures 15-22'!I42)+'Expenditures 15-22'!K120-SUM('Expenditures 15-22'!G120,'Expenditures 15-22'!I120)+'Expenditures 15-22'!K180-SUM('Expenditures 15-22'!G180,'Expenditures 15-22'!I180)+'Expenditures 15-22'!D238</f>
        <v>13265871</v>
      </c>
      <c r="H21" s="988"/>
      <c r="I21" s="162"/>
    </row>
    <row r="22" spans="1:9" s="669" customFormat="1" ht="12" customHeight="1" x14ac:dyDescent="0.2">
      <c r="A22" s="995" t="s">
        <v>584</v>
      </c>
      <c r="B22" s="996"/>
      <c r="C22" s="994">
        <v>2200</v>
      </c>
      <c r="D22" s="1825"/>
      <c r="E22" s="1827">
        <f>'Expenditures 15-22'!K47-SUM('Expenditures 15-22'!G47,'Expenditures 15-22'!I47)+'Expenditures 15-22'!D243</f>
        <v>7189131</v>
      </c>
      <c r="F22" s="1825"/>
      <c r="G22" s="1828">
        <f>'Expenditures 15-22'!K47-SUM('Expenditures 15-22'!G47,'Expenditures 15-22'!I47)+'Expenditures 15-22'!D243</f>
        <v>7189131</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5928871</v>
      </c>
      <c r="F23" s="1825"/>
      <c r="G23" s="1827">
        <f>'Expenditures 15-22'!K53-SUM('Expenditures 15-22'!G53,'Expenditures 15-22'!I53)+'Expenditures 15-22'!D257+'Expenditures 15-22'!K330-SUM('Expenditures 15-22'!G330,'Expenditures 15-22'!I330)</f>
        <v>5928871</v>
      </c>
      <c r="H23" s="988"/>
      <c r="I23" s="162"/>
    </row>
    <row r="24" spans="1:9" s="669" customFormat="1" ht="12" customHeight="1" x14ac:dyDescent="0.2">
      <c r="A24" s="995" t="s">
        <v>586</v>
      </c>
      <c r="B24" s="996"/>
      <c r="C24" s="994">
        <v>2400</v>
      </c>
      <c r="D24" s="1825"/>
      <c r="E24" s="1827">
        <f>'Expenditures 15-22'!K57-SUM('Expenditures 15-22'!G57,'Expenditures 15-22'!I57)+'Expenditures 15-22'!D261</f>
        <v>13181472</v>
      </c>
      <c r="F24" s="1825"/>
      <c r="G24" s="1828">
        <f>'Expenditures 15-22'!K57-SUM('Expenditures 15-22'!G57,'Expenditures 15-22'!I57)+'Expenditures 15-22'!D261</f>
        <v>13181472</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531189</v>
      </c>
      <c r="E26" s="1827">
        <f>'Expenditures 15-22'!K122-SUM('Expenditures 15-22'!G122,'Expenditures 15-22'!I122)+E7</f>
        <v>43</v>
      </c>
      <c r="F26" s="1827">
        <f>'Expenditures 15-22'!K59-SUM('Expenditures 15-22'!G59,'Expenditures 15-22'!I59)+'Expenditures 15-22'!D263-E7</f>
        <v>531189</v>
      </c>
      <c r="G26" s="1828">
        <f>'Expenditures 15-22'!K122-SUM('Expenditures 15-22'!G122,'Expenditures 15-22'!I122)+E7</f>
        <v>43</v>
      </c>
      <c r="H26" s="988"/>
      <c r="I26" s="162"/>
    </row>
    <row r="27" spans="1:9" s="669" customFormat="1" ht="12" customHeight="1" x14ac:dyDescent="0.2">
      <c r="A27" s="995" t="s">
        <v>482</v>
      </c>
      <c r="B27" s="998"/>
      <c r="C27" s="994">
        <v>2520</v>
      </c>
      <c r="D27" s="1827">
        <f>'Expenditures 15-22'!K60-SUM('Expenditures 15-22'!G60,'Expenditures 15-22'!I60)+'Expenditures 15-22'!D264-E8</f>
        <v>1200913</v>
      </c>
      <c r="E27" s="1827">
        <f>E8</f>
        <v>0</v>
      </c>
      <c r="F27" s="1827">
        <f>'Expenditures 15-22'!K60-SUM('Expenditures 15-22'!G60,'Expenditures 15-22'!I60)+'Expenditures 15-22'!D264-E8</f>
        <v>1200913</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18131741</v>
      </c>
      <c r="F28" s="1829">
        <f>'Expenditures 15-22'!K61-SUM('Expenditures 15-22'!G61,'Expenditures 15-22'!I61)+'Expenditures 15-22'!K124-SUM('Expenditures 15-22'!G124,'Expenditures 15-22'!I124)+'Expenditures 15-22'!D266-E9</f>
        <v>18131741</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14975223</v>
      </c>
      <c r="F29" s="1825"/>
      <c r="G29" s="1828">
        <f>'Expenditures 15-22'!K62-SUM('Expenditures 15-22'!G62,'Expenditures 15-22'!I62)+'Expenditures 15-22'!K125-SUM('Expenditures 15-22'!G125,'Expenditures 15-22'!I125)+'Expenditures 15-22'!K182-SUM('Expenditures 15-22'!G182,'Expenditures 15-22'!I182)+'Expenditures 15-22'!D267</f>
        <v>14975223</v>
      </c>
      <c r="H29" s="986"/>
    </row>
    <row r="30" spans="1:9" ht="12" customHeight="1" x14ac:dyDescent="0.2">
      <c r="A30" s="995" t="s">
        <v>102</v>
      </c>
      <c r="B30" s="998"/>
      <c r="C30" s="994">
        <v>2560</v>
      </c>
      <c r="D30" s="1825"/>
      <c r="E30" s="1827">
        <f>'Expenditures 15-22'!K63-SUM('Expenditures 15-22'!G63,'Expenditures 15-22'!I63)+'Expenditures 15-22'!D268-E10</f>
        <v>3908122</v>
      </c>
      <c r="F30" s="1825"/>
      <c r="G30" s="1827">
        <f>'Expenditures 15-22'!K63-SUM('Expenditures 15-22'!G63,'Expenditures 15-22'!I63)+'Expenditures 15-22'!D268-E10</f>
        <v>3908122</v>
      </c>
    </row>
    <row r="31" spans="1:9" ht="12" customHeight="1" x14ac:dyDescent="0.2">
      <c r="A31" s="995" t="s">
        <v>103</v>
      </c>
      <c r="B31" s="998"/>
      <c r="C31" s="994">
        <v>2570</v>
      </c>
      <c r="D31" s="1827">
        <f>'Expenditures 15-22'!K64-SUM('Expenditures 15-22'!G64,'Expenditures 15-22'!I64)+'Expenditures 15-22'!D269-E12</f>
        <v>340467</v>
      </c>
      <c r="E31" s="1827">
        <f>E12</f>
        <v>0</v>
      </c>
      <c r="F31" s="1827">
        <f>'Expenditures 15-22'!K64-SUM('Expenditures 15-22'!G64,'Expenditures 15-22'!I64)+'Expenditures 15-22'!D269-E12</f>
        <v>340467</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53176</v>
      </c>
      <c r="F34" s="1825"/>
      <c r="G34" s="1827">
        <f>'Expenditures 15-22'!K68-SUM('Expenditures 15-22'!G68,'Expenditures 15-22'!I68)+'Expenditures 15-22'!D273</f>
        <v>53176</v>
      </c>
    </row>
    <row r="35" spans="1:7" ht="12" customHeight="1" x14ac:dyDescent="0.2">
      <c r="A35" s="995" t="s">
        <v>1120</v>
      </c>
      <c r="B35" s="998"/>
      <c r="C35" s="994">
        <v>2630</v>
      </c>
      <c r="D35" s="1825"/>
      <c r="E35" s="1827">
        <f>'Expenditures 15-22'!K69-SUM('Expenditures 15-22'!G69,'Expenditures 15-22'!I69)+'Expenditures 15-22'!D274</f>
        <v>1480123</v>
      </c>
      <c r="F35" s="1825"/>
      <c r="G35" s="1827">
        <f>'Expenditures 15-22'!K69-SUM('Expenditures 15-22'!G69,'Expenditures 15-22'!I69)+'Expenditures 15-22'!D274</f>
        <v>1480123</v>
      </c>
    </row>
    <row r="36" spans="1:7" ht="12" customHeight="1" x14ac:dyDescent="0.2">
      <c r="A36" s="995" t="s">
        <v>422</v>
      </c>
      <c r="B36" s="998"/>
      <c r="C36" s="994">
        <v>2640</v>
      </c>
      <c r="D36" s="1827">
        <f>'Expenditures 15-22'!K70-SUM('Expenditures 15-22'!G70,'Expenditures 15-22'!I70)+'Expenditures 15-22'!D275-E13</f>
        <v>4093210</v>
      </c>
      <c r="E36" s="1827">
        <f>E13</f>
        <v>0</v>
      </c>
      <c r="F36" s="1827">
        <f>'Expenditures 15-22'!K70-SUM('Expenditures 15-22'!G70,'Expenditures 15-22'!I70)+'Expenditures 15-22'!D275-E13</f>
        <v>4093210</v>
      </c>
      <c r="G36" s="1827">
        <f>E13</f>
        <v>0</v>
      </c>
    </row>
    <row r="37" spans="1:7" ht="12" customHeight="1" x14ac:dyDescent="0.2">
      <c r="A37" s="995" t="s">
        <v>423</v>
      </c>
      <c r="B37" s="998"/>
      <c r="C37" s="994">
        <v>2660</v>
      </c>
      <c r="D37" s="1827">
        <f>'Expenditures 15-22'!K71-SUM('Expenditures 15-22'!G71,'Expenditures 15-22'!I71)+'Expenditures 15-22'!D276-E14</f>
        <v>4483131</v>
      </c>
      <c r="E37" s="1827">
        <f>E14</f>
        <v>0</v>
      </c>
      <c r="F37" s="1827">
        <f>'Expenditures 15-22'!K71-SUM('Expenditures 15-22'!G71,'Expenditures 15-22'!I71)+'Expenditures 15-22'!D276-E14</f>
        <v>4483131</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8003</v>
      </c>
      <c r="F38" s="1825"/>
      <c r="G38" s="1827">
        <f>'Expenditures 15-22'!K73-SUM('Expenditures 15-22'!G73,'Expenditures 15-22'!I73)+'Expenditures 15-22'!K128-SUM('Expenditures 15-22'!G128,'Expenditures 15-22'!I128)+'Expenditures 15-22'!K183-SUM('Expenditures 15-22'!G183,'Expenditures 15-22'!I183)+'Expenditures 15-22'!D278</f>
        <v>8003</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330129</v>
      </c>
      <c r="F39" s="1825"/>
      <c r="G39" s="1827">
        <f>'Expenditures 15-22'!K75-SUM('Expenditures 15-22'!G75,'Expenditures 15-22'!I75)+'Expenditures 15-22'!K130-SUM('Expenditures 15-22'!G130,'Expenditures 15-22'!I130)+'Expenditures 15-22'!K185-SUM('Expenditures 15-22'!G185,'Expenditures 15-22'!I185)+'Expenditures 15-22'!D280</f>
        <v>330129</v>
      </c>
    </row>
    <row r="40" spans="1:7" ht="12" customHeight="1" x14ac:dyDescent="0.2">
      <c r="A40" s="991" t="s">
        <v>1927</v>
      </c>
      <c r="B40" s="992"/>
      <c r="C40" s="994"/>
      <c r="D40" s="1825"/>
      <c r="E40" s="1829">
        <f>-'Contracts Paid in CY 29'!G141</f>
        <v>-7754306.0700000003</v>
      </c>
      <c r="F40" s="1825"/>
      <c r="G40" s="1829">
        <f>-'Contracts Paid in CY 29'!G141</f>
        <v>-7754306.0700000003</v>
      </c>
    </row>
    <row r="41" spans="1:7" ht="12" customHeight="1" x14ac:dyDescent="0.2">
      <c r="A41" s="999" t="s">
        <v>158</v>
      </c>
      <c r="B41" s="1000"/>
      <c r="C41" s="1001"/>
      <c r="D41" s="1829">
        <f>SUM(D19:D39)</f>
        <v>10648910</v>
      </c>
      <c r="E41" s="1829">
        <f>SUM(E19:E40)</f>
        <v>207413214.93000001</v>
      </c>
      <c r="F41" s="1829">
        <f>SUM(F19:F39)</f>
        <v>28780651</v>
      </c>
      <c r="G41" s="1829">
        <f>SUM(G19:G40)</f>
        <v>189281473.93000001</v>
      </c>
    </row>
    <row r="42" spans="1:7" x14ac:dyDescent="0.2">
      <c r="A42" s="988"/>
      <c r="B42" s="162"/>
      <c r="C42" s="1002"/>
      <c r="D42" s="2315" t="s">
        <v>542</v>
      </c>
      <c r="E42" s="2316"/>
      <c r="F42" s="1003" t="s">
        <v>543</v>
      </c>
      <c r="G42" s="1004"/>
    </row>
    <row r="43" spans="1:7" ht="12" customHeight="1" x14ac:dyDescent="0.2">
      <c r="A43" s="988"/>
      <c r="B43" s="162"/>
      <c r="C43" s="1002"/>
      <c r="D43" s="1830" t="s">
        <v>492</v>
      </c>
      <c r="E43" s="1831">
        <f>D41</f>
        <v>10648910</v>
      </c>
      <c r="F43" s="1830" t="s">
        <v>494</v>
      </c>
      <c r="G43" s="1831">
        <f>F41</f>
        <v>28780651</v>
      </c>
    </row>
    <row r="44" spans="1:7" ht="12" customHeight="1" x14ac:dyDescent="0.2">
      <c r="A44" s="988"/>
      <c r="B44" s="162"/>
      <c r="C44" s="1002"/>
      <c r="D44" s="1830" t="s">
        <v>493</v>
      </c>
      <c r="E44" s="1831">
        <f>E41</f>
        <v>207413214.93000001</v>
      </c>
      <c r="F44" s="1830" t="s">
        <v>493</v>
      </c>
      <c r="G44" s="1831">
        <f>G41</f>
        <v>189281473.93000001</v>
      </c>
    </row>
    <row r="45" spans="1:7" ht="12" customHeight="1" x14ac:dyDescent="0.2">
      <c r="A45" s="988"/>
      <c r="B45" s="162"/>
      <c r="C45" s="162"/>
      <c r="D45" s="1832" t="s">
        <v>1062</v>
      </c>
      <c r="E45" s="1833">
        <f>(E43/E44)</f>
        <v>5.1341521337461095E-2</v>
      </c>
      <c r="F45" s="1832" t="s">
        <v>1062</v>
      </c>
      <c r="G45" s="1833">
        <f>(G43/G44)</f>
        <v>0.15205212851757297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34" t="s">
        <v>1445</v>
      </c>
      <c r="B1" s="2334"/>
      <c r="C1" s="2334"/>
      <c r="D1" s="2334"/>
      <c r="E1" s="2334"/>
      <c r="F1" s="2334"/>
    </row>
    <row r="2" spans="1:10" x14ac:dyDescent="0.2">
      <c r="A2" s="1910" t="s">
        <v>2045</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35" t="s">
        <v>1626</v>
      </c>
      <c r="B5" s="2336"/>
      <c r="C5" s="2337"/>
      <c r="D5" s="2337"/>
      <c r="E5" s="2337"/>
      <c r="F5" s="2337"/>
    </row>
    <row r="6" spans="1:10" ht="12" customHeight="1" x14ac:dyDescent="0.25">
      <c r="A6" s="1873"/>
      <c r="B6" s="1874"/>
      <c r="C6" s="2338" t="str">
        <f>COVER!A17</f>
        <v>Valley View PCSD 365</v>
      </c>
      <c r="D6" s="2338"/>
      <c r="E6" s="2338"/>
      <c r="F6" s="1875"/>
    </row>
    <row r="7" spans="1:10" ht="11.25" customHeight="1" thickBot="1" x14ac:dyDescent="0.3">
      <c r="A7" s="1873"/>
      <c r="B7" s="1874"/>
      <c r="C7" s="2339" t="str">
        <f>COVER!A13</f>
        <v>56099365U26</v>
      </c>
      <c r="D7" s="2339"/>
      <c r="E7" s="2339"/>
      <c r="F7" s="1875"/>
    </row>
    <row r="8" spans="1:10" ht="25.5" customHeight="1" thickBot="1" x14ac:dyDescent="0.25">
      <c r="A8" s="1916" t="s">
        <v>2022</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t="s">
        <v>2074</v>
      </c>
      <c r="D12" s="1888" t="s">
        <v>2074</v>
      </c>
      <c r="E12" s="1891"/>
      <c r="F12" s="1890"/>
      <c r="H12" s="1901">
        <f t="shared" ref="H12:H33" si="0">IF(C12="X",5,0)</f>
        <v>5</v>
      </c>
      <c r="I12" s="1901">
        <f t="shared" ref="I12:I33" si="1">IF(D12="X",5,0)</f>
        <v>5</v>
      </c>
      <c r="J12" s="1901">
        <f t="shared" ref="J12:J33" si="2">IF(E12="X",5,0)</f>
        <v>0</v>
      </c>
    </row>
    <row r="13" spans="1:10" ht="12" customHeight="1" x14ac:dyDescent="0.2">
      <c r="A13" s="1886" t="s">
        <v>1451</v>
      </c>
      <c r="B13" s="1887"/>
      <c r="C13" s="1888"/>
      <c r="D13" s="1888"/>
      <c r="E13" s="1891"/>
      <c r="F13" s="1890"/>
      <c r="H13" s="1901">
        <f t="shared" si="0"/>
        <v>0</v>
      </c>
      <c r="I13" s="1901">
        <f t="shared" si="1"/>
        <v>0</v>
      </c>
      <c r="J13" s="1901">
        <f t="shared" si="2"/>
        <v>0</v>
      </c>
    </row>
    <row r="14" spans="1:10" ht="12" customHeight="1" x14ac:dyDescent="0.2">
      <c r="A14" s="1886" t="s">
        <v>1452</v>
      </c>
      <c r="B14" s="1887"/>
      <c r="C14" s="1888" t="s">
        <v>2074</v>
      </c>
      <c r="D14" s="1888" t="s">
        <v>2074</v>
      </c>
      <c r="E14" s="1891"/>
      <c r="F14" s="1890"/>
      <c r="H14" s="1901">
        <f t="shared" si="0"/>
        <v>5</v>
      </c>
      <c r="I14" s="1901">
        <f t="shared" si="1"/>
        <v>5</v>
      </c>
      <c r="J14" s="1901">
        <f t="shared" si="2"/>
        <v>0</v>
      </c>
    </row>
    <row r="15" spans="1:10" ht="12" customHeight="1" x14ac:dyDescent="0.2">
      <c r="A15" s="1886" t="s">
        <v>1453</v>
      </c>
      <c r="B15" s="1887"/>
      <c r="C15" s="1888" t="s">
        <v>2074</v>
      </c>
      <c r="D15" s="1888" t="s">
        <v>2074</v>
      </c>
      <c r="E15" s="1891"/>
      <c r="F15" s="1890"/>
      <c r="H15" s="1901">
        <f t="shared" si="0"/>
        <v>5</v>
      </c>
      <c r="I15" s="1901">
        <f t="shared" si="1"/>
        <v>5</v>
      </c>
      <c r="J15" s="1901">
        <f t="shared" si="2"/>
        <v>0</v>
      </c>
    </row>
    <row r="16" spans="1:10" ht="12" customHeight="1" x14ac:dyDescent="0.2">
      <c r="A16" s="1886" t="s">
        <v>1454</v>
      </c>
      <c r="B16" s="1887"/>
      <c r="C16" s="1888" t="s">
        <v>2074</v>
      </c>
      <c r="D16" s="1888" t="s">
        <v>2074</v>
      </c>
      <c r="E16" s="1891"/>
      <c r="F16" s="1890"/>
      <c r="H16" s="1901">
        <f t="shared" si="0"/>
        <v>5</v>
      </c>
      <c r="I16" s="1901">
        <f t="shared" si="1"/>
        <v>5</v>
      </c>
      <c r="J16" s="1901">
        <f t="shared" si="2"/>
        <v>0</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t="s">
        <v>2074</v>
      </c>
      <c r="D18" s="1888" t="s">
        <v>2074</v>
      </c>
      <c r="E18" s="1891"/>
      <c r="F18" s="1890"/>
      <c r="H18" s="1901">
        <f t="shared" si="0"/>
        <v>5</v>
      </c>
      <c r="I18" s="1901">
        <f t="shared" si="1"/>
        <v>5</v>
      </c>
      <c r="J18" s="1901">
        <f t="shared" si="2"/>
        <v>0</v>
      </c>
    </row>
    <row r="19" spans="1:12" ht="12" customHeight="1" x14ac:dyDescent="0.2">
      <c r="A19" s="1886" t="s">
        <v>1607</v>
      </c>
      <c r="B19" s="1887"/>
      <c r="C19" s="1888" t="s">
        <v>2074</v>
      </c>
      <c r="D19" s="1888" t="s">
        <v>2074</v>
      </c>
      <c r="E19" s="1891"/>
      <c r="F19" s="1890"/>
      <c r="H19" s="1901">
        <f t="shared" si="0"/>
        <v>5</v>
      </c>
      <c r="I19" s="1901">
        <f t="shared" si="1"/>
        <v>5</v>
      </c>
      <c r="J19" s="1901">
        <f t="shared" si="2"/>
        <v>0</v>
      </c>
    </row>
    <row r="20" spans="1:12" ht="12" customHeight="1" x14ac:dyDescent="0.2">
      <c r="A20" s="1886" t="s">
        <v>1608</v>
      </c>
      <c r="B20" s="1887"/>
      <c r="C20" s="1888" t="s">
        <v>2074</v>
      </c>
      <c r="D20" s="1888" t="s">
        <v>2074</v>
      </c>
      <c r="E20" s="1891"/>
      <c r="F20" s="1890"/>
      <c r="H20" s="1901">
        <f t="shared" si="0"/>
        <v>5</v>
      </c>
      <c r="I20" s="1901">
        <f t="shared" si="1"/>
        <v>5</v>
      </c>
      <c r="J20" s="1901">
        <f t="shared" si="2"/>
        <v>0</v>
      </c>
    </row>
    <row r="21" spans="1:12" ht="12" customHeight="1" x14ac:dyDescent="0.2">
      <c r="A21" s="1886" t="s">
        <v>1609</v>
      </c>
      <c r="B21" s="1887"/>
      <c r="C21" s="1888" t="s">
        <v>2074</v>
      </c>
      <c r="D21" s="1888" t="s">
        <v>2074</v>
      </c>
      <c r="E21" s="1891"/>
      <c r="F21" s="1890"/>
      <c r="H21" s="1901">
        <f t="shared" si="0"/>
        <v>5</v>
      </c>
      <c r="I21" s="1901">
        <f t="shared" si="1"/>
        <v>5</v>
      </c>
      <c r="J21" s="1901">
        <f t="shared" si="2"/>
        <v>0</v>
      </c>
    </row>
    <row r="22" spans="1:12" ht="12" customHeight="1" x14ac:dyDescent="0.2">
      <c r="A22" s="1886" t="s">
        <v>1610</v>
      </c>
      <c r="B22" s="1887"/>
      <c r="C22" s="1888" t="s">
        <v>2074</v>
      </c>
      <c r="D22" s="1888" t="s">
        <v>2074</v>
      </c>
      <c r="E22" s="1891"/>
      <c r="F22" s="1890"/>
      <c r="H22" s="1901">
        <f t="shared" si="0"/>
        <v>5</v>
      </c>
      <c r="I22" s="1901">
        <f t="shared" si="1"/>
        <v>5</v>
      </c>
      <c r="J22" s="1901">
        <f t="shared" si="2"/>
        <v>0</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t="s">
        <v>2074</v>
      </c>
      <c r="D24" s="1888" t="s">
        <v>2074</v>
      </c>
      <c r="E24" s="1891"/>
      <c r="F24" s="1890"/>
      <c r="H24" s="1901">
        <f t="shared" si="0"/>
        <v>5</v>
      </c>
      <c r="I24" s="1901">
        <f t="shared" si="1"/>
        <v>5</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c r="D26" s="1888"/>
      <c r="E26" s="1891"/>
      <c r="F26" s="1890"/>
      <c r="H26" s="1901">
        <f t="shared" si="0"/>
        <v>0</v>
      </c>
      <c r="I26" s="1901">
        <f t="shared" si="1"/>
        <v>0</v>
      </c>
      <c r="J26" s="1901">
        <f t="shared" si="2"/>
        <v>0</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t="s">
        <v>2074</v>
      </c>
      <c r="D28" s="1888" t="s">
        <v>2074</v>
      </c>
      <c r="E28" s="1891"/>
      <c r="F28" s="1890"/>
      <c r="H28" s="1901">
        <f t="shared" si="0"/>
        <v>5</v>
      </c>
      <c r="I28" s="1901">
        <f t="shared" si="1"/>
        <v>5</v>
      </c>
      <c r="J28" s="1901">
        <f t="shared" si="2"/>
        <v>0</v>
      </c>
    </row>
    <row r="29" spans="1:12" ht="12" customHeight="1" x14ac:dyDescent="0.2">
      <c r="A29" s="1886" t="s">
        <v>1617</v>
      </c>
      <c r="B29" s="1887"/>
      <c r="C29" s="1888" t="s">
        <v>2074</v>
      </c>
      <c r="D29" s="1888" t="s">
        <v>2074</v>
      </c>
      <c r="E29" s="1891"/>
      <c r="F29" s="1890"/>
      <c r="H29" s="1901">
        <f t="shared" si="0"/>
        <v>5</v>
      </c>
      <c r="I29" s="1901">
        <f t="shared" si="1"/>
        <v>5</v>
      </c>
      <c r="J29" s="1901">
        <f t="shared" si="2"/>
        <v>0</v>
      </c>
    </row>
    <row r="30" spans="1:12" ht="12" customHeight="1" x14ac:dyDescent="0.2">
      <c r="A30" s="1886" t="s">
        <v>1618</v>
      </c>
      <c r="B30" s="1887"/>
      <c r="C30" s="1888" t="s">
        <v>2074</v>
      </c>
      <c r="D30" s="1888" t="s">
        <v>2074</v>
      </c>
      <c r="E30" s="1891"/>
      <c r="F30" s="1890"/>
      <c r="H30" s="1901">
        <f t="shared" si="0"/>
        <v>5</v>
      </c>
      <c r="I30" s="1901">
        <f t="shared" si="1"/>
        <v>5</v>
      </c>
      <c r="J30" s="1901">
        <f t="shared" si="2"/>
        <v>0</v>
      </c>
    </row>
    <row r="31" spans="1:12" ht="12" customHeight="1" x14ac:dyDescent="0.2">
      <c r="A31" s="1886" t="s">
        <v>1619</v>
      </c>
      <c r="B31" s="1887"/>
      <c r="C31" s="1888" t="s">
        <v>2074</v>
      </c>
      <c r="D31" s="1888" t="s">
        <v>2074</v>
      </c>
      <c r="E31" s="1891"/>
      <c r="F31" s="1890" t="s">
        <v>2110</v>
      </c>
      <c r="H31" s="1901">
        <f t="shared" si="0"/>
        <v>5</v>
      </c>
      <c r="I31" s="1901">
        <f t="shared" si="1"/>
        <v>5</v>
      </c>
      <c r="J31" s="1901">
        <f t="shared" si="2"/>
        <v>0</v>
      </c>
      <c r="L31" s="1892"/>
    </row>
    <row r="32" spans="1:12" ht="12" customHeight="1" x14ac:dyDescent="0.2">
      <c r="A32" s="1886" t="s">
        <v>1620</v>
      </c>
      <c r="B32" s="1887"/>
      <c r="C32" s="1888"/>
      <c r="D32" s="1888"/>
      <c r="E32" s="1891"/>
      <c r="F32" s="1890"/>
      <c r="H32" s="1901">
        <f t="shared" si="0"/>
        <v>0</v>
      </c>
      <c r="I32" s="1901">
        <f t="shared" si="1"/>
        <v>0</v>
      </c>
      <c r="J32" s="1901">
        <f t="shared" si="2"/>
        <v>0</v>
      </c>
    </row>
    <row r="33" spans="1:11" ht="12" customHeight="1" x14ac:dyDescent="0.2">
      <c r="A33" s="1886" t="s">
        <v>1621</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70</v>
      </c>
      <c r="I34" s="1901">
        <f>SUM(I11:I32)</f>
        <v>70</v>
      </c>
      <c r="J34" s="1901">
        <f>SUM(J11:J32)</f>
        <v>0</v>
      </c>
      <c r="K34" s="1901">
        <f>SUM(H34:J34)</f>
        <v>140</v>
      </c>
    </row>
    <row r="35" spans="1:11" ht="12" customHeight="1" x14ac:dyDescent="0.2">
      <c r="A35" s="1894" t="s">
        <v>1458</v>
      </c>
      <c r="B35" s="1895"/>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96"/>
      <c r="B39" s="1896"/>
      <c r="C39" s="1896"/>
      <c r="D39" s="1896"/>
      <c r="E39" s="1896"/>
      <c r="F39" s="1896"/>
    </row>
    <row r="40" spans="1:11" s="1893" customFormat="1" ht="12" customHeight="1" x14ac:dyDescent="0.25">
      <c r="A40" s="1897" t="s">
        <v>1457</v>
      </c>
      <c r="B40" s="1898"/>
      <c r="C40" s="2329"/>
      <c r="D40" s="2329"/>
      <c r="E40" s="2329"/>
      <c r="F40" s="2330"/>
      <c r="H40" s="1902"/>
      <c r="I40" s="1902"/>
      <c r="J40" s="1902"/>
      <c r="K40" s="1902"/>
    </row>
    <row r="41" spans="1:11" s="1893" customFormat="1" ht="12" customHeight="1" x14ac:dyDescent="0.25">
      <c r="A41" s="2331"/>
      <c r="B41" s="2332"/>
      <c r="C41" s="2332"/>
      <c r="D41" s="2332"/>
      <c r="E41" s="2332"/>
      <c r="F41" s="2333"/>
      <c r="H41" s="1902"/>
      <c r="I41" s="1902"/>
      <c r="J41" s="1902"/>
      <c r="K41" s="1902"/>
    </row>
    <row r="42" spans="1:11" s="1893" customFormat="1" ht="12" customHeight="1" x14ac:dyDescent="0.25">
      <c r="A42" s="2331"/>
      <c r="B42" s="2332"/>
      <c r="C42" s="2332"/>
      <c r="D42" s="2332"/>
      <c r="E42" s="2332"/>
      <c r="F42" s="2333"/>
      <c r="H42" s="1902"/>
      <c r="I42" s="1902"/>
      <c r="J42" s="1902"/>
      <c r="K42" s="1902"/>
    </row>
    <row r="43" spans="1:11" s="1893" customFormat="1" ht="15" x14ac:dyDescent="0.25">
      <c r="A43" s="2320"/>
      <c r="B43" s="2321"/>
      <c r="C43" s="2321"/>
      <c r="D43" s="2321"/>
      <c r="E43" s="2321"/>
      <c r="F43" s="2322"/>
      <c r="H43" s="1902"/>
      <c r="I43" s="1902"/>
      <c r="J43" s="1902"/>
      <c r="K43" s="1902"/>
    </row>
    <row r="44" spans="1:11" s="1893" customFormat="1" ht="12" hidden="1" customHeight="1" x14ac:dyDescent="0.25">
      <c r="A44" s="2320"/>
      <c r="B44" s="2321"/>
      <c r="C44" s="2321"/>
      <c r="D44" s="2321"/>
      <c r="E44" s="2321"/>
      <c r="F44" s="2322"/>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3"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7" t="s">
        <v>692</v>
      </c>
      <c r="B6" s="1664"/>
      <c r="C6" s="1664"/>
      <c r="D6" s="1664"/>
      <c r="E6" s="1665"/>
      <c r="F6" s="1016"/>
      <c r="G6" s="1010"/>
      <c r="H6" s="1017" t="s">
        <v>1085</v>
      </c>
      <c r="I6" s="2347" t="str">
        <f>COVER!A17</f>
        <v>Valley View PCSD 365</v>
      </c>
      <c r="J6" s="2348"/>
      <c r="Q6" s="1686"/>
    </row>
    <row r="7" spans="1:17" x14ac:dyDescent="0.2">
      <c r="A7" s="2349" t="s">
        <v>923</v>
      </c>
      <c r="B7" s="2350"/>
      <c r="C7" s="2350"/>
      <c r="D7" s="2350"/>
      <c r="E7" s="2351"/>
      <c r="F7" s="1018"/>
      <c r="G7" s="1010"/>
      <c r="H7" s="1017" t="s">
        <v>389</v>
      </c>
      <c r="I7" s="2352" t="str">
        <f>COVER!A13</f>
        <v>56099365U26</v>
      </c>
      <c r="J7" s="235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1700</v>
      </c>
      <c r="F9" s="1024"/>
      <c r="G9" s="1024"/>
      <c r="H9" s="1919"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53" t="s">
        <v>501</v>
      </c>
      <c r="B11" s="2354"/>
      <c r="C11" s="2355"/>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540776</v>
      </c>
      <c r="F12" s="1040"/>
      <c r="G12" s="1834">
        <f t="shared" ref="G12:G18" si="0">SUM(E12:F12)</f>
        <v>540776</v>
      </c>
      <c r="H12" s="1041">
        <v>545300</v>
      </c>
      <c r="I12" s="1040"/>
      <c r="J12" s="1834">
        <f t="shared" ref="J12:J18" si="1">SUM(H12:I12)</f>
        <v>545300</v>
      </c>
    </row>
    <row r="13" spans="1:17" ht="15" customHeight="1" x14ac:dyDescent="0.2">
      <c r="A13" s="1036">
        <v>2</v>
      </c>
      <c r="B13" s="1037" t="s">
        <v>44</v>
      </c>
      <c r="C13" s="1038"/>
      <c r="D13" s="1039">
        <v>2330</v>
      </c>
      <c r="E13" s="1834">
        <f>'Expenditures 15-22'!K51</f>
        <v>483589</v>
      </c>
      <c r="F13" s="1040"/>
      <c r="G13" s="1834">
        <f t="shared" si="0"/>
        <v>483589</v>
      </c>
      <c r="H13" s="1041">
        <v>74100</v>
      </c>
      <c r="I13" s="1040"/>
      <c r="J13" s="1834">
        <f t="shared" si="1"/>
        <v>74100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504645</v>
      </c>
      <c r="F15" s="1834">
        <f>'Expenditures 15-22'!K122</f>
        <v>43</v>
      </c>
      <c r="G15" s="1834">
        <f t="shared" si="0"/>
        <v>504688</v>
      </c>
      <c r="H15" s="1041">
        <v>520350</v>
      </c>
      <c r="I15" s="1041"/>
      <c r="J15" s="1834">
        <f t="shared" si="1"/>
        <v>520350</v>
      </c>
    </row>
    <row r="16" spans="1:17" ht="15" customHeight="1" x14ac:dyDescent="0.2">
      <c r="A16" s="1036">
        <v>5</v>
      </c>
      <c r="B16" s="1037" t="s">
        <v>103</v>
      </c>
      <c r="C16" s="1038"/>
      <c r="D16" s="1039">
        <v>2570</v>
      </c>
      <c r="E16" s="1834">
        <f>'Expenditures 15-22'!K64</f>
        <v>330155</v>
      </c>
      <c r="F16" s="1040"/>
      <c r="G16" s="1834">
        <f t="shared" si="0"/>
        <v>330155</v>
      </c>
      <c r="H16" s="1041">
        <v>372350</v>
      </c>
      <c r="I16" s="1040"/>
      <c r="J16" s="1834">
        <f t="shared" si="1"/>
        <v>372350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56" t="s">
        <v>7</v>
      </c>
      <c r="C18" s="2357"/>
      <c r="D18" s="2358"/>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1859165</v>
      </c>
      <c r="F19" s="1836">
        <f t="shared" si="2"/>
        <v>43</v>
      </c>
      <c r="G19" s="1836">
        <f t="shared" si="2"/>
        <v>1859208</v>
      </c>
      <c r="H19" s="1836">
        <f t="shared" si="2"/>
        <v>1512100</v>
      </c>
      <c r="I19" s="1836">
        <f t="shared" si="2"/>
        <v>0</v>
      </c>
      <c r="J19" s="1836">
        <f t="shared" si="2"/>
        <v>1512100</v>
      </c>
    </row>
    <row r="20" spans="1:10" ht="13.5" thickTop="1" x14ac:dyDescent="0.2">
      <c r="A20" s="1036">
        <v>9</v>
      </c>
      <c r="B20" s="2359" t="s">
        <v>1702</v>
      </c>
      <c r="C20" s="2359"/>
      <c r="D20" s="2360"/>
      <c r="E20" s="1047"/>
      <c r="F20" s="1047"/>
      <c r="G20" s="1047"/>
      <c r="H20" s="1047"/>
      <c r="I20" s="1047"/>
      <c r="J20" s="1837">
        <f>IF(AND(G19&gt;0,J19&gt;0),(((J19-G19)/G19)),"Enter Budget Data")</f>
        <v>-0.18669670096083923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5"/>
      <c r="D26" s="2365"/>
      <c r="E26" s="1051"/>
      <c r="F26" s="2364"/>
      <c r="G26" s="2364"/>
    </row>
    <row r="27" spans="1:10" x14ac:dyDescent="0.2">
      <c r="B27" s="1048"/>
      <c r="C27" s="1052" t="s">
        <v>1092</v>
      </c>
      <c r="D27" s="1053"/>
      <c r="E27" s="1054"/>
      <c r="F27" s="2361" t="s">
        <v>1588</v>
      </c>
      <c r="G27" s="2361"/>
    </row>
    <row r="28" spans="1:10" ht="28.5" customHeight="1" x14ac:dyDescent="0.2">
      <c r="B28" s="1048"/>
      <c r="C28" s="2363"/>
      <c r="D28" s="2363"/>
      <c r="E28" s="1055"/>
      <c r="F28" s="2363"/>
      <c r="G28" s="2363"/>
    </row>
    <row r="29" spans="1:10" x14ac:dyDescent="0.2">
      <c r="B29" s="1048"/>
      <c r="C29" s="1056" t="s">
        <v>1641</v>
      </c>
      <c r="E29" s="1057"/>
      <c r="F29" s="2362" t="s">
        <v>1589</v>
      </c>
      <c r="G29" s="2362"/>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3"/>
    </row>
    <row r="36" spans="1:10" ht="13.5" customHeight="1" x14ac:dyDescent="0.2">
      <c r="B36" s="1062"/>
      <c r="C36" s="2346" t="s">
        <v>1941</v>
      </c>
      <c r="D36" s="2345"/>
      <c r="E36" s="2345"/>
      <c r="F36" s="2345"/>
      <c r="G36" s="2345"/>
      <c r="H36" s="2345"/>
      <c r="I36" s="2345"/>
      <c r="J36" s="1064"/>
    </row>
    <row r="37" spans="1:10" ht="22.5" customHeight="1" x14ac:dyDescent="0.2">
      <c r="C37" s="2345"/>
      <c r="D37" s="2345"/>
      <c r="E37" s="2345"/>
      <c r="F37" s="2345"/>
      <c r="G37" s="2345"/>
      <c r="H37" s="2345"/>
      <c r="I37" s="2345"/>
      <c r="J37" s="1064"/>
    </row>
    <row r="38" spans="1:10" ht="7.5" customHeight="1" x14ac:dyDescent="0.2">
      <c r="C38" s="1063"/>
      <c r="D38" s="1065"/>
      <c r="E38" s="1066"/>
      <c r="F38" s="1067"/>
      <c r="G38" s="1066"/>
    </row>
    <row r="39" spans="1:10" ht="13.5" customHeight="1" x14ac:dyDescent="0.2">
      <c r="B39" s="1062"/>
      <c r="C39" s="2342" t="s">
        <v>936</v>
      </c>
      <c r="D39" s="2343"/>
      <c r="E39" s="2343"/>
      <c r="F39" s="2343"/>
      <c r="G39" s="2343"/>
      <c r="H39" s="2343"/>
      <c r="I39" s="234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0" sqref="B1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2090</v>
      </c>
    </row>
    <row r="6" spans="1:2" x14ac:dyDescent="0.2">
      <c r="A6" s="1069">
        <v>2</v>
      </c>
      <c r="B6" s="1970" t="s">
        <v>2248</v>
      </c>
    </row>
    <row r="7" spans="1:2" x14ac:dyDescent="0.2">
      <c r="A7" s="1069">
        <v>3</v>
      </c>
      <c r="B7" s="329" t="s">
        <v>2247</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Valley View PCSD 365</v>
      </c>
    </row>
    <row r="65" spans="2:2" x14ac:dyDescent="0.2">
      <c r="B65" s="1071" t="str">
        <f>COVER!A13</f>
        <v>56099365U26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859" t="s">
        <v>1708</v>
      </c>
    </row>
    <row r="23" spans="1:5" x14ac:dyDescent="0.2">
      <c r="A23" s="168"/>
      <c r="B23" s="162" t="s">
        <v>1966</v>
      </c>
      <c r="D23" s="167" t="s">
        <v>657</v>
      </c>
      <c r="E23" s="1859"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83" t="s">
        <v>1124</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714</v>
      </c>
      <c r="B40" s="2080"/>
      <c r="C40" s="2080"/>
      <c r="D40" s="2080"/>
      <c r="E40" s="2080"/>
    </row>
    <row r="41" spans="1:5" x14ac:dyDescent="0.2">
      <c r="A41" s="2081" t="s">
        <v>1705</v>
      </c>
      <c r="B41" s="2081"/>
      <c r="C41" s="2081"/>
      <c r="D41" s="2081"/>
      <c r="E41" s="2081"/>
    </row>
    <row r="42" spans="1:5" ht="12.75" customHeight="1" x14ac:dyDescent="0.2">
      <c r="A42" s="2082" t="s">
        <v>1079</v>
      </c>
      <c r="B42" s="2082"/>
      <c r="C42" s="2082"/>
      <c r="D42" s="2082"/>
      <c r="E42" s="2082"/>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36" sqref="E3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6" t="s">
        <v>1783</v>
      </c>
      <c r="B18" s="23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2295525</xdr:colOff>
                <xdr:row>5</xdr:row>
                <xdr:rowOff>76200</xdr:rowOff>
              </from>
              <to>
                <xdr:col>1</xdr:col>
                <xdr:colOff>3209925</xdr:colOff>
                <xdr:row>9</xdr:row>
                <xdr:rowOff>114300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3400425</xdr:colOff>
                <xdr:row>5</xdr:row>
                <xdr:rowOff>85725</xdr:rowOff>
              </from>
              <to>
                <xdr:col>2</xdr:col>
                <xdr:colOff>333375</xdr:colOff>
                <xdr:row>9</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523875</xdr:colOff>
                <xdr:row>5</xdr:row>
                <xdr:rowOff>66675</xdr:rowOff>
              </from>
              <to>
                <xdr:col>4</xdr:col>
                <xdr:colOff>228600</xdr:colOff>
                <xdr:row>9</xdr:row>
                <xdr:rowOff>104775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1789</v>
      </c>
      <c r="B1" s="2368"/>
      <c r="C1" s="2368"/>
      <c r="D1" s="2368"/>
      <c r="E1" s="2368"/>
      <c r="F1" s="2369"/>
    </row>
    <row r="2" spans="1:8" ht="45" customHeight="1" x14ac:dyDescent="0.2">
      <c r="A2" s="2377" t="s">
        <v>1790</v>
      </c>
      <c r="B2" s="2378"/>
      <c r="C2" s="2378"/>
      <c r="D2" s="2378"/>
      <c r="E2" s="2378"/>
      <c r="F2" s="2379"/>
      <c r="G2" s="1075"/>
      <c r="H2" s="1075"/>
    </row>
    <row r="3" spans="1:8" ht="57" customHeight="1" x14ac:dyDescent="0.2">
      <c r="A3" s="2380" t="s">
        <v>1785</v>
      </c>
      <c r="B3" s="2381"/>
      <c r="C3" s="2381"/>
      <c r="D3" s="2381"/>
      <c r="E3" s="2381"/>
      <c r="F3" s="2382"/>
      <c r="G3" s="1075"/>
      <c r="H3" s="1075"/>
    </row>
    <row r="4" spans="1:8" ht="14.25" customHeight="1" x14ac:dyDescent="0.2">
      <c r="A4" s="2386" t="s">
        <v>2053</v>
      </c>
      <c r="B4" s="2387"/>
      <c r="C4" s="2387"/>
      <c r="D4" s="2387"/>
      <c r="E4" s="2387"/>
      <c r="F4" s="2388"/>
      <c r="G4" s="1075"/>
      <c r="H4" s="1075"/>
    </row>
    <row r="5" spans="1:8" ht="14.25" customHeight="1" x14ac:dyDescent="0.2">
      <c r="A5" s="2389" t="s">
        <v>2054</v>
      </c>
      <c r="B5" s="2390"/>
      <c r="C5" s="2390"/>
      <c r="D5" s="2390"/>
      <c r="E5" s="2390"/>
      <c r="F5" s="2391"/>
      <c r="G5" s="1075"/>
      <c r="H5" s="1075"/>
    </row>
    <row r="6" spans="1:8" s="1076" customFormat="1" ht="41.25" customHeight="1" x14ac:dyDescent="0.2">
      <c r="A6" s="2383" t="s">
        <v>1791</v>
      </c>
      <c r="B6" s="2384"/>
      <c r="C6" s="2384"/>
      <c r="D6" s="2384"/>
      <c r="E6" s="2384"/>
      <c r="F6" s="2385"/>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202810414</v>
      </c>
      <c r="C8" s="1838">
        <f>'Acct Summary 7-8'!D8</f>
        <v>17906034</v>
      </c>
      <c r="D8" s="1838">
        <f>'Acct Summary 7-8'!F8</f>
        <v>14105285</v>
      </c>
      <c r="E8" s="1838">
        <f>'Acct Summary 7-8'!I8</f>
        <v>119784</v>
      </c>
      <c r="F8" s="1838">
        <f>SUM(B8:E8)</f>
        <v>234941517</v>
      </c>
    </row>
    <row r="9" spans="1:8" s="1080" customFormat="1" ht="14.25" customHeight="1" thickBot="1" x14ac:dyDescent="0.25">
      <c r="A9" s="1079" t="s">
        <v>1435</v>
      </c>
      <c r="B9" s="1839">
        <f>'Acct Summary 7-8'!C17</f>
        <v>192175092</v>
      </c>
      <c r="C9" s="1839">
        <f>'Acct Summary 7-8'!D17</f>
        <v>18669752</v>
      </c>
      <c r="D9" s="1839">
        <f>'Acct Summary 7-8'!F17</f>
        <v>13735284</v>
      </c>
      <c r="E9" s="1838"/>
      <c r="F9" s="1838">
        <f>SUM(B9:E9)</f>
        <v>224580128</v>
      </c>
    </row>
    <row r="10" spans="1:8" s="1080" customFormat="1" ht="14.25" thickTop="1" thickBot="1" x14ac:dyDescent="0.25">
      <c r="A10" s="1081" t="s">
        <v>1436</v>
      </c>
      <c r="B10" s="1840">
        <f>(B8-B9)</f>
        <v>10635322</v>
      </c>
      <c r="C10" s="1840">
        <f>(C8-C9)</f>
        <v>-763718</v>
      </c>
      <c r="D10" s="1840">
        <f>(D8-D9)</f>
        <v>370001</v>
      </c>
      <c r="E10" s="1839">
        <f>(E8-E9)</f>
        <v>119784</v>
      </c>
      <c r="F10" s="1841">
        <f>SUM(F8-F9)</f>
        <v>10361389</v>
      </c>
    </row>
    <row r="11" spans="1:8" s="1080" customFormat="1" ht="14.25" thickTop="1" thickBot="1" x14ac:dyDescent="0.25">
      <c r="A11" s="1082" t="s">
        <v>1784</v>
      </c>
      <c r="B11" s="1842">
        <f>'Acct Summary 7-8'!C81</f>
        <v>41963888</v>
      </c>
      <c r="C11" s="1842">
        <f>'Acct Summary 7-8'!D81</f>
        <v>3183075</v>
      </c>
      <c r="D11" s="1842">
        <f>'Acct Summary 7-8'!F81</f>
        <v>1694354</v>
      </c>
      <c r="E11" s="1842">
        <f>'Acct Summary 7-8'!I81</f>
        <v>19602042</v>
      </c>
      <c r="F11" s="1843">
        <f>SUM(B11:E11)</f>
        <v>66443359</v>
      </c>
    </row>
    <row r="12" spans="1:8" ht="16.5" customHeight="1" thickTop="1" x14ac:dyDescent="0.2">
      <c r="A12" s="1083"/>
      <c r="B12" s="1084"/>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5"/>
      <c r="B13" s="1086"/>
      <c r="C13" s="2371"/>
      <c r="D13" s="2372"/>
      <c r="E13" s="2372"/>
      <c r="F13" s="2373"/>
      <c r="H13" s="1075"/>
    </row>
    <row r="14" spans="1:8" ht="19.5" customHeight="1" x14ac:dyDescent="0.2">
      <c r="A14" s="1085"/>
      <c r="B14" s="1086"/>
      <c r="C14" s="2371"/>
      <c r="D14" s="2372"/>
      <c r="E14" s="2372"/>
      <c r="F14" s="2373"/>
      <c r="H14" s="1075"/>
    </row>
    <row r="15" spans="1:8" ht="17.25" customHeight="1" x14ac:dyDescent="0.2">
      <c r="A15" s="1085"/>
      <c r="B15" s="1086"/>
      <c r="C15" s="2374"/>
      <c r="D15" s="2375"/>
      <c r="E15" s="2375"/>
      <c r="F15" s="2376"/>
      <c r="H15" s="1075"/>
    </row>
    <row r="16" spans="1:8" s="310" customFormat="1" ht="51.75" hidden="1" customHeight="1" x14ac:dyDescent="0.2">
      <c r="A16" s="2370" t="s">
        <v>1786</v>
      </c>
      <c r="B16" s="2370"/>
      <c r="C16" s="2370"/>
      <c r="D16" s="2370"/>
      <c r="E16" s="2370"/>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2" t="s">
        <v>685</v>
      </c>
      <c r="B3" s="2393"/>
      <c r="C3" s="2393"/>
      <c r="D3" s="2394"/>
    </row>
    <row r="4" spans="1:4" x14ac:dyDescent="0.2">
      <c r="A4" s="1153" t="s">
        <v>1792</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03" t="s">
        <v>1583</v>
      </c>
      <c r="D7" s="2404"/>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95" t="s">
        <v>1064</v>
      </c>
      <c r="B15" s="2396"/>
      <c r="C15" s="2396"/>
      <c r="D15" s="2397"/>
    </row>
    <row r="16" spans="1:4" s="669" customFormat="1" ht="24" customHeight="1" x14ac:dyDescent="0.2">
      <c r="A16" s="2398" t="s">
        <v>683</v>
      </c>
      <c r="B16" s="2399"/>
      <c r="C16" s="2399"/>
      <c r="D16" s="240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7" t="s">
        <v>331</v>
      </c>
      <c r="D21" s="2408"/>
    </row>
    <row r="22" spans="1:10" ht="12.75" x14ac:dyDescent="0.2">
      <c r="A22" s="1140"/>
      <c r="B22" s="1141">
        <v>2</v>
      </c>
      <c r="C22" s="2405" t="s">
        <v>1604</v>
      </c>
      <c r="D22" s="2406"/>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9" t="s">
        <v>556</v>
      </c>
      <c r="D43" s="2410"/>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01" t="s">
        <v>816</v>
      </c>
      <c r="D56" s="2402"/>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ERROR!</v>
      </c>
    </row>
    <row r="69" spans="1:4" x14ac:dyDescent="0.2">
      <c r="A69" s="1101"/>
      <c r="B69" s="1111"/>
      <c r="C69" s="1103" t="s">
        <v>2049</v>
      </c>
      <c r="D69" s="1125" t="str">
        <f>IF('Expenditures 15-22'!H170&lt;&gt;'Short-Term Long-Term Debt 24'!H49,"ERROR!","OK")</f>
        <v>OK</v>
      </c>
    </row>
    <row r="70" spans="1:4" x14ac:dyDescent="0.2">
      <c r="A70" s="1099"/>
      <c r="B70" s="1121">
        <f>B66+1</f>
        <v>9</v>
      </c>
      <c r="C70" s="2401" t="s">
        <v>1796</v>
      </c>
      <c r="D70" s="2402"/>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56099365U26</v>
      </c>
    </row>
    <row r="3" spans="1:2" x14ac:dyDescent="0.2">
      <c r="A3" t="s">
        <v>1012</v>
      </c>
      <c r="B3" s="138" t="str">
        <f>COVER!A15</f>
        <v>Will</v>
      </c>
    </row>
    <row r="4" spans="1:2" x14ac:dyDescent="0.2">
      <c r="A4" t="s">
        <v>1063</v>
      </c>
      <c r="B4" s="138" t="str">
        <f>COVER!A17</f>
        <v>Valley View PCSD 365</v>
      </c>
    </row>
    <row r="5" spans="1:2" x14ac:dyDescent="0.2">
      <c r="A5" t="s">
        <v>727</v>
      </c>
      <c r="B5" s="138" t="str">
        <f>COVER!A38</f>
        <v>Dr. James Mitchem</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060-003973</v>
      </c>
    </row>
    <row r="16" spans="1:2" x14ac:dyDescent="0.2">
      <c r="A16" t="s">
        <v>441</v>
      </c>
      <c r="B16" s="138" t="str">
        <f>COVER!T13</f>
        <v>Evans, Marshall and Pease, PC</v>
      </c>
    </row>
    <row r="17" spans="1:2" x14ac:dyDescent="0.2">
      <c r="A17" t="s">
        <v>938</v>
      </c>
      <c r="B17" s="138" t="str">
        <f>COVER!T15</f>
        <v>Jeffery M. Rollefson, CPA</v>
      </c>
    </row>
    <row r="18" spans="1:2" x14ac:dyDescent="0.2">
      <c r="A18" t="s">
        <v>1211</v>
      </c>
      <c r="B18" s="138" t="str">
        <f>COVER!T17</f>
        <v>1875 Hicks Road</v>
      </c>
    </row>
    <row r="19" spans="1:2" x14ac:dyDescent="0.2">
      <c r="A19" t="s">
        <v>940</v>
      </c>
      <c r="B19" s="138" t="str">
        <f>COVER!T25</f>
        <v>jeff@empcpa.com</v>
      </c>
    </row>
    <row r="20" spans="1:2" x14ac:dyDescent="0.2">
      <c r="A20" t="s">
        <v>941</v>
      </c>
      <c r="B20" s="138" t="str">
        <f>COVER!T19</f>
        <v>Rolling Meadows</v>
      </c>
    </row>
    <row r="21" spans="1:2" x14ac:dyDescent="0.2">
      <c r="A21" t="s">
        <v>499</v>
      </c>
      <c r="B21" s="138" t="str">
        <f>COVER!X19</f>
        <v>Illinois</v>
      </c>
    </row>
    <row r="22" spans="1:2" x14ac:dyDescent="0.2">
      <c r="A22" t="s">
        <v>942</v>
      </c>
      <c r="B22" s="138">
        <f>COVER!Z19</f>
        <v>60435</v>
      </c>
    </row>
    <row r="23" spans="1:2" x14ac:dyDescent="0.2">
      <c r="A23" t="s">
        <v>1213</v>
      </c>
      <c r="B23" s="138" t="str">
        <f>COVER!T21</f>
        <v>847-221-5700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33420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55292796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191813</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56608</v>
      </c>
      <c r="D76" s="2" t="str">
        <f t="shared" si="0"/>
        <v>Error?</v>
      </c>
    </row>
    <row r="77" spans="1:4" x14ac:dyDescent="0.2">
      <c r="A77" s="5">
        <v>16</v>
      </c>
      <c r="B77" s="138">
        <f>'Assets-Liab 5-6'!C13</f>
        <v>111522746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59010393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69558858</v>
      </c>
      <c r="C91" s="2" t="s">
        <v>593</v>
      </c>
      <c r="D91" s="2" t="str">
        <f t="shared" si="0"/>
        <v>Error?</v>
      </c>
    </row>
    <row r="92" spans="1:4" x14ac:dyDescent="0.2">
      <c r="A92" s="5">
        <v>31</v>
      </c>
      <c r="B92" s="138">
        <f>'Assets-Liab 5-6'!C39</f>
        <v>32682257</v>
      </c>
      <c r="D92" s="2" t="str">
        <f t="shared" si="0"/>
        <v>Error?</v>
      </c>
    </row>
    <row r="93" spans="1:4" x14ac:dyDescent="0.2">
      <c r="A93" s="5">
        <v>32</v>
      </c>
      <c r="B93" s="138">
        <f>'Assets-Liab 5-6'!C41</f>
        <v>111522746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8361042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2294</v>
      </c>
      <c r="D108" s="2" t="str">
        <f t="shared" si="0"/>
        <v>Error?</v>
      </c>
    </row>
    <row r="109" spans="1:4" x14ac:dyDescent="0.2">
      <c r="A109" s="5">
        <v>48</v>
      </c>
      <c r="B109" s="138">
        <f>'Assets-Liab 5-6'!D13</f>
        <v>12769970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8532358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9586895</v>
      </c>
      <c r="C122" s="2" t="s">
        <v>593</v>
      </c>
      <c r="D122" s="2" t="str">
        <f t="shared" si="0"/>
        <v>Error?</v>
      </c>
    </row>
    <row r="123" spans="1:4" x14ac:dyDescent="0.2">
      <c r="A123" s="5">
        <v>62</v>
      </c>
      <c r="B123" s="138">
        <f>'Assets-Liab 5-6'!D39</f>
        <v>3183075</v>
      </c>
      <c r="D123" s="2" t="str">
        <f t="shared" si="0"/>
        <v>Error?</v>
      </c>
    </row>
    <row r="124" spans="1:4" x14ac:dyDescent="0.2">
      <c r="A124" s="5">
        <v>63</v>
      </c>
      <c r="B124" s="138">
        <f>'Assets-Liab 5-6'!D41</f>
        <v>12769970</v>
      </c>
      <c r="C124" s="2" t="s">
        <v>593</v>
      </c>
      <c r="D124" s="2" t="str">
        <f t="shared" si="0"/>
        <v>Error?</v>
      </c>
    </row>
    <row r="125" spans="1:4" x14ac:dyDescent="0.2">
      <c r="A125" s="10">
        <v>64</v>
      </c>
      <c r="D125" s="2" t="str">
        <f t="shared" si="0"/>
        <v>OK</v>
      </c>
    </row>
    <row r="126" spans="1:4" x14ac:dyDescent="0.2">
      <c r="A126" s="5">
        <v>65</v>
      </c>
      <c r="B126" s="138">
        <f>'Assets-Liab 5-6'!E6</f>
        <v>15289713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29495</v>
      </c>
      <c r="D130" s="2" t="str">
        <f t="shared" si="1"/>
        <v>Error?</v>
      </c>
    </row>
    <row r="131" spans="1:4" x14ac:dyDescent="0.2">
      <c r="A131" s="5">
        <v>70</v>
      </c>
      <c r="B131" s="138">
        <f>'Assets-Liab 5-6'!E13</f>
        <v>31127214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15603021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15603021</v>
      </c>
      <c r="C139" s="2" t="s">
        <v>593</v>
      </c>
      <c r="D139" s="2" t="str">
        <f t="shared" si="1"/>
        <v>Error?</v>
      </c>
    </row>
    <row r="140" spans="1:4" x14ac:dyDescent="0.2">
      <c r="A140" s="5">
        <v>79</v>
      </c>
      <c r="B140" s="138">
        <f>'Assets-Liab 5-6'!E39</f>
        <v>15524193</v>
      </c>
      <c r="D140" s="2" t="str">
        <f t="shared" si="1"/>
        <v>Error?</v>
      </c>
    </row>
    <row r="141" spans="1:4" x14ac:dyDescent="0.2">
      <c r="A141" s="5">
        <v>80</v>
      </c>
      <c r="B141" s="138">
        <f>'Assets-Liab 5-6'!E41</f>
        <v>31127214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2918810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523</v>
      </c>
      <c r="D156" s="2" t="str">
        <f t="shared" si="1"/>
        <v>Error?</v>
      </c>
    </row>
    <row r="157" spans="1:4" x14ac:dyDescent="0.2">
      <c r="A157" s="5">
        <v>96</v>
      </c>
      <c r="B157" s="138">
        <f>'Assets-Liab 5-6'!F13</f>
        <v>12833842</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10653638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11139488</v>
      </c>
      <c r="C169" s="2" t="s">
        <v>593</v>
      </c>
      <c r="D169" s="2" t="str">
        <f t="shared" si="1"/>
        <v>Error?</v>
      </c>
    </row>
    <row r="170" spans="1:4" x14ac:dyDescent="0.2">
      <c r="A170" s="5">
        <v>109</v>
      </c>
      <c r="B170" s="138">
        <f>'Assets-Liab 5-6'!F39</f>
        <v>1694354</v>
      </c>
      <c r="D170" s="2" t="str">
        <f t="shared" si="1"/>
        <v>Error?</v>
      </c>
    </row>
    <row r="171" spans="1:4" x14ac:dyDescent="0.2">
      <c r="A171" s="5">
        <v>110</v>
      </c>
      <c r="B171" s="138">
        <f>'Assets-Liab 5-6'!F41</f>
        <v>12833842</v>
      </c>
      <c r="C171" s="2" t="s">
        <v>593</v>
      </c>
      <c r="D171" s="2" t="str">
        <f t="shared" si="1"/>
        <v>Error?</v>
      </c>
    </row>
    <row r="172" spans="1:4" x14ac:dyDescent="0.2">
      <c r="A172" s="10">
        <v>111</v>
      </c>
      <c r="D172" s="2" t="str">
        <f t="shared" si="1"/>
        <v>OK</v>
      </c>
    </row>
    <row r="173" spans="1:4" x14ac:dyDescent="0.2">
      <c r="A173" s="5">
        <v>112</v>
      </c>
      <c r="B173" s="138">
        <f>'Assets-Liab 5-6'!G6</f>
        <v>2643370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2567</v>
      </c>
      <c r="D179" s="2" t="str">
        <f t="shared" si="1"/>
        <v>Error?</v>
      </c>
    </row>
    <row r="180" spans="1:4" x14ac:dyDescent="0.2">
      <c r="A180" s="5">
        <v>119</v>
      </c>
      <c r="B180" s="138">
        <f>'Assets-Liab 5-6'!G13</f>
        <v>5560182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2697589</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2697589</v>
      </c>
      <c r="C188" s="2" t="s">
        <v>593</v>
      </c>
      <c r="D188" s="2" t="str">
        <f t="shared" si="1"/>
        <v>Error?</v>
      </c>
    </row>
    <row r="189" spans="1:4" x14ac:dyDescent="0.2">
      <c r="A189" s="5">
        <v>128</v>
      </c>
      <c r="B189" s="138">
        <f>'Assets-Liab 5-6'!G39</f>
        <v>2862593</v>
      </c>
      <c r="D189" s="2" t="str">
        <f t="shared" si="1"/>
        <v>Error?</v>
      </c>
    </row>
    <row r="190" spans="1:4" x14ac:dyDescent="0.2">
      <c r="A190" s="5">
        <v>129</v>
      </c>
      <c r="B190" s="138">
        <f>'Assets-Liab 5-6'!G41</f>
        <v>5560182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18198</v>
      </c>
      <c r="D202" s="2" t="str">
        <f t="shared" si="2"/>
        <v>Error?</v>
      </c>
    </row>
    <row r="203" spans="1:4" x14ac:dyDescent="0.2">
      <c r="A203" s="5">
        <v>142</v>
      </c>
      <c r="B203" s="138">
        <f>'Assets-Liab 5-6'!H13</f>
        <v>3998419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1107661</v>
      </c>
      <c r="C211" s="2" t="s">
        <v>593</v>
      </c>
      <c r="D211" s="2" t="str">
        <f t="shared" si="2"/>
        <v>Error?</v>
      </c>
    </row>
    <row r="212" spans="1:4" x14ac:dyDescent="0.2">
      <c r="A212" s="5">
        <v>151</v>
      </c>
      <c r="B212" s="138">
        <f>'Assets-Liab 5-6'!H39</f>
        <v>2890758</v>
      </c>
      <c r="D212" s="2" t="str">
        <f t="shared" si="2"/>
        <v>Error?</v>
      </c>
    </row>
    <row r="213" spans="1:4" x14ac:dyDescent="0.2">
      <c r="A213" s="12">
        <v>152</v>
      </c>
      <c r="B213" s="138">
        <f>'Assets-Liab 5-6'!H41</f>
        <v>3998419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17041154</v>
      </c>
      <c r="D273" s="2" t="str">
        <f t="shared" si="3"/>
        <v>Error?</v>
      </c>
    </row>
    <row r="274" spans="1:4" x14ac:dyDescent="0.2">
      <c r="A274" s="5">
        <v>213</v>
      </c>
      <c r="B274" s="138">
        <f>'Assets-Liab 5-6'!M17</f>
        <v>380442138</v>
      </c>
      <c r="D274" s="2" t="str">
        <f t="shared" si="3"/>
        <v>Error?</v>
      </c>
    </row>
    <row r="275" spans="1:4" x14ac:dyDescent="0.2">
      <c r="A275" s="5">
        <v>214</v>
      </c>
      <c r="B275" s="138">
        <f>'Assets-Liab 5-6'!M18</f>
        <v>20052163</v>
      </c>
      <c r="D275" s="2" t="str">
        <f t="shared" si="3"/>
        <v>Error?</v>
      </c>
    </row>
    <row r="276" spans="1:4" x14ac:dyDescent="0.2">
      <c r="A276" s="5">
        <v>215</v>
      </c>
      <c r="B276" s="138">
        <f>'Assets-Liab 5-6'!M19</f>
        <v>26824503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450521254</v>
      </c>
      <c r="C279" s="2" t="s">
        <v>593</v>
      </c>
      <c r="D279" s="2" t="str">
        <f t="shared" si="3"/>
        <v>Error?</v>
      </c>
    </row>
    <row r="280" spans="1:4" x14ac:dyDescent="0.2">
      <c r="A280" s="5">
        <v>219</v>
      </c>
      <c r="B280" s="138">
        <f>'Assets-Liab 5-6'!M40</f>
        <v>450521254</v>
      </c>
      <c r="D280" s="2" t="str">
        <f t="shared" si="3"/>
        <v>Error?</v>
      </c>
    </row>
    <row r="281" spans="1:4" x14ac:dyDescent="0.2">
      <c r="A281" s="5">
        <v>220</v>
      </c>
      <c r="B281" s="138">
        <f>'Assets-Liab 5-6'!M41</f>
        <v>450521254</v>
      </c>
      <c r="C281" s="2" t="s">
        <v>593</v>
      </c>
      <c r="D281" s="2" t="str">
        <f t="shared" si="3"/>
        <v>Error?</v>
      </c>
    </row>
    <row r="282" spans="1:4" x14ac:dyDescent="0.2">
      <c r="A282" s="5">
        <v>221</v>
      </c>
      <c r="B282" s="138">
        <f>'Assets-Liab 5-6'!N21</f>
        <v>15524193</v>
      </c>
      <c r="D282" s="2" t="str">
        <f t="shared" si="3"/>
        <v>Error?</v>
      </c>
    </row>
    <row r="283" spans="1:4" x14ac:dyDescent="0.2">
      <c r="A283" s="5">
        <v>222</v>
      </c>
      <c r="B283" s="138">
        <f>'Assets-Liab 5-6'!N22</f>
        <v>302068339</v>
      </c>
      <c r="D283" s="2" t="str">
        <f t="shared" si="3"/>
        <v>Error?</v>
      </c>
    </row>
    <row r="284" spans="1:4" x14ac:dyDescent="0.2">
      <c r="A284" s="5">
        <v>223</v>
      </c>
      <c r="B284" s="138">
        <f>'Assets-Liab 5-6'!N23</f>
        <v>317592532</v>
      </c>
      <c r="C284" s="2" t="s">
        <v>593</v>
      </c>
      <c r="D284" s="2" t="str">
        <f t="shared" si="3"/>
        <v>Error?</v>
      </c>
    </row>
    <row r="285" spans="1:4" x14ac:dyDescent="0.2">
      <c r="A285" s="5">
        <v>224</v>
      </c>
      <c r="B285" s="138">
        <f>'Assets-Liab 5-6'!N36</f>
        <v>317592532</v>
      </c>
      <c r="D285" s="2" t="str">
        <f t="shared" si="3"/>
        <v>Error?</v>
      </c>
    </row>
    <row r="286" spans="1:4" x14ac:dyDescent="0.2">
      <c r="A286" s="10">
        <v>225</v>
      </c>
      <c r="D286" s="2" t="str">
        <f t="shared" si="3"/>
        <v>OK</v>
      </c>
    </row>
    <row r="287" spans="1:4" x14ac:dyDescent="0.2">
      <c r="A287" s="5">
        <v>226</v>
      </c>
      <c r="B287" s="138">
        <f>'Assets-Liab 5-6'!N37</f>
        <v>317592532</v>
      </c>
      <c r="C287" s="2" t="s">
        <v>593</v>
      </c>
      <c r="D287" s="2" t="str">
        <f t="shared" si="3"/>
        <v>Error?</v>
      </c>
    </row>
    <row r="288" spans="1:4" x14ac:dyDescent="0.2">
      <c r="A288" s="5">
        <v>227</v>
      </c>
      <c r="B288" s="138">
        <f>'Assets-Liab 5-6'!N41</f>
        <v>317592532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61866048</v>
      </c>
      <c r="D705" s="2" t="str">
        <f t="shared" si="10"/>
        <v>Error?</v>
      </c>
    </row>
    <row r="706" spans="1:4" x14ac:dyDescent="0.2">
      <c r="A706" s="5">
        <v>645</v>
      </c>
      <c r="B706" s="138">
        <f>'Expenditures 15-22'!C16</f>
        <v>686734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4901345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2254082</v>
      </c>
      <c r="D718" s="2" t="str">
        <f t="shared" si="10"/>
        <v>Error?</v>
      </c>
    </row>
    <row r="719" spans="1:4" x14ac:dyDescent="0.2">
      <c r="A719" s="5">
        <v>658</v>
      </c>
      <c r="B719" s="138">
        <f>'Expenditures 15-22'!C15</f>
        <v>475399</v>
      </c>
      <c r="D719" s="2" t="str">
        <f t="shared" si="10"/>
        <v>Error?</v>
      </c>
    </row>
    <row r="720" spans="1:4" x14ac:dyDescent="0.2">
      <c r="A720" s="5">
        <v>659</v>
      </c>
      <c r="B720" s="138">
        <f>'Expenditures 15-22'!C33</f>
        <v>100061312</v>
      </c>
      <c r="C720" s="2" t="s">
        <v>593</v>
      </c>
      <c r="D720" s="2" t="str">
        <f t="shared" si="10"/>
        <v>Error?</v>
      </c>
    </row>
    <row r="721" spans="1:4" x14ac:dyDescent="0.2">
      <c r="A721" s="5">
        <v>660</v>
      </c>
      <c r="B721" s="138">
        <f>'Expenditures 15-22'!C36</f>
        <v>2549023</v>
      </c>
      <c r="D721" s="2" t="str">
        <f t="shared" si="10"/>
        <v>Error?</v>
      </c>
    </row>
    <row r="722" spans="1:4" x14ac:dyDescent="0.2">
      <c r="A722" s="5">
        <v>661</v>
      </c>
      <c r="B722" s="138">
        <f>'Expenditures 15-22'!C37</f>
        <v>2443788</v>
      </c>
      <c r="D722" s="2" t="str">
        <f t="shared" si="10"/>
        <v>Error?</v>
      </c>
    </row>
    <row r="723" spans="1:4" x14ac:dyDescent="0.2">
      <c r="A723" s="5">
        <v>662</v>
      </c>
      <c r="B723" s="138">
        <f>'Expenditures 15-22'!C38</f>
        <v>1098735</v>
      </c>
      <c r="D723" s="2" t="str">
        <f t="shared" si="10"/>
        <v>Error?</v>
      </c>
    </row>
    <row r="724" spans="1:4" x14ac:dyDescent="0.2">
      <c r="A724" s="5">
        <v>663</v>
      </c>
      <c r="B724" s="138">
        <f>'Expenditures 15-22'!C39</f>
        <v>1775671</v>
      </c>
      <c r="D724" s="2" t="str">
        <f t="shared" si="10"/>
        <v>Error?</v>
      </c>
    </row>
    <row r="725" spans="1:4" x14ac:dyDescent="0.2">
      <c r="A725" s="5">
        <v>664</v>
      </c>
      <c r="B725" s="138">
        <f>'Expenditures 15-22'!C40</f>
        <v>2231542</v>
      </c>
      <c r="D725" s="2" t="str">
        <f t="shared" si="10"/>
        <v>Error?</v>
      </c>
    </row>
    <row r="726" spans="1:4" x14ac:dyDescent="0.2">
      <c r="A726" s="5">
        <v>665</v>
      </c>
      <c r="B726" s="138">
        <f>'Expenditures 15-22'!C41</f>
        <v>463396</v>
      </c>
      <c r="D726" s="2" t="str">
        <f t="shared" si="10"/>
        <v>Error?</v>
      </c>
    </row>
    <row r="727" spans="1:4" x14ac:dyDescent="0.2">
      <c r="A727" s="5">
        <v>666</v>
      </c>
      <c r="B727" s="138">
        <f>'Expenditures 15-22'!C42</f>
        <v>10562155</v>
      </c>
      <c r="C727" s="2" t="s">
        <v>593</v>
      </c>
      <c r="D727" s="2" t="str">
        <f t="shared" si="10"/>
        <v>Error?</v>
      </c>
    </row>
    <row r="728" spans="1:4" x14ac:dyDescent="0.2">
      <c r="A728" s="5">
        <v>667</v>
      </c>
      <c r="B728" s="138">
        <f>'Expenditures 15-22'!C44</f>
        <v>3200280</v>
      </c>
      <c r="D728" s="2" t="str">
        <f t="shared" si="10"/>
        <v>Error?</v>
      </c>
    </row>
    <row r="729" spans="1:4" x14ac:dyDescent="0.2">
      <c r="A729" s="5">
        <v>668</v>
      </c>
      <c r="B729" s="138">
        <f>'Expenditures 15-22'!C45</f>
        <v>1068170</v>
      </c>
      <c r="D729" s="2" t="str">
        <f t="shared" si="10"/>
        <v>Error?</v>
      </c>
    </row>
    <row r="730" spans="1:4" x14ac:dyDescent="0.2">
      <c r="A730" s="5">
        <v>669</v>
      </c>
      <c r="B730" s="138">
        <f>'Expenditures 15-22'!C46</f>
        <v>223233</v>
      </c>
      <c r="D730" s="2" t="str">
        <f t="shared" si="10"/>
        <v>Error?</v>
      </c>
    </row>
    <row r="731" spans="1:4" x14ac:dyDescent="0.2">
      <c r="A731" s="5">
        <v>670</v>
      </c>
      <c r="B731" s="138">
        <f>'Expenditures 15-22'!C47</f>
        <v>4491683</v>
      </c>
      <c r="C731" s="2" t="s">
        <v>593</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327538</v>
      </c>
      <c r="D733" s="2" t="str">
        <f t="shared" si="10"/>
        <v>Error?</v>
      </c>
    </row>
    <row r="734" spans="1:4" x14ac:dyDescent="0.2">
      <c r="A734" s="5">
        <v>673</v>
      </c>
      <c r="B734" s="138">
        <f>'Expenditures 15-22'!C53</f>
        <v>700443</v>
      </c>
      <c r="C734" s="2" t="s">
        <v>593</v>
      </c>
      <c r="D734" s="2" t="str">
        <f t="shared" si="10"/>
        <v>Error?</v>
      </c>
    </row>
    <row r="735" spans="1:4" x14ac:dyDescent="0.2">
      <c r="A735" s="5">
        <v>674</v>
      </c>
      <c r="B735" s="138">
        <f>'Expenditures 15-22'!C55</f>
        <v>9850128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9850128</v>
      </c>
      <c r="C737" s="2" t="s">
        <v>593</v>
      </c>
      <c r="D737" s="2" t="str">
        <f t="shared" si="10"/>
        <v>Error?</v>
      </c>
    </row>
    <row r="738" spans="1:4" x14ac:dyDescent="0.2">
      <c r="A738" s="5">
        <v>677</v>
      </c>
      <c r="B738" s="138">
        <f>'Expenditures 15-22'!C59</f>
        <v>379754</v>
      </c>
      <c r="D738" s="2" t="str">
        <f t="shared" si="10"/>
        <v>Error?</v>
      </c>
    </row>
    <row r="739" spans="1:4" x14ac:dyDescent="0.2">
      <c r="A739" s="5">
        <v>678</v>
      </c>
      <c r="B739" s="138">
        <f>'Expenditures 15-22'!C60</f>
        <v>559068</v>
      </c>
      <c r="D739" s="2" t="str">
        <f t="shared" si="10"/>
        <v>Error?</v>
      </c>
    </row>
    <row r="740" spans="1:4" x14ac:dyDescent="0.2">
      <c r="A740" s="5">
        <v>679</v>
      </c>
      <c r="B740" s="138">
        <f>'Expenditures 15-22'!C61</f>
        <v>1444138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2802615</v>
      </c>
      <c r="D742" s="2" t="str">
        <f t="shared" si="10"/>
        <v>Error?</v>
      </c>
    </row>
    <row r="743" spans="1:4" x14ac:dyDescent="0.2">
      <c r="A743" s="5">
        <v>682</v>
      </c>
      <c r="B743" s="138">
        <f>'Expenditures 15-22'!C64</f>
        <v>144675</v>
      </c>
      <c r="D743" s="2" t="str">
        <f t="shared" si="10"/>
        <v>Error?</v>
      </c>
    </row>
    <row r="744" spans="1:4" x14ac:dyDescent="0.2">
      <c r="A744" s="10">
        <v>683</v>
      </c>
      <c r="D744" s="2" t="str">
        <f t="shared" si="10"/>
        <v>OK</v>
      </c>
    </row>
    <row r="745" spans="1:4" x14ac:dyDescent="0.2">
      <c r="A745" s="5">
        <v>684</v>
      </c>
      <c r="B745" s="138">
        <f>'Expenditures 15-22'!C65</f>
        <v>5330250</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483886</v>
      </c>
      <c r="D748" s="2" t="str">
        <f t="shared" si="10"/>
        <v>Error?</v>
      </c>
    </row>
    <row r="749" spans="1:4" x14ac:dyDescent="0.2">
      <c r="A749" s="5">
        <v>688</v>
      </c>
      <c r="B749" s="138">
        <f>'Expenditures 15-22'!C70</f>
        <v>632029</v>
      </c>
      <c r="D749" s="2" t="str">
        <f t="shared" si="10"/>
        <v>Error?</v>
      </c>
    </row>
    <row r="750" spans="1:4" x14ac:dyDescent="0.2">
      <c r="A750" s="10">
        <v>689</v>
      </c>
      <c r="D750" s="2" t="str">
        <f t="shared" si="10"/>
        <v>OK</v>
      </c>
    </row>
    <row r="751" spans="1:4" x14ac:dyDescent="0.2">
      <c r="A751" s="5">
        <v>690</v>
      </c>
      <c r="B751" s="138">
        <f>'Expenditures 15-22'!C71</f>
        <v>2548580</v>
      </c>
      <c r="D751" s="2" t="str">
        <f t="shared" si="10"/>
        <v>Error?</v>
      </c>
    </row>
    <row r="752" spans="1:4" x14ac:dyDescent="0.2">
      <c r="A752" s="10">
        <v>691</v>
      </c>
      <c r="D752" s="2" t="str">
        <f t="shared" si="10"/>
        <v>OK</v>
      </c>
    </row>
    <row r="753" spans="1:4" x14ac:dyDescent="0.2">
      <c r="A753" s="5">
        <v>692</v>
      </c>
      <c r="B753" s="138">
        <f>'Expenditures 15-22'!C72</f>
        <v>3664495</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34599154</v>
      </c>
      <c r="C755" s="2" t="s">
        <v>593</v>
      </c>
      <c r="D755" s="2" t="str">
        <f t="shared" si="10"/>
        <v>Error?</v>
      </c>
    </row>
    <row r="756" spans="1:4" x14ac:dyDescent="0.2">
      <c r="A756" s="5">
        <v>695</v>
      </c>
      <c r="B756" s="138">
        <f>'Expenditures 15-22'!C75</f>
        <v>163018</v>
      </c>
      <c r="D756" s="2" t="str">
        <f t="shared" si="10"/>
        <v>Error?</v>
      </c>
    </row>
    <row r="757" spans="1:4" x14ac:dyDescent="0.2">
      <c r="A757" s="5">
        <v>696</v>
      </c>
      <c r="B757" s="138">
        <f>'Expenditures 15-22'!C114</f>
        <v>134823484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11086989</v>
      </c>
      <c r="D763" s="2" t="str">
        <f t="shared" si="10"/>
        <v>Error?</v>
      </c>
    </row>
    <row r="764" spans="1:4" x14ac:dyDescent="0.2">
      <c r="A764" s="5">
        <v>703</v>
      </c>
      <c r="B764" s="138">
        <f>'Expenditures 15-22'!D16</f>
        <v>136097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1073102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46918</v>
      </c>
      <c r="D776" s="2" t="str">
        <f t="shared" si="11"/>
        <v>Error?</v>
      </c>
    </row>
    <row r="777" spans="1:4" x14ac:dyDescent="0.2">
      <c r="A777" s="5">
        <v>716</v>
      </c>
      <c r="B777" s="138">
        <f>'Expenditures 15-22'!D15</f>
        <v>4461</v>
      </c>
      <c r="D777" s="2" t="str">
        <f t="shared" si="11"/>
        <v>Error?</v>
      </c>
    </row>
    <row r="778" spans="1:4" x14ac:dyDescent="0.2">
      <c r="A778" s="5">
        <v>717</v>
      </c>
      <c r="B778" s="138">
        <f>'Expenditures 15-22'!D33</f>
        <v>19615246</v>
      </c>
      <c r="C778" s="2" t="s">
        <v>593</v>
      </c>
      <c r="D778" s="2" t="str">
        <f t="shared" si="11"/>
        <v>Error?</v>
      </c>
    </row>
    <row r="779" spans="1:4" x14ac:dyDescent="0.2">
      <c r="A779" s="5">
        <v>718</v>
      </c>
      <c r="B779" s="138">
        <f>'Expenditures 15-22'!D36</f>
        <v>497254</v>
      </c>
      <c r="D779" s="2" t="str">
        <f t="shared" si="11"/>
        <v>Error?</v>
      </c>
    </row>
    <row r="780" spans="1:4" x14ac:dyDescent="0.2">
      <c r="A780" s="5">
        <v>719</v>
      </c>
      <c r="B780" s="138">
        <f>'Expenditures 15-22'!D37</f>
        <v>293151</v>
      </c>
      <c r="D780" s="2" t="str">
        <f t="shared" si="11"/>
        <v>Error?</v>
      </c>
    </row>
    <row r="781" spans="1:4" x14ac:dyDescent="0.2">
      <c r="A781" s="5">
        <v>720</v>
      </c>
      <c r="B781" s="138">
        <f>'Expenditures 15-22'!D38</f>
        <v>239165</v>
      </c>
      <c r="D781" s="2" t="str">
        <f t="shared" si="11"/>
        <v>Error?</v>
      </c>
    </row>
    <row r="782" spans="1:4" x14ac:dyDescent="0.2">
      <c r="A782" s="5">
        <v>721</v>
      </c>
      <c r="B782" s="138">
        <f>'Expenditures 15-22'!D39</f>
        <v>253320</v>
      </c>
      <c r="D782" s="2" t="str">
        <f t="shared" si="11"/>
        <v>Error?</v>
      </c>
    </row>
    <row r="783" spans="1:4" x14ac:dyDescent="0.2">
      <c r="A783" s="5">
        <v>722</v>
      </c>
      <c r="B783" s="138">
        <f>'Expenditures 15-22'!D40</f>
        <v>295535</v>
      </c>
      <c r="D783" s="2" t="str">
        <f t="shared" si="11"/>
        <v>Error?</v>
      </c>
    </row>
    <row r="784" spans="1:4" x14ac:dyDescent="0.2">
      <c r="A784" s="5">
        <v>723</v>
      </c>
      <c r="B784" s="138">
        <f>'Expenditures 15-22'!D41</f>
        <v>74376</v>
      </c>
      <c r="D784" s="2" t="str">
        <f t="shared" si="11"/>
        <v>Error?</v>
      </c>
    </row>
    <row r="785" spans="1:4" x14ac:dyDescent="0.2">
      <c r="A785" s="5">
        <v>724</v>
      </c>
      <c r="B785" s="138">
        <f>'Expenditures 15-22'!D42</f>
        <v>1652801</v>
      </c>
      <c r="C785" s="2" t="s">
        <v>593</v>
      </c>
      <c r="D785" s="2" t="str">
        <f t="shared" si="11"/>
        <v>Error?</v>
      </c>
    </row>
    <row r="786" spans="1:4" x14ac:dyDescent="0.2">
      <c r="A786" s="5">
        <v>725</v>
      </c>
      <c r="B786" s="138">
        <f>'Expenditures 15-22'!D44</f>
        <v>454379</v>
      </c>
      <c r="D786" s="2" t="str">
        <f t="shared" si="11"/>
        <v>Error?</v>
      </c>
    </row>
    <row r="787" spans="1:4" x14ac:dyDescent="0.2">
      <c r="A787" s="5">
        <v>726</v>
      </c>
      <c r="B787" s="138">
        <f>'Expenditures 15-22'!D45</f>
        <v>198573</v>
      </c>
      <c r="D787" s="2" t="str">
        <f t="shared" si="11"/>
        <v>Error?</v>
      </c>
    </row>
    <row r="788" spans="1:4" x14ac:dyDescent="0.2">
      <c r="A788" s="5">
        <v>727</v>
      </c>
      <c r="B788" s="138">
        <f>'Expenditures 15-22'!D46</f>
        <v>34850</v>
      </c>
      <c r="D788" s="2" t="str">
        <f t="shared" si="11"/>
        <v>Error?</v>
      </c>
    </row>
    <row r="789" spans="1:4" x14ac:dyDescent="0.2">
      <c r="A789" s="5">
        <v>728</v>
      </c>
      <c r="B789" s="138">
        <f>'Expenditures 15-22'!D47</f>
        <v>687802</v>
      </c>
      <c r="C789" s="2" t="s">
        <v>593</v>
      </c>
      <c r="D789" s="2" t="str">
        <f t="shared" si="11"/>
        <v>Error?</v>
      </c>
    </row>
    <row r="790" spans="1:4" x14ac:dyDescent="0.2">
      <c r="A790" s="5">
        <v>729</v>
      </c>
      <c r="B790" s="138">
        <f>'Expenditures 15-22'!D49</f>
        <v>1662027</v>
      </c>
      <c r="D790" s="2" t="str">
        <f t="shared" si="11"/>
        <v>Error?</v>
      </c>
    </row>
    <row r="791" spans="1:4" x14ac:dyDescent="0.2">
      <c r="A791" s="5">
        <v>730</v>
      </c>
      <c r="B791" s="138">
        <f>'Expenditures 15-22'!D50</f>
        <v>42205</v>
      </c>
      <c r="D791" s="2" t="str">
        <f t="shared" si="11"/>
        <v>Error?</v>
      </c>
    </row>
    <row r="792" spans="1:4" x14ac:dyDescent="0.2">
      <c r="A792" s="5">
        <v>731</v>
      </c>
      <c r="B792" s="138">
        <f>'Expenditures 15-22'!D53</f>
        <v>1810042</v>
      </c>
      <c r="C792" s="2" t="s">
        <v>593</v>
      </c>
      <c r="D792" s="2" t="str">
        <f t="shared" si="11"/>
        <v>Error?</v>
      </c>
    </row>
    <row r="793" spans="1:4" x14ac:dyDescent="0.2">
      <c r="A793" s="5">
        <v>732</v>
      </c>
      <c r="B793" s="138">
        <f>'Expenditures 15-22'!D55</f>
        <v>2298774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2298774</v>
      </c>
      <c r="C795" s="2" t="s">
        <v>593</v>
      </c>
      <c r="D795" s="2" t="str">
        <f t="shared" si="11"/>
        <v>Error?</v>
      </c>
    </row>
    <row r="796" spans="1:4" x14ac:dyDescent="0.2">
      <c r="A796" s="5">
        <v>735</v>
      </c>
      <c r="B796" s="138">
        <f>'Expenditures 15-22'!D59</f>
        <v>40406</v>
      </c>
      <c r="D796" s="2" t="str">
        <f t="shared" si="11"/>
        <v>Error?</v>
      </c>
    </row>
    <row r="797" spans="1:4" x14ac:dyDescent="0.2">
      <c r="A797" s="5">
        <v>736</v>
      </c>
      <c r="B797" s="138">
        <f>'Expenditures 15-22'!D60</f>
        <v>159588</v>
      </c>
      <c r="D797" s="2" t="str">
        <f t="shared" si="11"/>
        <v>Error?</v>
      </c>
    </row>
    <row r="798" spans="1:4" x14ac:dyDescent="0.2">
      <c r="A798" s="5">
        <v>737</v>
      </c>
      <c r="B798" s="138">
        <f>'Expenditures 15-22'!D61</f>
        <v>365781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1086701</v>
      </c>
      <c r="D800" s="2" t="str">
        <f t="shared" si="11"/>
        <v>Error?</v>
      </c>
    </row>
    <row r="801" spans="1:4" x14ac:dyDescent="0.2">
      <c r="A801" s="5">
        <v>740</v>
      </c>
      <c r="B801" s="138">
        <f>'Expenditures 15-22'!D64</f>
        <v>44332</v>
      </c>
      <c r="D801" s="2" t="str">
        <f t="shared" si="11"/>
        <v>Error?</v>
      </c>
    </row>
    <row r="802" spans="1:4" x14ac:dyDescent="0.2">
      <c r="A802" s="10">
        <v>741</v>
      </c>
      <c r="D802" s="2" t="str">
        <f t="shared" si="11"/>
        <v>OK</v>
      </c>
    </row>
    <row r="803" spans="1:4" x14ac:dyDescent="0.2">
      <c r="A803" s="5">
        <v>742</v>
      </c>
      <c r="B803" s="138">
        <f>'Expenditures 15-22'!D65</f>
        <v>1696808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160615</v>
      </c>
      <c r="D806" s="2" t="str">
        <f t="shared" si="11"/>
        <v>Error?</v>
      </c>
    </row>
    <row r="807" spans="1:4" x14ac:dyDescent="0.2">
      <c r="A807" s="5">
        <v>746</v>
      </c>
      <c r="B807" s="138">
        <f>'Expenditures 15-22'!D70</f>
        <v>1275957</v>
      </c>
      <c r="D807" s="2" t="str">
        <f t="shared" si="11"/>
        <v>Error?</v>
      </c>
    </row>
    <row r="808" spans="1:4" x14ac:dyDescent="0.2">
      <c r="A808" s="10">
        <v>747</v>
      </c>
      <c r="D808" s="2" t="str">
        <f t="shared" si="11"/>
        <v>OK</v>
      </c>
    </row>
    <row r="809" spans="1:4" x14ac:dyDescent="0.2">
      <c r="A809" s="5">
        <v>748</v>
      </c>
      <c r="B809" s="138">
        <f>'Expenditures 15-22'!D71</f>
        <v>426333</v>
      </c>
      <c r="D809" s="2" t="str">
        <f t="shared" si="11"/>
        <v>Error?</v>
      </c>
    </row>
    <row r="810" spans="1:4" x14ac:dyDescent="0.2">
      <c r="A810" s="10">
        <v>749</v>
      </c>
      <c r="D810" s="2" t="str">
        <f t="shared" si="11"/>
        <v>OK</v>
      </c>
    </row>
    <row r="811" spans="1:4" x14ac:dyDescent="0.2">
      <c r="A811" s="5">
        <v>750</v>
      </c>
      <c r="B811" s="138">
        <f>'Expenditures 15-22'!D72</f>
        <v>1862905</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10009132</v>
      </c>
      <c r="C813" s="2" t="s">
        <v>593</v>
      </c>
      <c r="D813" s="2" t="str">
        <f t="shared" si="11"/>
        <v>Error?</v>
      </c>
    </row>
    <row r="814" spans="1:4" x14ac:dyDescent="0.2">
      <c r="A814" s="5">
        <v>753</v>
      </c>
      <c r="B814" s="138">
        <f>'Expenditures 15-22'!D75</f>
        <v>58880</v>
      </c>
      <c r="D814" s="2" t="str">
        <f t="shared" si="11"/>
        <v>Error?</v>
      </c>
    </row>
    <row r="815" spans="1:4" x14ac:dyDescent="0.2">
      <c r="A815" s="5">
        <v>754</v>
      </c>
      <c r="B815" s="138">
        <f>'Expenditures 15-22'!D114</f>
        <v>29683258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809844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6181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60898</v>
      </c>
      <c r="D833" s="2" t="str">
        <f t="shared" si="12"/>
        <v>Error?</v>
      </c>
    </row>
    <row r="834" spans="1:4" x14ac:dyDescent="0.2">
      <c r="A834" s="5">
        <v>773</v>
      </c>
      <c r="B834" s="138">
        <f>'Expenditures 15-22'!E14</f>
        <v>256816</v>
      </c>
      <c r="D834" s="2" t="str">
        <f t="shared" si="12"/>
        <v>Error?</v>
      </c>
    </row>
    <row r="835" spans="1:4" x14ac:dyDescent="0.2">
      <c r="A835" s="5">
        <v>774</v>
      </c>
      <c r="B835" s="138">
        <f>'Expenditures 15-22'!E15</f>
        <v>10281</v>
      </c>
      <c r="D835" s="2" t="str">
        <f t="shared" si="12"/>
        <v>Error?</v>
      </c>
    </row>
    <row r="836" spans="1:4" x14ac:dyDescent="0.2">
      <c r="A836" s="5">
        <v>775</v>
      </c>
      <c r="B836" s="138">
        <f>'Expenditures 15-22'!E33</f>
        <v>4829178</v>
      </c>
      <c r="C836" s="2" t="s">
        <v>593</v>
      </c>
      <c r="D836" s="2" t="str">
        <f t="shared" si="12"/>
        <v>Error?</v>
      </c>
    </row>
    <row r="837" spans="1:4" x14ac:dyDescent="0.2">
      <c r="A837" s="5">
        <v>776</v>
      </c>
      <c r="B837" s="138">
        <f>'Expenditures 15-22'!E36</f>
        <v>16258</v>
      </c>
      <c r="D837" s="2" t="str">
        <f t="shared" si="12"/>
        <v>Error?</v>
      </c>
    </row>
    <row r="838" spans="1:4" x14ac:dyDescent="0.2">
      <c r="A838" s="5">
        <v>777</v>
      </c>
      <c r="B838" s="138">
        <f>'Expenditures 15-22'!E37</f>
        <v>21000</v>
      </c>
      <c r="D838" s="2" t="str">
        <f t="shared" si="12"/>
        <v>Error?</v>
      </c>
    </row>
    <row r="839" spans="1:4" x14ac:dyDescent="0.2">
      <c r="A839" s="5">
        <v>778</v>
      </c>
      <c r="B839" s="138">
        <f>'Expenditures 15-22'!E38</f>
        <v>510552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1500</v>
      </c>
      <c r="D842" s="2" t="str">
        <f t="shared" si="12"/>
        <v>Error?</v>
      </c>
    </row>
    <row r="843" spans="1:4" x14ac:dyDescent="0.2">
      <c r="A843" s="5">
        <v>782</v>
      </c>
      <c r="B843" s="138">
        <f>'Expenditures 15-22'!E42</f>
        <v>549310</v>
      </c>
      <c r="C843" s="2" t="s">
        <v>593</v>
      </c>
      <c r="D843" s="2" t="str">
        <f t="shared" si="12"/>
        <v>Error?</v>
      </c>
    </row>
    <row r="844" spans="1:4" x14ac:dyDescent="0.2">
      <c r="A844" s="5">
        <v>783</v>
      </c>
      <c r="B844" s="138">
        <f>'Expenditures 15-22'!E44</f>
        <v>1192614</v>
      </c>
      <c r="D844" s="2" t="str">
        <f t="shared" si="12"/>
        <v>Error?</v>
      </c>
    </row>
    <row r="845" spans="1:4" x14ac:dyDescent="0.2">
      <c r="A845" s="5">
        <v>784</v>
      </c>
      <c r="B845" s="138">
        <f>'Expenditures 15-22'!E45</f>
        <v>3696</v>
      </c>
      <c r="D845" s="2" t="str">
        <f t="shared" si="12"/>
        <v>Error?</v>
      </c>
    </row>
    <row r="846" spans="1:4" x14ac:dyDescent="0.2">
      <c r="A846" s="5">
        <v>785</v>
      </c>
      <c r="B846" s="138">
        <f>'Expenditures 15-22'!E46</f>
        <v>247438</v>
      </c>
      <c r="D846" s="2" t="str">
        <f t="shared" si="12"/>
        <v>Error?</v>
      </c>
    </row>
    <row r="847" spans="1:4" x14ac:dyDescent="0.2">
      <c r="A847" s="5">
        <v>786</v>
      </c>
      <c r="B847" s="138">
        <f>'Expenditures 15-22'!E47</f>
        <v>1443748</v>
      </c>
      <c r="C847" s="2" t="s">
        <v>593</v>
      </c>
      <c r="D847" s="2" t="str">
        <f t="shared" si="12"/>
        <v>Error?</v>
      </c>
    </row>
    <row r="848" spans="1:4" x14ac:dyDescent="0.2">
      <c r="A848" s="5">
        <v>787</v>
      </c>
      <c r="B848" s="138">
        <f>'Expenditures 15-22'!E49</f>
        <v>542465</v>
      </c>
      <c r="D848" s="2" t="str">
        <f t="shared" si="12"/>
        <v>Error?</v>
      </c>
    </row>
    <row r="849" spans="1:4" x14ac:dyDescent="0.2">
      <c r="A849" s="5">
        <v>788</v>
      </c>
      <c r="B849" s="138">
        <f>'Expenditures 15-22'!E50</f>
        <v>147045</v>
      </c>
      <c r="D849" s="2" t="str">
        <f t="shared" si="12"/>
        <v>Error?</v>
      </c>
    </row>
    <row r="850" spans="1:4" x14ac:dyDescent="0.2">
      <c r="A850" s="5">
        <v>789</v>
      </c>
      <c r="B850" s="138">
        <f>'Expenditures 15-22'!E53</f>
        <v>689510</v>
      </c>
      <c r="C850" s="2" t="s">
        <v>593</v>
      </c>
      <c r="D850" s="2" t="str">
        <f t="shared" si="12"/>
        <v>Error?</v>
      </c>
    </row>
    <row r="851" spans="1:4" x14ac:dyDescent="0.2">
      <c r="A851" s="5">
        <v>790</v>
      </c>
      <c r="B851" s="138">
        <f>'Expenditures 15-22'!E55</f>
        <v>292913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292913</v>
      </c>
      <c r="C853" s="2" t="s">
        <v>593</v>
      </c>
      <c r="D853" s="2" t="str">
        <f t="shared" si="12"/>
        <v>Error?</v>
      </c>
    </row>
    <row r="854" spans="1:4" x14ac:dyDescent="0.2">
      <c r="A854" s="5">
        <v>793</v>
      </c>
      <c r="B854" s="138">
        <f>'Expenditures 15-22'!E59</f>
        <v>75918</v>
      </c>
      <c r="D854" s="2" t="str">
        <f t="shared" si="12"/>
        <v>Error?</v>
      </c>
    </row>
    <row r="855" spans="1:4" x14ac:dyDescent="0.2">
      <c r="A855" s="5">
        <v>794</v>
      </c>
      <c r="B855" s="138">
        <f>'Expenditures 15-22'!E60</f>
        <v>115661</v>
      </c>
      <c r="D855" s="2" t="str">
        <f t="shared" si="12"/>
        <v>Error?</v>
      </c>
    </row>
    <row r="856" spans="1:4" x14ac:dyDescent="0.2">
      <c r="A856" s="5">
        <v>795</v>
      </c>
      <c r="B856" s="138">
        <f>'Expenditures 15-22'!E61</f>
        <v>61806</v>
      </c>
      <c r="D856" s="2" t="str">
        <f t="shared" si="12"/>
        <v>Error?</v>
      </c>
    </row>
    <row r="857" spans="1:4" x14ac:dyDescent="0.2">
      <c r="A857" s="5">
        <v>796</v>
      </c>
      <c r="B857" s="138">
        <f>'Expenditures 15-22'!E62</f>
        <v>57567</v>
      </c>
      <c r="D857" s="2" t="str">
        <f t="shared" si="12"/>
        <v>Error?</v>
      </c>
    </row>
    <row r="858" spans="1:4" x14ac:dyDescent="0.2">
      <c r="A858" s="5">
        <v>797</v>
      </c>
      <c r="B858" s="138">
        <f>'Expenditures 15-22'!E63</f>
        <v>366332</v>
      </c>
      <c r="D858" s="2" t="str">
        <f t="shared" si="12"/>
        <v>Error?</v>
      </c>
    </row>
    <row r="859" spans="1:4" x14ac:dyDescent="0.2">
      <c r="A859" s="5">
        <v>798</v>
      </c>
      <c r="B859" s="138">
        <f>'Expenditures 15-22'!E64</f>
        <v>95166</v>
      </c>
      <c r="D859" s="2" t="str">
        <f t="shared" si="12"/>
        <v>Error?</v>
      </c>
    </row>
    <row r="860" spans="1:4" x14ac:dyDescent="0.2">
      <c r="A860" s="10">
        <v>799</v>
      </c>
      <c r="D860" s="2" t="str">
        <f t="shared" si="12"/>
        <v>OK</v>
      </c>
    </row>
    <row r="861" spans="1:4" x14ac:dyDescent="0.2">
      <c r="A861" s="5">
        <v>800</v>
      </c>
      <c r="B861" s="138">
        <f>'Expenditures 15-22'!E65</f>
        <v>772450</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53176</v>
      </c>
      <c r="D863" s="2" t="str">
        <f t="shared" si="12"/>
        <v>Error?</v>
      </c>
    </row>
    <row r="864" spans="1:4" x14ac:dyDescent="0.2">
      <c r="A864" s="5">
        <v>803</v>
      </c>
      <c r="B864" s="138">
        <f>'Expenditures 15-22'!E69</f>
        <v>549150</v>
      </c>
      <c r="D864" s="2" t="str">
        <f t="shared" si="12"/>
        <v>Error?</v>
      </c>
    </row>
    <row r="865" spans="1:4" x14ac:dyDescent="0.2">
      <c r="A865" s="5">
        <v>804</v>
      </c>
      <c r="B865" s="138">
        <f>'Expenditures 15-22'!E70</f>
        <v>2038191</v>
      </c>
      <c r="D865" s="2" t="str">
        <f t="shared" si="12"/>
        <v>Error?</v>
      </c>
    </row>
    <row r="866" spans="1:4" x14ac:dyDescent="0.2">
      <c r="A866" s="10">
        <v>805</v>
      </c>
      <c r="D866" s="2" t="str">
        <f t="shared" si="12"/>
        <v>OK</v>
      </c>
    </row>
    <row r="867" spans="1:4" x14ac:dyDescent="0.2">
      <c r="A867" s="5">
        <v>806</v>
      </c>
      <c r="B867" s="138">
        <f>'Expenditures 15-22'!E71</f>
        <v>978133</v>
      </c>
      <c r="D867" s="2" t="str">
        <f t="shared" si="12"/>
        <v>Error?</v>
      </c>
    </row>
    <row r="868" spans="1:4" x14ac:dyDescent="0.2">
      <c r="A868" s="10">
        <v>807</v>
      </c>
      <c r="D868" s="2" t="str">
        <f t="shared" si="12"/>
        <v>OK</v>
      </c>
    </row>
    <row r="869" spans="1:4" x14ac:dyDescent="0.2">
      <c r="A869" s="5">
        <v>808</v>
      </c>
      <c r="B869" s="138">
        <f>'Expenditures 15-22'!E72</f>
        <v>3618650</v>
      </c>
      <c r="C869" s="2" t="s">
        <v>593</v>
      </c>
      <c r="D869" s="2" t="str">
        <f t="shared" si="12"/>
        <v>Error?</v>
      </c>
    </row>
    <row r="870" spans="1:4" x14ac:dyDescent="0.2">
      <c r="A870" s="5">
        <v>809</v>
      </c>
      <c r="B870" s="138">
        <f>'Expenditures 15-22'!E73</f>
        <v>4844</v>
      </c>
      <c r="D870" s="2" t="str">
        <f t="shared" si="12"/>
        <v>Error?</v>
      </c>
    </row>
    <row r="871" spans="1:4" x14ac:dyDescent="0.2">
      <c r="A871" s="5">
        <v>810</v>
      </c>
      <c r="B871" s="138">
        <f>'Expenditures 15-22'!E74</f>
        <v>7371425</v>
      </c>
      <c r="C871" s="2" t="s">
        <v>593</v>
      </c>
      <c r="D871" s="2" t="str">
        <f t="shared" si="12"/>
        <v>Error?</v>
      </c>
    </row>
    <row r="872" spans="1:4" x14ac:dyDescent="0.2">
      <c r="A872" s="5">
        <v>811</v>
      </c>
      <c r="B872" s="138">
        <f>'Expenditures 15-22'!E75</f>
        <v>34125</v>
      </c>
      <c r="D872" s="2" t="str">
        <f t="shared" si="12"/>
        <v>Error?</v>
      </c>
    </row>
    <row r="873" spans="1:4" x14ac:dyDescent="0.2">
      <c r="A873" s="5">
        <v>812</v>
      </c>
      <c r="B873" s="138">
        <f>'Expenditures 15-22'!E114</f>
        <v>12234728</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835534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14675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29351</v>
      </c>
      <c r="D891" s="2" t="str">
        <f t="shared" si="12"/>
        <v>Error?</v>
      </c>
    </row>
    <row r="892" spans="1:4" x14ac:dyDescent="0.2">
      <c r="A892" s="5">
        <v>831</v>
      </c>
      <c r="B892" s="138">
        <f>'Expenditures 15-22'!F14</f>
        <v>99320</v>
      </c>
      <c r="D892" s="2" t="str">
        <f t="shared" si="12"/>
        <v>Error?</v>
      </c>
    </row>
    <row r="893" spans="1:4" x14ac:dyDescent="0.2">
      <c r="A893" s="5">
        <v>832</v>
      </c>
      <c r="B893" s="138">
        <f>'Expenditures 15-22'!F15</f>
        <v>4552</v>
      </c>
      <c r="D893" s="2" t="str">
        <f t="shared" si="12"/>
        <v>Error?</v>
      </c>
    </row>
    <row r="894" spans="1:4" x14ac:dyDescent="0.2">
      <c r="A894" s="5">
        <v>833</v>
      </c>
      <c r="B894" s="138">
        <f>'Expenditures 15-22'!F33</f>
        <v>1997797</v>
      </c>
      <c r="C894" s="2" t="s">
        <v>593</v>
      </c>
      <c r="D894" s="2" t="str">
        <f t="shared" si="12"/>
        <v>Error?</v>
      </c>
    </row>
    <row r="895" spans="1:4" x14ac:dyDescent="0.2">
      <c r="A895" s="5">
        <v>834</v>
      </c>
      <c r="B895" s="138">
        <f>'Expenditures 15-22'!F36</f>
        <v>4041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186979</v>
      </c>
      <c r="D897" s="2" t="str">
        <f t="shared" si="13"/>
        <v>Error?</v>
      </c>
    </row>
    <row r="898" spans="1:4" x14ac:dyDescent="0.2">
      <c r="A898" s="5">
        <v>837</v>
      </c>
      <c r="B898" s="138">
        <f>'Expenditures 15-22'!F39</f>
        <v>23906</v>
      </c>
      <c r="D898" s="2" t="str">
        <f t="shared" si="13"/>
        <v>Error?</v>
      </c>
    </row>
    <row r="899" spans="1:4" x14ac:dyDescent="0.2">
      <c r="A899" s="5">
        <v>838</v>
      </c>
      <c r="B899" s="138">
        <f>'Expenditures 15-22'!F40</f>
        <v>14432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229358</v>
      </c>
      <c r="C901" s="2" t="s">
        <v>593</v>
      </c>
      <c r="D901" s="2" t="str">
        <f t="shared" si="13"/>
        <v>Error?</v>
      </c>
    </row>
    <row r="902" spans="1:4" x14ac:dyDescent="0.2">
      <c r="A902" s="5">
        <v>841</v>
      </c>
      <c r="B902" s="138">
        <f>'Expenditures 15-22'!F44</f>
        <v>198777</v>
      </c>
      <c r="D902" s="2" t="str">
        <f t="shared" si="13"/>
        <v>Error?</v>
      </c>
    </row>
    <row r="903" spans="1:4" x14ac:dyDescent="0.2">
      <c r="A903" s="5">
        <v>842</v>
      </c>
      <c r="B903" s="138">
        <f>'Expenditures 15-22'!F45</f>
        <v>182544</v>
      </c>
      <c r="D903" s="2" t="str">
        <f t="shared" si="13"/>
        <v>Error?</v>
      </c>
    </row>
    <row r="904" spans="1:4" x14ac:dyDescent="0.2">
      <c r="A904" s="5">
        <v>843</v>
      </c>
      <c r="B904" s="138">
        <f>'Expenditures 15-22'!F46</f>
        <v>70910</v>
      </c>
      <c r="D904" s="2" t="str">
        <f t="shared" si="13"/>
        <v>Error?</v>
      </c>
    </row>
    <row r="905" spans="1:4" x14ac:dyDescent="0.2">
      <c r="A905" s="5">
        <v>844</v>
      </c>
      <c r="B905" s="138">
        <f>'Expenditures 15-22'!F47</f>
        <v>452231</v>
      </c>
      <c r="C905" s="2" t="s">
        <v>593</v>
      </c>
      <c r="D905" s="2" t="str">
        <f t="shared" si="13"/>
        <v>Error?</v>
      </c>
    </row>
    <row r="906" spans="1:4" x14ac:dyDescent="0.2">
      <c r="A906" s="5">
        <v>845</v>
      </c>
      <c r="B906" s="138">
        <f>'Expenditures 15-22'!F49</f>
        <v>1530</v>
      </c>
      <c r="D906" s="2" t="str">
        <f t="shared" si="13"/>
        <v>Error?</v>
      </c>
    </row>
    <row r="907" spans="1:4" x14ac:dyDescent="0.2">
      <c r="A907" s="5">
        <v>846</v>
      </c>
      <c r="B907" s="138">
        <f>'Expenditures 15-22'!F50</f>
        <v>13428</v>
      </c>
      <c r="D907" s="2" t="str">
        <f t="shared" si="13"/>
        <v>Error?</v>
      </c>
    </row>
    <row r="908" spans="1:4" x14ac:dyDescent="0.2">
      <c r="A908" s="5">
        <v>847</v>
      </c>
      <c r="B908" s="138">
        <f>'Expenditures 15-22'!F53</f>
        <v>24832</v>
      </c>
      <c r="C908" s="2" t="s">
        <v>593</v>
      </c>
      <c r="D908" s="2" t="str">
        <f t="shared" si="13"/>
        <v>Error?</v>
      </c>
    </row>
    <row r="909" spans="1:4" x14ac:dyDescent="0.2">
      <c r="A909" s="5">
        <v>848</v>
      </c>
      <c r="B909" s="138">
        <f>'Expenditures 15-22'!F55</f>
        <v>73782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73782</v>
      </c>
      <c r="C911" s="2" t="s">
        <v>593</v>
      </c>
      <c r="D911" s="2" t="str">
        <f t="shared" si="13"/>
        <v>Error?</v>
      </c>
    </row>
    <row r="912" spans="1:4" x14ac:dyDescent="0.2">
      <c r="A912" s="5">
        <v>851</v>
      </c>
      <c r="B912" s="138">
        <f>'Expenditures 15-22'!F59</f>
        <v>1238</v>
      </c>
      <c r="D912" s="2" t="str">
        <f t="shared" si="13"/>
        <v>Error?</v>
      </c>
    </row>
    <row r="913" spans="1:4" x14ac:dyDescent="0.2">
      <c r="A913" s="5">
        <v>852</v>
      </c>
      <c r="B913" s="138">
        <f>'Expenditures 15-22'!F60</f>
        <v>3878</v>
      </c>
      <c r="D913" s="2" t="str">
        <f t="shared" si="13"/>
        <v>Error?</v>
      </c>
    </row>
    <row r="914" spans="1:4" x14ac:dyDescent="0.2">
      <c r="A914" s="5">
        <v>853</v>
      </c>
      <c r="B914" s="138">
        <f>'Expenditures 15-22'!F61</f>
        <v>42920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3540645</v>
      </c>
      <c r="D916" s="2" t="str">
        <f t="shared" si="13"/>
        <v>Error?</v>
      </c>
    </row>
    <row r="917" spans="1:4" x14ac:dyDescent="0.2">
      <c r="A917" s="5">
        <v>856</v>
      </c>
      <c r="B917" s="138">
        <f>'Expenditures 15-22'!F64</f>
        <v>31881</v>
      </c>
      <c r="D917" s="2" t="str">
        <f t="shared" si="13"/>
        <v>Error?</v>
      </c>
    </row>
    <row r="918" spans="1:4" x14ac:dyDescent="0.2">
      <c r="A918" s="10">
        <v>857</v>
      </c>
      <c r="D918" s="2" t="str">
        <f t="shared" si="13"/>
        <v>OK</v>
      </c>
    </row>
    <row r="919" spans="1:4" x14ac:dyDescent="0.2">
      <c r="A919" s="5">
        <v>858</v>
      </c>
      <c r="B919" s="138">
        <f>'Expenditures 15-22'!F65</f>
        <v>3620562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199457</v>
      </c>
      <c r="D922" s="2" t="str">
        <f t="shared" si="13"/>
        <v>Error?</v>
      </c>
    </row>
    <row r="923" spans="1:4" x14ac:dyDescent="0.2">
      <c r="A923" s="5">
        <v>862</v>
      </c>
      <c r="B923" s="138">
        <f>'Expenditures 15-22'!F70</f>
        <v>37883</v>
      </c>
      <c r="D923" s="2" t="str">
        <f t="shared" si="13"/>
        <v>Error?</v>
      </c>
    </row>
    <row r="924" spans="1:4" x14ac:dyDescent="0.2">
      <c r="A924" s="10">
        <v>863</v>
      </c>
      <c r="D924" s="2" t="str">
        <f t="shared" si="13"/>
        <v>OK</v>
      </c>
    </row>
    <row r="925" spans="1:4" x14ac:dyDescent="0.2">
      <c r="A925" s="5">
        <v>864</v>
      </c>
      <c r="B925" s="138">
        <f>'Expenditures 15-22'!F71</f>
        <v>144210</v>
      </c>
      <c r="D925" s="2" t="str">
        <f t="shared" si="13"/>
        <v>Error?</v>
      </c>
    </row>
    <row r="926" spans="1:4" x14ac:dyDescent="0.2">
      <c r="A926" s="10">
        <v>865</v>
      </c>
      <c r="D926" s="2" t="str">
        <f t="shared" si="13"/>
        <v>OK</v>
      </c>
    </row>
    <row r="927" spans="1:4" x14ac:dyDescent="0.2">
      <c r="A927" s="5">
        <v>866</v>
      </c>
      <c r="B927" s="138">
        <f>'Expenditures 15-22'!F72</f>
        <v>381550</v>
      </c>
      <c r="C927" s="2" t="s">
        <v>593</v>
      </c>
      <c r="D927" s="2" t="str">
        <f t="shared" si="13"/>
        <v>Error?</v>
      </c>
    </row>
    <row r="928" spans="1:4" x14ac:dyDescent="0.2">
      <c r="A928" s="5">
        <v>867</v>
      </c>
      <c r="B928" s="138">
        <f>'Expenditures 15-22'!F73</f>
        <v>3159</v>
      </c>
      <c r="D928" s="2" t="str">
        <f t="shared" si="13"/>
        <v>Error?</v>
      </c>
    </row>
    <row r="929" spans="1:4" x14ac:dyDescent="0.2">
      <c r="A929" s="5">
        <v>868</v>
      </c>
      <c r="B929" s="138">
        <f>'Expenditures 15-22'!F74</f>
        <v>4785474</v>
      </c>
      <c r="C929" s="2" t="s">
        <v>593</v>
      </c>
      <c r="D929" s="2" t="str">
        <f t="shared" si="13"/>
        <v>Error?</v>
      </c>
    </row>
    <row r="930" spans="1:4" x14ac:dyDescent="0.2">
      <c r="A930" s="5">
        <v>869</v>
      </c>
      <c r="B930" s="138">
        <f>'Expenditures 15-22'!F75</f>
        <v>73432</v>
      </c>
      <c r="D930" s="2" t="str">
        <f t="shared" si="13"/>
        <v>Error?</v>
      </c>
    </row>
    <row r="931" spans="1:4" x14ac:dyDescent="0.2">
      <c r="A931" s="5">
        <v>870</v>
      </c>
      <c r="B931" s="138">
        <f>'Expenditures 15-22'!F114</f>
        <v>6856703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15495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23435</v>
      </c>
      <c r="D949" s="2" t="str">
        <f t="shared" si="13"/>
        <v>Error?</v>
      </c>
    </row>
    <row r="950" spans="1:4" x14ac:dyDescent="0.2">
      <c r="A950" s="5">
        <v>889</v>
      </c>
      <c r="B950" s="138">
        <f>'Expenditures 15-22'!G14</f>
        <v>6270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144275</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9850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9850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10560</v>
      </c>
      <c r="D965" s="2" t="str">
        <f t="shared" si="14"/>
        <v>Error?</v>
      </c>
    </row>
    <row r="966" spans="1:4" x14ac:dyDescent="0.2">
      <c r="A966" s="5">
        <v>905</v>
      </c>
      <c r="B966" s="138">
        <f>'Expenditures 15-22'!G53</f>
        <v>10560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118105</v>
      </c>
      <c r="D974" s="2" t="str">
        <f t="shared" si="14"/>
        <v>Error?</v>
      </c>
    </row>
    <row r="975" spans="1:4" x14ac:dyDescent="0.2">
      <c r="A975" s="5">
        <v>914</v>
      </c>
      <c r="B975" s="138">
        <f>'Expenditures 15-22'!G64</f>
        <v>7534</v>
      </c>
      <c r="D975" s="2" t="str">
        <f t="shared" si="14"/>
        <v>Error?</v>
      </c>
    </row>
    <row r="976" spans="1:4" x14ac:dyDescent="0.2">
      <c r="A976" s="10">
        <v>915</v>
      </c>
      <c r="D976" s="2" t="str">
        <f t="shared" si="14"/>
        <v>OK</v>
      </c>
    </row>
    <row r="977" spans="1:4" x14ac:dyDescent="0.2">
      <c r="A977" s="5">
        <v>916</v>
      </c>
      <c r="B977" s="138">
        <f>'Expenditures 15-22'!G65</f>
        <v>125639</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7145</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7145</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153194</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297469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20575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150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118099</v>
      </c>
      <c r="D1008" s="2" t="str">
        <f t="shared" si="14"/>
        <v>Error?</v>
      </c>
    </row>
    <row r="1009" spans="1:4" x14ac:dyDescent="0.2">
      <c r="A1009" s="5">
        <v>948</v>
      </c>
      <c r="B1009" s="138">
        <f>'Expenditures 15-22'!H15</f>
        <v>943</v>
      </c>
      <c r="D1009" s="2" t="str">
        <f t="shared" si="14"/>
        <v>Error?</v>
      </c>
    </row>
    <row r="1010" spans="1:4" x14ac:dyDescent="0.2">
      <c r="A1010" s="5">
        <v>949</v>
      </c>
      <c r="B1010" s="138">
        <f>'Expenditures 15-22'!H33</f>
        <v>7763882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4027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4027</v>
      </c>
      <c r="C1021" s="2" t="s">
        <v>593</v>
      </c>
      <c r="D1021" s="2" t="str">
        <f t="shared" si="14"/>
        <v>Error?</v>
      </c>
    </row>
    <row r="1022" spans="1:4" x14ac:dyDescent="0.2">
      <c r="A1022" s="5">
        <v>961</v>
      </c>
      <c r="B1022" s="138">
        <f>'Expenditures 15-22'!H49</f>
        <v>29512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29512</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2668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2022</v>
      </c>
      <c r="D1032" s="2" t="str">
        <f t="shared" si="15"/>
        <v>Error?</v>
      </c>
    </row>
    <row r="1033" spans="1:4" x14ac:dyDescent="0.2">
      <c r="A1033" s="5">
        <v>972</v>
      </c>
      <c r="B1033" s="138">
        <f>'Expenditures 15-22'!H64</f>
        <v>-817</v>
      </c>
      <c r="D1033" s="2" t="str">
        <f t="shared" si="15"/>
        <v>Error?</v>
      </c>
    </row>
    <row r="1034" spans="1:4" x14ac:dyDescent="0.2">
      <c r="A1034" s="10">
        <v>973</v>
      </c>
      <c r="D1034" s="2" t="str">
        <f t="shared" si="15"/>
        <v>OK</v>
      </c>
    </row>
    <row r="1035" spans="1:4" x14ac:dyDescent="0.2">
      <c r="A1035" s="5">
        <v>974</v>
      </c>
      <c r="B1035" s="138">
        <f>'Expenditures 15-22'!H65</f>
        <v>3873</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37412</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7801294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74867966</v>
      </c>
      <c r="C1093" s="2" t="s">
        <v>593</v>
      </c>
      <c r="D1093" s="2" t="str">
        <f t="shared" si="16"/>
        <v>Error?</v>
      </c>
    </row>
    <row r="1094" spans="1:4" x14ac:dyDescent="0.2">
      <c r="A1094" s="5">
        <v>1033</v>
      </c>
      <c r="B1094" s="138">
        <f>'Expenditures 15-22'!K16</f>
        <v>822831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5995873</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144958</v>
      </c>
      <c r="C1105" s="2" t="s">
        <v>593</v>
      </c>
      <c r="D1105" s="2" t="str">
        <f t="shared" si="16"/>
        <v>Error?</v>
      </c>
    </row>
    <row r="1106" spans="1:4" x14ac:dyDescent="0.2">
      <c r="A1106" s="5">
        <v>1045</v>
      </c>
      <c r="B1106" s="138">
        <f>'Expenditures 15-22'!K14</f>
        <v>2784373</v>
      </c>
      <c r="C1106" s="2" t="s">
        <v>593</v>
      </c>
      <c r="D1106" s="2" t="str">
        <f t="shared" si="16"/>
        <v>Error?</v>
      </c>
    </row>
    <row r="1107" spans="1:4" x14ac:dyDescent="0.2">
      <c r="A1107" s="5">
        <v>1046</v>
      </c>
      <c r="B1107" s="138">
        <f>'Expenditures 15-22'!K15</f>
        <v>495636</v>
      </c>
      <c r="C1107" s="2" t="s">
        <v>593</v>
      </c>
      <c r="D1107" s="2" t="str">
        <f t="shared" si="16"/>
        <v>Error?</v>
      </c>
    </row>
    <row r="1108" spans="1:4" x14ac:dyDescent="0.2">
      <c r="A1108" s="5">
        <v>1047</v>
      </c>
      <c r="B1108" s="138">
        <f>'Expenditures 15-22'!K33</f>
        <v>134682615</v>
      </c>
      <c r="C1108" s="2" t="s">
        <v>593</v>
      </c>
      <c r="D1108" s="2" t="str">
        <f t="shared" si="16"/>
        <v>Error?</v>
      </c>
    </row>
    <row r="1109" spans="1:4" x14ac:dyDescent="0.2">
      <c r="A1109" s="5">
        <v>1048</v>
      </c>
      <c r="B1109" s="138">
        <f>'Expenditures 15-22'!K36</f>
        <v>3070101</v>
      </c>
      <c r="C1109" s="2" t="s">
        <v>593</v>
      </c>
      <c r="D1109" s="2" t="str">
        <f t="shared" si="16"/>
        <v>Error?</v>
      </c>
    </row>
    <row r="1110" spans="1:4" x14ac:dyDescent="0.2">
      <c r="A1110" s="5">
        <v>1049</v>
      </c>
      <c r="B1110" s="138">
        <f>'Expenditures 15-22'!K37</f>
        <v>2757939</v>
      </c>
      <c r="C1110" s="2" t="s">
        <v>593</v>
      </c>
      <c r="D1110" s="2" t="str">
        <f t="shared" si="16"/>
        <v>Error?</v>
      </c>
    </row>
    <row r="1111" spans="1:4" x14ac:dyDescent="0.2">
      <c r="A1111" s="5">
        <v>1050</v>
      </c>
      <c r="B1111" s="138">
        <f>'Expenditures 15-22'!K38</f>
        <v>2037045</v>
      </c>
      <c r="C1111" s="2" t="s">
        <v>593</v>
      </c>
      <c r="D1111" s="2" t="str">
        <f t="shared" si="16"/>
        <v>Error?</v>
      </c>
    </row>
    <row r="1112" spans="1:4" x14ac:dyDescent="0.2">
      <c r="A1112" s="5">
        <v>1051</v>
      </c>
      <c r="B1112" s="138">
        <f>'Expenditures 15-22'!K39</f>
        <v>2052897</v>
      </c>
      <c r="C1112" s="2" t="s">
        <v>593</v>
      </c>
      <c r="D1112" s="2" t="str">
        <f t="shared" si="16"/>
        <v>Error?</v>
      </c>
    </row>
    <row r="1113" spans="1:4" x14ac:dyDescent="0.2">
      <c r="A1113" s="5">
        <v>1052</v>
      </c>
      <c r="B1113" s="138">
        <f>'Expenditures 15-22'!K40</f>
        <v>2541509</v>
      </c>
      <c r="C1113" s="2" t="s">
        <v>593</v>
      </c>
      <c r="D1113" s="2" t="str">
        <f t="shared" si="16"/>
        <v>Error?</v>
      </c>
    </row>
    <row r="1114" spans="1:4" x14ac:dyDescent="0.2">
      <c r="A1114" s="5">
        <v>1053</v>
      </c>
      <c r="B1114" s="138">
        <f>'Expenditures 15-22'!K41</f>
        <v>539272</v>
      </c>
      <c r="C1114" s="2" t="s">
        <v>593</v>
      </c>
      <c r="D1114" s="2" t="str">
        <f t="shared" si="16"/>
        <v>Error?</v>
      </c>
    </row>
    <row r="1115" spans="1:4" x14ac:dyDescent="0.2">
      <c r="A1115" s="5">
        <v>1054</v>
      </c>
      <c r="B1115" s="138">
        <f>'Expenditures 15-22'!K42</f>
        <v>12998763</v>
      </c>
      <c r="C1115" s="2" t="s">
        <v>593</v>
      </c>
      <c r="D1115" s="2" t="str">
        <f t="shared" si="16"/>
        <v>Error?</v>
      </c>
    </row>
    <row r="1116" spans="1:4" x14ac:dyDescent="0.2">
      <c r="A1116" s="5">
        <v>1055</v>
      </c>
      <c r="B1116" s="138">
        <f>'Expenditures 15-22'!K44</f>
        <v>5050518</v>
      </c>
      <c r="C1116" s="2" t="s">
        <v>593</v>
      </c>
      <c r="D1116" s="2" t="str">
        <f t="shared" si="16"/>
        <v>Error?</v>
      </c>
    </row>
    <row r="1117" spans="1:4" x14ac:dyDescent="0.2">
      <c r="A1117" s="5">
        <v>1056</v>
      </c>
      <c r="B1117" s="138">
        <f>'Expenditures 15-22'!K45</f>
        <v>1465650</v>
      </c>
      <c r="C1117" s="2" t="s">
        <v>593</v>
      </c>
      <c r="D1117" s="2" t="str">
        <f t="shared" si="16"/>
        <v>Error?</v>
      </c>
    </row>
    <row r="1118" spans="1:4" x14ac:dyDescent="0.2">
      <c r="A1118" s="5">
        <v>1057</v>
      </c>
      <c r="B1118" s="138">
        <f>'Expenditures 15-22'!K46</f>
        <v>576431</v>
      </c>
      <c r="C1118" s="2" t="s">
        <v>593</v>
      </c>
      <c r="D1118" s="2" t="str">
        <f t="shared" si="16"/>
        <v>Error?</v>
      </c>
    </row>
    <row r="1119" spans="1:4" x14ac:dyDescent="0.2">
      <c r="A1119" s="5">
        <v>1058</v>
      </c>
      <c r="B1119" s="138">
        <f>'Expenditures 15-22'!K47</f>
        <v>7092599</v>
      </c>
      <c r="C1119" s="2" t="s">
        <v>593</v>
      </c>
      <c r="D1119" s="2" t="str">
        <f t="shared" si="16"/>
        <v>Error?</v>
      </c>
    </row>
    <row r="1120" spans="1:4" x14ac:dyDescent="0.2">
      <c r="A1120" s="5">
        <v>1059</v>
      </c>
      <c r="B1120" s="138">
        <f>'Expenditures 15-22'!K49</f>
        <v>2245562</v>
      </c>
      <c r="C1120" s="2" t="s">
        <v>593</v>
      </c>
      <c r="D1120" s="2" t="str">
        <f t="shared" si="16"/>
        <v>Error?</v>
      </c>
    </row>
    <row r="1121" spans="1:4" x14ac:dyDescent="0.2">
      <c r="A1121" s="5">
        <v>1060</v>
      </c>
      <c r="B1121" s="138">
        <f>'Expenditures 15-22'!K50</f>
        <v>540776</v>
      </c>
      <c r="C1121" s="2" t="s">
        <v>593</v>
      </c>
      <c r="D1121" s="2" t="str">
        <f t="shared" si="16"/>
        <v>Error?</v>
      </c>
    </row>
    <row r="1122" spans="1:4" x14ac:dyDescent="0.2">
      <c r="A1122" s="5">
        <v>1061</v>
      </c>
      <c r="B1122" s="138">
        <f>'Expenditures 15-22'!K53</f>
        <v>3269927</v>
      </c>
      <c r="C1122" s="2" t="s">
        <v>593</v>
      </c>
      <c r="D1122" s="2" t="str">
        <f t="shared" si="16"/>
        <v>Error?</v>
      </c>
    </row>
    <row r="1123" spans="1:4" x14ac:dyDescent="0.2">
      <c r="A1123" s="5">
        <v>1062</v>
      </c>
      <c r="B1123" s="138">
        <f>'Expenditures 15-22'!K55</f>
        <v>12542460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12542460</v>
      </c>
      <c r="C1125" s="2" t="s">
        <v>593</v>
      </c>
      <c r="D1125" s="2" t="str">
        <f t="shared" si="16"/>
        <v>Error?</v>
      </c>
    </row>
    <row r="1126" spans="1:4" x14ac:dyDescent="0.2">
      <c r="A1126" s="5">
        <v>1065</v>
      </c>
      <c r="B1126" s="138">
        <f>'Expenditures 15-22'!K59</f>
        <v>504645</v>
      </c>
      <c r="C1126" s="2" t="s">
        <v>593</v>
      </c>
      <c r="D1126" s="2" t="str">
        <f t="shared" si="16"/>
        <v>Error?</v>
      </c>
    </row>
    <row r="1127" spans="1:4" x14ac:dyDescent="0.2">
      <c r="A1127" s="5">
        <v>1066</v>
      </c>
      <c r="B1127" s="138">
        <f>'Expenditures 15-22'!K60</f>
        <v>840863</v>
      </c>
      <c r="C1127" s="2" t="s">
        <v>593</v>
      </c>
      <c r="D1127" s="2" t="str">
        <f t="shared" si="16"/>
        <v>Error?</v>
      </c>
    </row>
    <row r="1128" spans="1:4" x14ac:dyDescent="0.2">
      <c r="A1128" s="5">
        <v>1067</v>
      </c>
      <c r="B1128" s="138">
        <f>'Expenditures 15-22'!K61</f>
        <v>1921086</v>
      </c>
      <c r="C1128" s="2" t="s">
        <v>593</v>
      </c>
      <c r="D1128" s="2" t="str">
        <f t="shared" si="16"/>
        <v>Error?</v>
      </c>
    </row>
    <row r="1129" spans="1:4" x14ac:dyDescent="0.2">
      <c r="A1129" s="5">
        <v>1068</v>
      </c>
      <c r="B1129" s="138">
        <f>'Expenditures 15-22'!K62</f>
        <v>57567</v>
      </c>
      <c r="C1129" s="2" t="s">
        <v>593</v>
      </c>
      <c r="D1129" s="2" t="str">
        <f t="shared" si="16"/>
        <v>Error?</v>
      </c>
    </row>
    <row r="1130" spans="1:4" x14ac:dyDescent="0.2">
      <c r="A1130" s="5">
        <v>1069</v>
      </c>
      <c r="B1130" s="138">
        <f>'Expenditures 15-22'!K63</f>
        <v>8030687</v>
      </c>
      <c r="C1130" s="2" t="s">
        <v>593</v>
      </c>
      <c r="D1130" s="2" t="str">
        <f t="shared" si="16"/>
        <v>Error?</v>
      </c>
    </row>
    <row r="1131" spans="1:4" x14ac:dyDescent="0.2">
      <c r="A1131" s="5">
        <v>1070</v>
      </c>
      <c r="B1131" s="138">
        <f>'Expenditures 15-22'!K64</f>
        <v>330155</v>
      </c>
      <c r="C1131" s="2" t="s">
        <v>593</v>
      </c>
      <c r="D1131" s="2" t="str">
        <f t="shared" si="16"/>
        <v>Error?</v>
      </c>
    </row>
    <row r="1132" spans="1:4" x14ac:dyDescent="0.2">
      <c r="A1132" s="10">
        <v>1071</v>
      </c>
      <c r="D1132" s="2" t="str">
        <f t="shared" si="16"/>
        <v>OK</v>
      </c>
    </row>
    <row r="1133" spans="1:4" x14ac:dyDescent="0.2">
      <c r="A1133" s="5">
        <v>1072</v>
      </c>
      <c r="B1133" s="138">
        <f>'Expenditures 15-22'!K65</f>
        <v>11685003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53176</v>
      </c>
      <c r="C1135" s="2" t="s">
        <v>593</v>
      </c>
      <c r="D1135" s="2" t="str">
        <f t="shared" si="16"/>
        <v>Error?</v>
      </c>
    </row>
    <row r="1136" spans="1:4" x14ac:dyDescent="0.2">
      <c r="A1136" s="5">
        <v>1075</v>
      </c>
      <c r="B1136" s="138">
        <f>'Expenditures 15-22'!K69</f>
        <v>1402198</v>
      </c>
      <c r="C1136" s="2" t="s">
        <v>593</v>
      </c>
      <c r="D1136" s="2" t="str">
        <f t="shared" si="16"/>
        <v>Error?</v>
      </c>
    </row>
    <row r="1137" spans="1:4" x14ac:dyDescent="0.2">
      <c r="A1137" s="5">
        <v>1076</v>
      </c>
      <c r="B1137" s="138">
        <f>'Expenditures 15-22'!K70</f>
        <v>3984590</v>
      </c>
      <c r="C1137" s="2" t="s">
        <v>593</v>
      </c>
      <c r="D1137" s="2" t="str">
        <f t="shared" si="16"/>
        <v>Error?</v>
      </c>
    </row>
    <row r="1138" spans="1:4" x14ac:dyDescent="0.2">
      <c r="A1138" s="10">
        <v>1077</v>
      </c>
      <c r="D1138" s="2" t="str">
        <f t="shared" si="16"/>
        <v>OK</v>
      </c>
    </row>
    <row r="1139" spans="1:4" x14ac:dyDescent="0.2">
      <c r="A1139" s="5">
        <v>1078</v>
      </c>
      <c r="B1139" s="138">
        <f>'Expenditures 15-22'!K71</f>
        <v>4126303</v>
      </c>
      <c r="C1139" s="2" t="s">
        <v>593</v>
      </c>
      <c r="D1139" s="2" t="str">
        <f t="shared" si="16"/>
        <v>Error?</v>
      </c>
    </row>
    <row r="1140" spans="1:4" x14ac:dyDescent="0.2">
      <c r="A1140" s="10">
        <v>1079</v>
      </c>
      <c r="D1140" s="2" t="str">
        <f t="shared" si="16"/>
        <v>OK</v>
      </c>
    </row>
    <row r="1141" spans="1:4" x14ac:dyDescent="0.2">
      <c r="A1141" s="5">
        <v>1080</v>
      </c>
      <c r="B1141" s="138">
        <f>'Expenditures 15-22'!K72</f>
        <v>9566267</v>
      </c>
      <c r="C1141" s="2" t="s">
        <v>593</v>
      </c>
      <c r="D1141" s="2" t="str">
        <f t="shared" si="16"/>
        <v>Error?</v>
      </c>
    </row>
    <row r="1142" spans="1:4" x14ac:dyDescent="0.2">
      <c r="A1142" s="5">
        <v>1081</v>
      </c>
      <c r="B1142" s="138">
        <f>'Expenditures 15-22'!K73</f>
        <v>8003</v>
      </c>
      <c r="C1142" s="2" t="s">
        <v>593</v>
      </c>
      <c r="D1142" s="2" t="str">
        <f t="shared" si="16"/>
        <v>Error?</v>
      </c>
    </row>
    <row r="1143" spans="1:4" x14ac:dyDescent="0.2">
      <c r="A1143" s="5">
        <v>1082</v>
      </c>
      <c r="B1143" s="138">
        <f>'Expenditures 15-22'!K74</f>
        <v>57163022</v>
      </c>
      <c r="C1143" s="2" t="s">
        <v>593</v>
      </c>
      <c r="D1143" s="2" t="str">
        <f t="shared" si="16"/>
        <v>Error?</v>
      </c>
    </row>
    <row r="1144" spans="1:4" x14ac:dyDescent="0.2">
      <c r="A1144" s="5">
        <v>1083</v>
      </c>
      <c r="B1144" s="138">
        <f>'Expenditures 15-22'!K75</f>
        <v>329455</v>
      </c>
      <c r="C1144" s="2" t="s">
        <v>593</v>
      </c>
      <c r="D1144" s="2" t="str">
        <f t="shared" si="16"/>
        <v>Error?</v>
      </c>
    </row>
    <row r="1145" spans="1:4" x14ac:dyDescent="0.2">
      <c r="A1145" s="5">
        <v>1084</v>
      </c>
      <c r="B1145" s="138">
        <f>'Expenditures 15-22'!K102</f>
        <v>0</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192175092</v>
      </c>
      <c r="C1152" s="2" t="s">
        <v>593</v>
      </c>
      <c r="D1152" s="2" t="str">
        <f t="shared" si="17"/>
        <v>Error?</v>
      </c>
    </row>
    <row r="1153" spans="1:4" x14ac:dyDescent="0.2">
      <c r="A1153" s="5">
        <v>1092</v>
      </c>
      <c r="B1153" s="138">
        <f>'Expenditures 15-22'!K115</f>
        <v>10635322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55148</v>
      </c>
      <c r="D1220" s="2" t="str">
        <f t="shared" si="18"/>
        <v>Error?</v>
      </c>
    </row>
    <row r="1221" spans="1:4" x14ac:dyDescent="0.2">
      <c r="A1221" s="5">
        <v>1160</v>
      </c>
      <c r="B1221" s="138">
        <f>'Expenditures 15-22'!C124</f>
        <v>5144328</v>
      </c>
      <c r="D1221" s="2" t="str">
        <f t="shared" si="18"/>
        <v>Error?</v>
      </c>
    </row>
    <row r="1222" spans="1:4" x14ac:dyDescent="0.2">
      <c r="A1222" s="10">
        <v>1161</v>
      </c>
      <c r="D1222" s="2" t="str">
        <f t="shared" si="18"/>
        <v>OK</v>
      </c>
    </row>
    <row r="1223" spans="1:4" x14ac:dyDescent="0.2">
      <c r="A1223" s="5">
        <v>1162</v>
      </c>
      <c r="B1223" s="138">
        <f>'Expenditures 15-22'!C127</f>
        <v>5199476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5199476</v>
      </c>
      <c r="C1225" s="2" t="s">
        <v>593</v>
      </c>
      <c r="D1225" s="2" t="str">
        <f t="shared" si="18"/>
        <v>Error?</v>
      </c>
    </row>
    <row r="1226" spans="1:4" x14ac:dyDescent="0.2">
      <c r="A1226" s="5">
        <v>1165</v>
      </c>
      <c r="B1226" s="138">
        <f>'Expenditures 15-22'!C151</f>
        <v>5199476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983367</v>
      </c>
      <c r="D1229" s="2" t="str">
        <f t="shared" si="18"/>
        <v>Error?</v>
      </c>
    </row>
    <row r="1230" spans="1:4" x14ac:dyDescent="0.2">
      <c r="A1230" s="10">
        <v>1169</v>
      </c>
      <c r="D1230" s="2" t="str">
        <f t="shared" si="18"/>
        <v>OK</v>
      </c>
    </row>
    <row r="1231" spans="1:4" x14ac:dyDescent="0.2">
      <c r="A1231" s="5">
        <v>1170</v>
      </c>
      <c r="B1231" s="138">
        <f>'Expenditures 15-22'!D127</f>
        <v>983367</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983367</v>
      </c>
      <c r="C1233" s="2" t="s">
        <v>593</v>
      </c>
      <c r="D1233" s="2" t="str">
        <f t="shared" si="18"/>
        <v>Error?</v>
      </c>
    </row>
    <row r="1234" spans="1:4" x14ac:dyDescent="0.2">
      <c r="A1234" s="5">
        <v>1173</v>
      </c>
      <c r="B1234" s="138">
        <f>'Expenditures 15-22'!D151</f>
        <v>983367</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144664</v>
      </c>
      <c r="D1236" s="2" t="str">
        <f t="shared" si="18"/>
        <v>Error?</v>
      </c>
    </row>
    <row r="1237" spans="1:4" x14ac:dyDescent="0.2">
      <c r="A1237" s="5">
        <v>1176</v>
      </c>
      <c r="B1237" s="138">
        <f>'Expenditures 15-22'!E124</f>
        <v>5735422</v>
      </c>
      <c r="D1237" s="2" t="str">
        <f t="shared" si="18"/>
        <v>Error?</v>
      </c>
    </row>
    <row r="1238" spans="1:4" x14ac:dyDescent="0.2">
      <c r="A1238" s="10">
        <v>1177</v>
      </c>
      <c r="D1238" s="2" t="str">
        <f t="shared" si="18"/>
        <v>OK</v>
      </c>
    </row>
    <row r="1239" spans="1:4" x14ac:dyDescent="0.2">
      <c r="A1239" s="5">
        <v>1178</v>
      </c>
      <c r="B1239" s="138">
        <f>'Expenditures 15-22'!E127</f>
        <v>5880086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5880086</v>
      </c>
      <c r="C1241" s="2" t="s">
        <v>593</v>
      </c>
      <c r="D1241" s="2" t="str">
        <f t="shared" si="18"/>
        <v>Error?</v>
      </c>
    </row>
    <row r="1242" spans="1:4" x14ac:dyDescent="0.2">
      <c r="A1242" s="5">
        <v>1181</v>
      </c>
      <c r="B1242" s="138">
        <f>'Expenditures 15-22'!E151</f>
        <v>5880086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3171635</v>
      </c>
      <c r="D1245" s="2" t="str">
        <f t="shared" si="18"/>
        <v>Error?</v>
      </c>
    </row>
    <row r="1246" spans="1:4" x14ac:dyDescent="0.2">
      <c r="A1246" s="10">
        <v>1185</v>
      </c>
      <c r="D1246" s="2" t="str">
        <f t="shared" si="18"/>
        <v>OK</v>
      </c>
    </row>
    <row r="1247" spans="1:4" x14ac:dyDescent="0.2">
      <c r="A1247" s="5">
        <v>1186</v>
      </c>
      <c r="B1247" s="138">
        <f>'Expenditures 15-22'!F127</f>
        <v>3171635</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3171635</v>
      </c>
      <c r="C1249" s="2" t="s">
        <v>593</v>
      </c>
      <c r="D1249" s="2" t="str">
        <f t="shared" si="18"/>
        <v>Error?</v>
      </c>
    </row>
    <row r="1250" spans="1:4" x14ac:dyDescent="0.2">
      <c r="A1250" s="5">
        <v>1189</v>
      </c>
      <c r="B1250" s="138">
        <f>'Expenditures 15-22'!F151</f>
        <v>3171635</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2333553</v>
      </c>
      <c r="D1252" s="2" t="str">
        <f t="shared" si="18"/>
        <v>Error?</v>
      </c>
    </row>
    <row r="1253" spans="1:4" x14ac:dyDescent="0.2">
      <c r="A1253" s="5">
        <v>1192</v>
      </c>
      <c r="B1253" s="138">
        <f>'Expenditures 15-22'!G124</f>
        <v>183173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2516726</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2516726</v>
      </c>
      <c r="C1258" s="2" t="s">
        <v>593</v>
      </c>
      <c r="D1258" s="2" t="str">
        <f t="shared" si="18"/>
        <v>Error?</v>
      </c>
    </row>
    <row r="1259" spans="1:4" x14ac:dyDescent="0.2">
      <c r="A1259" s="5">
        <v>1198</v>
      </c>
      <c r="B1259" s="138">
        <f>'Expenditures 15-22'!G151</f>
        <v>2516726</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43</v>
      </c>
      <c r="C1274" s="2" t="s">
        <v>593</v>
      </c>
      <c r="D1274" s="2" t="str">
        <f t="shared" si="18"/>
        <v>Error?</v>
      </c>
    </row>
    <row r="1275" spans="1:4" x14ac:dyDescent="0.2">
      <c r="A1275" s="5">
        <v>1214</v>
      </c>
      <c r="B1275" s="138">
        <f>'Expenditures 15-22'!K123</f>
        <v>3421794</v>
      </c>
      <c r="C1275" s="2" t="s">
        <v>593</v>
      </c>
      <c r="D1275" s="2" t="str">
        <f t="shared" si="18"/>
        <v>Error?</v>
      </c>
    </row>
    <row r="1276" spans="1:4" x14ac:dyDescent="0.2">
      <c r="A1276" s="5">
        <v>1215</v>
      </c>
      <c r="B1276" s="138">
        <f>'Expenditures 15-22'!K124</f>
        <v>15247915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18669752</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18669752</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18669752</v>
      </c>
      <c r="C1288" s="2" t="s">
        <v>593</v>
      </c>
      <c r="D1288" s="2" t="str">
        <f t="shared" si="19"/>
        <v>Error?</v>
      </c>
    </row>
    <row r="1289" spans="1:4" x14ac:dyDescent="0.2">
      <c r="A1289" s="5">
        <v>1228</v>
      </c>
      <c r="B1289" s="138">
        <f>'Expenditures 15-22'!K152</f>
        <v>-763718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4878777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28267842</v>
      </c>
      <c r="D1315" s="2" t="str">
        <f t="shared" si="19"/>
        <v>Error?</v>
      </c>
    </row>
    <row r="1316" spans="1:4" x14ac:dyDescent="0.2">
      <c r="A1316" s="5">
        <v>1255</v>
      </c>
      <c r="B1316" s="138">
        <f>'Expenditures 15-22'!H171</f>
        <v>32434</v>
      </c>
      <c r="D1316" s="2" t="str">
        <f t="shared" si="19"/>
        <v>Error?</v>
      </c>
    </row>
    <row r="1317" spans="1:4" x14ac:dyDescent="0.2">
      <c r="A1317" s="5">
        <v>1256</v>
      </c>
      <c r="B1317" s="138">
        <f>'Expenditures 15-22'!H172</f>
        <v>33179053</v>
      </c>
      <c r="C1317" s="2" t="s">
        <v>593</v>
      </c>
      <c r="D1317" s="2" t="str">
        <f t="shared" si="19"/>
        <v>Error?</v>
      </c>
    </row>
    <row r="1318" spans="1:4" x14ac:dyDescent="0.2">
      <c r="A1318" s="5">
        <v>1257</v>
      </c>
      <c r="B1318" s="138">
        <f>'Expenditures 15-22'!H174</f>
        <v>33179053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4878777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28267842</v>
      </c>
      <c r="C1329" s="2" t="s">
        <v>593</v>
      </c>
      <c r="D1329" s="2" t="str">
        <f t="shared" si="19"/>
        <v>Error?</v>
      </c>
    </row>
    <row r="1330" spans="1:4" x14ac:dyDescent="0.2">
      <c r="A1330" s="5">
        <v>1269</v>
      </c>
      <c r="B1330" s="138">
        <f>'Expenditures 15-22'!K171</f>
        <v>32434</v>
      </c>
      <c r="C1330" s="2" t="s">
        <v>593</v>
      </c>
      <c r="D1330" s="2" t="str">
        <f t="shared" si="19"/>
        <v>Error?</v>
      </c>
    </row>
    <row r="1331" spans="1:4" x14ac:dyDescent="0.2">
      <c r="A1331" s="5">
        <v>1270</v>
      </c>
      <c r="B1331" s="138">
        <f>'Expenditures 15-22'!K172</f>
        <v>33179053</v>
      </c>
      <c r="C1331" s="2" t="s">
        <v>593</v>
      </c>
      <c r="D1331" s="2" t="str">
        <f t="shared" si="19"/>
        <v>Error?</v>
      </c>
    </row>
    <row r="1332" spans="1:4" x14ac:dyDescent="0.2">
      <c r="A1332" s="5">
        <v>1271</v>
      </c>
      <c r="B1332" s="138">
        <f>'Expenditures 15-22'!K174</f>
        <v>33179053</v>
      </c>
      <c r="C1332" s="2" t="s">
        <v>593</v>
      </c>
      <c r="D1332" s="2" t="str">
        <f t="shared" si="19"/>
        <v>Error?</v>
      </c>
    </row>
    <row r="1333" spans="1:4" x14ac:dyDescent="0.2">
      <c r="A1333" s="5">
        <v>1272</v>
      </c>
      <c r="B1333" s="138">
        <f>'Expenditures 15-22'!K175</f>
        <v>-2095534</v>
      </c>
      <c r="C1333" s="2" t="s">
        <v>593</v>
      </c>
      <c r="D1333" s="2" t="str">
        <f t="shared" si="19"/>
        <v>Error?</v>
      </c>
    </row>
    <row r="1334" spans="1:4" x14ac:dyDescent="0.2">
      <c r="A1334" s="10">
        <v>1273</v>
      </c>
      <c r="D1334" s="2" t="str">
        <f t="shared" si="19"/>
        <v>OK</v>
      </c>
    </row>
    <row r="1335" spans="1:4" x14ac:dyDescent="0.2">
      <c r="A1335" s="5">
        <v>1274</v>
      </c>
      <c r="B1335" s="138">
        <f>'Expenditures 15-22'!C182</f>
        <v>7411679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7411679</v>
      </c>
      <c r="C1339" s="2" t="s">
        <v>593</v>
      </c>
      <c r="D1339" s="2" t="str">
        <f t="shared" si="19"/>
        <v>Error?</v>
      </c>
    </row>
    <row r="1340" spans="1:4" x14ac:dyDescent="0.2">
      <c r="A1340" s="5">
        <v>1279</v>
      </c>
      <c r="B1340" s="138">
        <f>'Expenditures 15-22'!C210</f>
        <v>7411679</v>
      </c>
      <c r="C1340" s="2" t="s">
        <v>593</v>
      </c>
      <c r="D1340" s="2" t="str">
        <f t="shared" si="19"/>
        <v>Error?</v>
      </c>
    </row>
    <row r="1341" spans="1:4" x14ac:dyDescent="0.2">
      <c r="A1341" s="5">
        <v>1280</v>
      </c>
      <c r="B1341" s="138">
        <f>'Expenditures 15-22'!D182</f>
        <v>1512134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1512134</v>
      </c>
      <c r="C1345" s="2" t="s">
        <v>593</v>
      </c>
      <c r="D1345" s="2" t="str">
        <f t="shared" si="20"/>
        <v>Error?</v>
      </c>
    </row>
    <row r="1346" spans="1:4" x14ac:dyDescent="0.2">
      <c r="A1346" s="5">
        <v>1285</v>
      </c>
      <c r="B1346" s="138">
        <f>'Expenditures 15-22'!D210</f>
        <v>1512134</v>
      </c>
      <c r="C1346" s="2" t="s">
        <v>593</v>
      </c>
      <c r="D1346" s="2" t="str">
        <f t="shared" si="20"/>
        <v>Error?</v>
      </c>
    </row>
    <row r="1347" spans="1:4" x14ac:dyDescent="0.2">
      <c r="A1347" s="5">
        <v>1286</v>
      </c>
      <c r="B1347" s="138">
        <f>'Expenditures 15-22'!E182</f>
        <v>3697616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3697616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3697616</v>
      </c>
      <c r="C1353" s="2" t="s">
        <v>593</v>
      </c>
      <c r="D1353" s="2" t="str">
        <f t="shared" si="20"/>
        <v>Error?</v>
      </c>
    </row>
    <row r="1354" spans="1:4" x14ac:dyDescent="0.2">
      <c r="A1354" s="5">
        <v>1293</v>
      </c>
      <c r="B1354" s="138">
        <f>'Expenditures 15-22'!F182</f>
        <v>1063978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1063978</v>
      </c>
      <c r="C1358" s="2" t="s">
        <v>593</v>
      </c>
      <c r="D1358" s="2" t="str">
        <f t="shared" si="20"/>
        <v>Error?</v>
      </c>
    </row>
    <row r="1359" spans="1:4" x14ac:dyDescent="0.2">
      <c r="A1359" s="5">
        <v>1298</v>
      </c>
      <c r="B1359" s="138">
        <f>'Expenditures 15-22'!F210</f>
        <v>1063978</v>
      </c>
      <c r="C1359" s="2" t="s">
        <v>593</v>
      </c>
      <c r="D1359" s="2" t="str">
        <f t="shared" si="20"/>
        <v>Error?</v>
      </c>
    </row>
    <row r="1360" spans="1:4" x14ac:dyDescent="0.2">
      <c r="A1360" s="5">
        <v>1299</v>
      </c>
      <c r="B1360" s="138">
        <f>'Expenditures 15-22'!G182</f>
        <v>26169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26169</v>
      </c>
      <c r="C1364" s="2" t="s">
        <v>593</v>
      </c>
      <c r="D1364" s="2" t="str">
        <f t="shared" si="20"/>
        <v>Error?</v>
      </c>
    </row>
    <row r="1365" spans="1:4" x14ac:dyDescent="0.2">
      <c r="A1365" s="5">
        <v>1304</v>
      </c>
      <c r="B1365" s="138">
        <f>'Expenditures 15-22'!G210</f>
        <v>26169</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13735284</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13735284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13735284</v>
      </c>
      <c r="C1388" s="2" t="s">
        <v>593</v>
      </c>
      <c r="D1388" s="2" t="str">
        <f t="shared" si="20"/>
        <v>Error?</v>
      </c>
    </row>
    <row r="1389" spans="1:4" x14ac:dyDescent="0.2">
      <c r="A1389" s="5">
        <v>1328</v>
      </c>
      <c r="B1389" s="138">
        <f>'Expenditures 15-22'!K211</f>
        <v>370001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9460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79011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123449</v>
      </c>
      <c r="D1408" s="2" t="str">
        <f t="shared" si="21"/>
        <v>Error?</v>
      </c>
    </row>
    <row r="1409" spans="1:4" x14ac:dyDescent="0.2">
      <c r="A1409" s="5">
        <v>1348</v>
      </c>
      <c r="B1409" s="138">
        <f>'Expenditures 15-22'!D224</f>
        <v>73155</v>
      </c>
      <c r="D1409" s="2" t="str">
        <f t="shared" si="21"/>
        <v>Error?</v>
      </c>
    </row>
    <row r="1410" spans="1:4" x14ac:dyDescent="0.2">
      <c r="A1410" s="5">
        <v>1349</v>
      </c>
      <c r="B1410" s="138">
        <f>'Expenditures 15-22'!D229</f>
        <v>2402160</v>
      </c>
      <c r="C1410" s="2" t="s">
        <v>593</v>
      </c>
      <c r="D1410" s="2" t="str">
        <f t="shared" si="21"/>
        <v>Error?</v>
      </c>
    </row>
    <row r="1411" spans="1:4" x14ac:dyDescent="0.2">
      <c r="A1411" s="5">
        <v>1350</v>
      </c>
      <c r="B1411" s="138">
        <f>'Expenditures 15-22'!D232</f>
        <v>82009</v>
      </c>
      <c r="D1411" s="2" t="str">
        <f t="shared" si="21"/>
        <v>Error?</v>
      </c>
    </row>
    <row r="1412" spans="1:4" x14ac:dyDescent="0.2">
      <c r="A1412" s="5">
        <v>1351</v>
      </c>
      <c r="B1412" s="138">
        <f>'Expenditures 15-22'!D233</f>
        <v>34683</v>
      </c>
      <c r="D1412" s="2" t="str">
        <f t="shared" si="21"/>
        <v>Error?</v>
      </c>
    </row>
    <row r="1413" spans="1:4" x14ac:dyDescent="0.2">
      <c r="A1413" s="5">
        <v>1352</v>
      </c>
      <c r="B1413" s="138">
        <f>'Expenditures 15-22'!D234</f>
        <v>90410</v>
      </c>
      <c r="D1413" s="2" t="str">
        <f t="shared" si="21"/>
        <v>Error?</v>
      </c>
    </row>
    <row r="1414" spans="1:4" x14ac:dyDescent="0.2">
      <c r="A1414" s="5">
        <v>1353</v>
      </c>
      <c r="B1414" s="138">
        <f>'Expenditures 15-22'!D235</f>
        <v>24910</v>
      </c>
      <c r="D1414" s="2" t="str">
        <f t="shared" si="21"/>
        <v>Error?</v>
      </c>
    </row>
    <row r="1415" spans="1:4" x14ac:dyDescent="0.2">
      <c r="A1415" s="5">
        <v>1354</v>
      </c>
      <c r="B1415" s="138">
        <f>'Expenditures 15-22'!D236</f>
        <v>30836</v>
      </c>
      <c r="D1415" s="2" t="str">
        <f t="shared" si="21"/>
        <v>Error?</v>
      </c>
    </row>
    <row r="1416" spans="1:4" x14ac:dyDescent="0.2">
      <c r="A1416" s="5">
        <v>1355</v>
      </c>
      <c r="B1416" s="138">
        <f>'Expenditures 15-22'!D237</f>
        <v>9399</v>
      </c>
      <c r="D1416" s="2" t="str">
        <f t="shared" si="21"/>
        <v>Error?</v>
      </c>
    </row>
    <row r="1417" spans="1:4" x14ac:dyDescent="0.2">
      <c r="A1417" s="5">
        <v>1356</v>
      </c>
      <c r="B1417" s="138">
        <f>'Expenditures 15-22'!D238</f>
        <v>272247</v>
      </c>
      <c r="C1417" s="2" t="s">
        <v>593</v>
      </c>
      <c r="D1417" s="2" t="str">
        <f t="shared" si="21"/>
        <v>Error?</v>
      </c>
    </row>
    <row r="1418" spans="1:4" x14ac:dyDescent="0.2">
      <c r="A1418" s="5">
        <v>1357</v>
      </c>
      <c r="B1418" s="138">
        <f>'Expenditures 15-22'!D240</f>
        <v>73174</v>
      </c>
      <c r="D1418" s="2" t="str">
        <f t="shared" si="21"/>
        <v>Error?</v>
      </c>
    </row>
    <row r="1419" spans="1:4" x14ac:dyDescent="0.2">
      <c r="A1419" s="5">
        <v>1358</v>
      </c>
      <c r="B1419" s="138">
        <f>'Expenditures 15-22'!D241</f>
        <v>25415</v>
      </c>
      <c r="D1419" s="2" t="str">
        <f t="shared" si="21"/>
        <v>Error?</v>
      </c>
    </row>
    <row r="1420" spans="1:4" x14ac:dyDescent="0.2">
      <c r="A1420" s="5">
        <v>1359</v>
      </c>
      <c r="B1420" s="138">
        <f>'Expenditures 15-22'!D242</f>
        <v>11051</v>
      </c>
      <c r="D1420" s="2" t="str">
        <f t="shared" si="21"/>
        <v>Error?</v>
      </c>
    </row>
    <row r="1421" spans="1:4" x14ac:dyDescent="0.2">
      <c r="A1421" s="5">
        <v>1360</v>
      </c>
      <c r="B1421" s="138">
        <f>'Expenditures 15-22'!D243</f>
        <v>109640</v>
      </c>
      <c r="C1421" s="2" t="s">
        <v>593</v>
      </c>
      <c r="D1421" s="2" t="str">
        <f t="shared" si="21"/>
        <v>Error?</v>
      </c>
    </row>
    <row r="1422" spans="1:4" x14ac:dyDescent="0.2">
      <c r="A1422" s="5">
        <v>1361</v>
      </c>
      <c r="B1422" s="138">
        <f>'Expenditures 15-22'!D245</f>
        <v>21928</v>
      </c>
      <c r="D1422" s="2" t="str">
        <f t="shared" si="21"/>
        <v>Error?</v>
      </c>
    </row>
    <row r="1423" spans="1:4" x14ac:dyDescent="0.2">
      <c r="A1423" s="5">
        <v>1362</v>
      </c>
      <c r="B1423" s="138">
        <f>'Expenditures 15-22'!D246</f>
        <v>13267</v>
      </c>
      <c r="D1423" s="2" t="str">
        <f t="shared" si="21"/>
        <v>Error?</v>
      </c>
    </row>
    <row r="1424" spans="1:4" x14ac:dyDescent="0.2">
      <c r="A1424" s="5">
        <v>1363</v>
      </c>
      <c r="B1424" s="138">
        <f>'Expenditures 15-22'!D257</f>
        <v>78975</v>
      </c>
      <c r="C1424" s="2" t="s">
        <v>593</v>
      </c>
      <c r="D1424" s="2" t="str">
        <f t="shared" si="21"/>
        <v>Error?</v>
      </c>
    </row>
    <row r="1425" spans="1:4" x14ac:dyDescent="0.2">
      <c r="A1425" s="5">
        <v>1364</v>
      </c>
      <c r="B1425" s="138">
        <f>'Expenditures 15-22'!D259</f>
        <v>639012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639012</v>
      </c>
      <c r="C1427" s="2" t="s">
        <v>593</v>
      </c>
      <c r="D1427" s="2" t="str">
        <f t="shared" si="21"/>
        <v>Error?</v>
      </c>
    </row>
    <row r="1428" spans="1:4" x14ac:dyDescent="0.2">
      <c r="A1428" s="5">
        <v>1367</v>
      </c>
      <c r="B1428" s="138">
        <f>'Expenditures 15-22'!D263</f>
        <v>26544</v>
      </c>
      <c r="D1428" s="2" t="str">
        <f t="shared" si="21"/>
        <v>Error?</v>
      </c>
    </row>
    <row r="1429" spans="1:4" x14ac:dyDescent="0.2">
      <c r="A1429" s="5">
        <v>1368</v>
      </c>
      <c r="B1429" s="138">
        <f>'Expenditures 15-22'!D264</f>
        <v>360050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1182011</v>
      </c>
      <c r="D1431" s="2" t="str">
        <f t="shared" si="21"/>
        <v>Error?</v>
      </c>
    </row>
    <row r="1432" spans="1:4" x14ac:dyDescent="0.2">
      <c r="A1432" s="5">
        <v>1371</v>
      </c>
      <c r="B1432" s="138">
        <f>'Expenditures 15-22'!D267</f>
        <v>1219454</v>
      </c>
      <c r="D1432" s="2" t="str">
        <f t="shared" si="21"/>
        <v>Error?</v>
      </c>
    </row>
    <row r="1433" spans="1:4" x14ac:dyDescent="0.2">
      <c r="A1433" s="5">
        <v>1372</v>
      </c>
      <c r="B1433" s="138">
        <f>'Expenditures 15-22'!D268</f>
        <v>2259</v>
      </c>
      <c r="D1433" s="2" t="str">
        <f t="shared" si="21"/>
        <v>Error?</v>
      </c>
    </row>
    <row r="1434" spans="1:4" x14ac:dyDescent="0.2">
      <c r="A1434" s="5">
        <v>1373</v>
      </c>
      <c r="B1434" s="138">
        <f>'Expenditures 15-22'!D269</f>
        <v>25230</v>
      </c>
      <c r="D1434" s="2" t="str">
        <f t="shared" si="21"/>
        <v>Error?</v>
      </c>
    </row>
    <row r="1435" spans="1:4" x14ac:dyDescent="0.2">
      <c r="A1435" s="10">
        <v>1374</v>
      </c>
      <c r="D1435" s="2" t="str">
        <f t="shared" si="21"/>
        <v>OK</v>
      </c>
    </row>
    <row r="1436" spans="1:4" x14ac:dyDescent="0.2">
      <c r="A1436" s="5">
        <v>1375</v>
      </c>
      <c r="B1436" s="138">
        <f>'Expenditures 15-22'!D270</f>
        <v>2815548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87015</v>
      </c>
      <c r="D1439" s="2" t="str">
        <f t="shared" si="21"/>
        <v>Error?</v>
      </c>
    </row>
    <row r="1440" spans="1:4" x14ac:dyDescent="0.2">
      <c r="A1440" s="5">
        <v>1379</v>
      </c>
      <c r="B1440" s="138">
        <f>'Expenditures 15-22'!D275</f>
        <v>109150</v>
      </c>
      <c r="D1440" s="2" t="str">
        <f t="shared" si="21"/>
        <v>Error?</v>
      </c>
    </row>
    <row r="1441" spans="1:4" x14ac:dyDescent="0.2">
      <c r="A1441" s="10">
        <v>1380</v>
      </c>
      <c r="D1441" s="2" t="str">
        <f t="shared" si="21"/>
        <v>OK</v>
      </c>
    </row>
    <row r="1442" spans="1:4" x14ac:dyDescent="0.2">
      <c r="A1442" s="5">
        <v>1381</v>
      </c>
      <c r="B1442" s="138">
        <f>'Expenditures 15-22'!D276</f>
        <v>385875</v>
      </c>
      <c r="D1442" s="2" t="str">
        <f t="shared" si="21"/>
        <v>Error?</v>
      </c>
    </row>
    <row r="1443" spans="1:4" x14ac:dyDescent="0.2">
      <c r="A1443" s="10">
        <v>1382</v>
      </c>
      <c r="D1443" s="2" t="str">
        <f t="shared" si="21"/>
        <v>OK</v>
      </c>
    </row>
    <row r="1444" spans="1:4" x14ac:dyDescent="0.2">
      <c r="A1444" s="5">
        <v>1383</v>
      </c>
      <c r="B1444" s="138">
        <f>'Expenditures 15-22'!D277</f>
        <v>582040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4497462</v>
      </c>
      <c r="C1446" s="2" t="s">
        <v>593</v>
      </c>
      <c r="D1446" s="2" t="str">
        <f t="shared" si="21"/>
        <v>Error?</v>
      </c>
    </row>
    <row r="1447" spans="1:4" x14ac:dyDescent="0.2">
      <c r="A1447" s="5">
        <v>1386</v>
      </c>
      <c r="B1447" s="138">
        <f>'Expenditures 15-22'!D280</f>
        <v>674</v>
      </c>
      <c r="D1447" s="2" t="str">
        <f t="shared" si="21"/>
        <v>Error?</v>
      </c>
    </row>
    <row r="1448" spans="1:4" x14ac:dyDescent="0.2">
      <c r="A1448" s="5">
        <v>1387</v>
      </c>
      <c r="B1448" s="138">
        <f>'Expenditures 15-22'!D295</f>
        <v>6900296</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9460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79011</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123449</v>
      </c>
      <c r="C1472" s="2" t="s">
        <v>593</v>
      </c>
      <c r="D1472" s="2" t="str">
        <f t="shared" si="22"/>
        <v>Error?</v>
      </c>
    </row>
    <row r="1473" spans="1:4" x14ac:dyDescent="0.2">
      <c r="A1473" s="5">
        <v>1412</v>
      </c>
      <c r="B1473" s="138">
        <f>'Expenditures 15-22'!K224</f>
        <v>73155</v>
      </c>
      <c r="C1473" s="2" t="s">
        <v>593</v>
      </c>
      <c r="D1473" s="2" t="str">
        <f t="shared" si="22"/>
        <v>Error?</v>
      </c>
    </row>
    <row r="1474" spans="1:4" x14ac:dyDescent="0.2">
      <c r="A1474" s="5">
        <v>1413</v>
      </c>
      <c r="B1474" s="138">
        <f>'Expenditures 15-22'!K229</f>
        <v>2402160</v>
      </c>
      <c r="C1474" s="2" t="s">
        <v>593</v>
      </c>
      <c r="D1474" s="2" t="str">
        <f t="shared" si="22"/>
        <v>Error?</v>
      </c>
    </row>
    <row r="1475" spans="1:4" x14ac:dyDescent="0.2">
      <c r="A1475" s="5">
        <v>1414</v>
      </c>
      <c r="B1475" s="138">
        <f>'Expenditures 15-22'!K232</f>
        <v>82009</v>
      </c>
      <c r="C1475" s="2" t="s">
        <v>593</v>
      </c>
      <c r="D1475" s="2" t="str">
        <f t="shared" si="22"/>
        <v>Error?</v>
      </c>
    </row>
    <row r="1476" spans="1:4" x14ac:dyDescent="0.2">
      <c r="A1476" s="5">
        <v>1415</v>
      </c>
      <c r="B1476" s="138">
        <f>'Expenditures 15-22'!K233</f>
        <v>34683</v>
      </c>
      <c r="C1476" s="2" t="s">
        <v>593</v>
      </c>
      <c r="D1476" s="2" t="str">
        <f t="shared" si="22"/>
        <v>Error?</v>
      </c>
    </row>
    <row r="1477" spans="1:4" x14ac:dyDescent="0.2">
      <c r="A1477" s="5">
        <v>1416</v>
      </c>
      <c r="B1477" s="138">
        <f>'Expenditures 15-22'!K234</f>
        <v>90410</v>
      </c>
      <c r="C1477" s="2" t="s">
        <v>593</v>
      </c>
      <c r="D1477" s="2" t="str">
        <f t="shared" si="22"/>
        <v>Error?</v>
      </c>
    </row>
    <row r="1478" spans="1:4" x14ac:dyDescent="0.2">
      <c r="A1478" s="5">
        <v>1417</v>
      </c>
      <c r="B1478" s="138">
        <f>'Expenditures 15-22'!K235</f>
        <v>24910</v>
      </c>
      <c r="C1478" s="2" t="s">
        <v>593</v>
      </c>
      <c r="D1478" s="2" t="str">
        <f t="shared" si="22"/>
        <v>Error?</v>
      </c>
    </row>
    <row r="1479" spans="1:4" x14ac:dyDescent="0.2">
      <c r="A1479" s="5">
        <v>1418</v>
      </c>
      <c r="B1479" s="138">
        <f>'Expenditures 15-22'!K236</f>
        <v>30836</v>
      </c>
      <c r="C1479" s="2" t="s">
        <v>593</v>
      </c>
      <c r="D1479" s="2" t="str">
        <f t="shared" si="22"/>
        <v>Error?</v>
      </c>
    </row>
    <row r="1480" spans="1:4" x14ac:dyDescent="0.2">
      <c r="A1480" s="5">
        <v>1419</v>
      </c>
      <c r="B1480" s="138">
        <f>'Expenditures 15-22'!K237</f>
        <v>9399</v>
      </c>
      <c r="C1480" s="2" t="s">
        <v>593</v>
      </c>
      <c r="D1480" s="2" t="str">
        <f t="shared" si="22"/>
        <v>Error?</v>
      </c>
    </row>
    <row r="1481" spans="1:4" x14ac:dyDescent="0.2">
      <c r="A1481" s="5">
        <v>1420</v>
      </c>
      <c r="B1481" s="138">
        <f>'Expenditures 15-22'!K238</f>
        <v>272247</v>
      </c>
      <c r="C1481" s="2" t="s">
        <v>593</v>
      </c>
      <c r="D1481" s="2" t="str">
        <f t="shared" si="22"/>
        <v>Error?</v>
      </c>
    </row>
    <row r="1482" spans="1:4" x14ac:dyDescent="0.2">
      <c r="A1482" s="5">
        <v>1421</v>
      </c>
      <c r="B1482" s="138">
        <f>'Expenditures 15-22'!K240</f>
        <v>73174</v>
      </c>
      <c r="C1482" s="2" t="s">
        <v>593</v>
      </c>
      <c r="D1482" s="2" t="str">
        <f t="shared" si="22"/>
        <v>Error?</v>
      </c>
    </row>
    <row r="1483" spans="1:4" x14ac:dyDescent="0.2">
      <c r="A1483" s="5">
        <v>1422</v>
      </c>
      <c r="B1483" s="138">
        <f>'Expenditures 15-22'!K241</f>
        <v>25415</v>
      </c>
      <c r="C1483" s="2" t="s">
        <v>593</v>
      </c>
      <c r="D1483" s="2" t="str">
        <f t="shared" si="22"/>
        <v>Error?</v>
      </c>
    </row>
    <row r="1484" spans="1:4" x14ac:dyDescent="0.2">
      <c r="A1484" s="5">
        <v>1423</v>
      </c>
      <c r="B1484" s="138">
        <f>'Expenditures 15-22'!K242</f>
        <v>11051</v>
      </c>
      <c r="C1484" s="2" t="s">
        <v>593</v>
      </c>
      <c r="D1484" s="2" t="str">
        <f t="shared" si="22"/>
        <v>Error?</v>
      </c>
    </row>
    <row r="1485" spans="1:4" x14ac:dyDescent="0.2">
      <c r="A1485" s="5">
        <v>1424</v>
      </c>
      <c r="B1485" s="138">
        <f>'Expenditures 15-22'!K243</f>
        <v>109640</v>
      </c>
      <c r="C1485" s="2" t="s">
        <v>593</v>
      </c>
      <c r="D1485" s="2" t="str">
        <f t="shared" si="22"/>
        <v>Error?</v>
      </c>
    </row>
    <row r="1486" spans="1:4" x14ac:dyDescent="0.2">
      <c r="A1486" s="5">
        <v>1425</v>
      </c>
      <c r="B1486" s="138">
        <f>'Expenditures 15-22'!K245</f>
        <v>21928</v>
      </c>
      <c r="C1486" s="2" t="s">
        <v>593</v>
      </c>
      <c r="D1486" s="2" t="str">
        <f t="shared" si="22"/>
        <v>Error?</v>
      </c>
    </row>
    <row r="1487" spans="1:4" x14ac:dyDescent="0.2">
      <c r="A1487" s="5">
        <v>1426</v>
      </c>
      <c r="B1487" s="138">
        <f>'Expenditures 15-22'!K246</f>
        <v>13267</v>
      </c>
      <c r="C1487" s="2" t="s">
        <v>593</v>
      </c>
      <c r="D1487" s="2" t="str">
        <f t="shared" si="22"/>
        <v>Error?</v>
      </c>
    </row>
    <row r="1488" spans="1:4" x14ac:dyDescent="0.2">
      <c r="A1488" s="5">
        <v>1427</v>
      </c>
      <c r="B1488" s="138">
        <f>'Expenditures 15-22'!K257</f>
        <v>78975</v>
      </c>
      <c r="C1488" s="2" t="s">
        <v>593</v>
      </c>
      <c r="D1488" s="2" t="str">
        <f t="shared" si="22"/>
        <v>Error?</v>
      </c>
    </row>
    <row r="1489" spans="1:4" x14ac:dyDescent="0.2">
      <c r="A1489" s="5">
        <v>1428</v>
      </c>
      <c r="B1489" s="138">
        <f>'Expenditures 15-22'!K259</f>
        <v>639012</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639012</v>
      </c>
      <c r="C1491" s="2" t="s">
        <v>593</v>
      </c>
      <c r="D1491" s="2" t="str">
        <f t="shared" si="22"/>
        <v>Error?</v>
      </c>
    </row>
    <row r="1492" spans="1:4" x14ac:dyDescent="0.2">
      <c r="A1492" s="5">
        <v>1431</v>
      </c>
      <c r="B1492" s="138">
        <f>'Expenditures 15-22'!K263</f>
        <v>26544</v>
      </c>
      <c r="C1492" s="2" t="s">
        <v>593</v>
      </c>
      <c r="D1492" s="2" t="str">
        <f t="shared" si="22"/>
        <v>Error?</v>
      </c>
    </row>
    <row r="1493" spans="1:4" x14ac:dyDescent="0.2">
      <c r="A1493" s="5">
        <v>1432</v>
      </c>
      <c r="B1493" s="138">
        <f>'Expenditures 15-22'!K264</f>
        <v>360050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1182011</v>
      </c>
      <c r="C1495" s="2" t="s">
        <v>593</v>
      </c>
      <c r="D1495" s="2" t="str">
        <f t="shared" si="22"/>
        <v>Error?</v>
      </c>
    </row>
    <row r="1496" spans="1:4" x14ac:dyDescent="0.2">
      <c r="A1496" s="5">
        <v>1435</v>
      </c>
      <c r="B1496" s="138">
        <f>'Expenditures 15-22'!K267</f>
        <v>1219454</v>
      </c>
      <c r="C1496" s="2" t="s">
        <v>593</v>
      </c>
      <c r="D1496" s="2" t="str">
        <f t="shared" si="22"/>
        <v>Error?</v>
      </c>
    </row>
    <row r="1497" spans="1:4" x14ac:dyDescent="0.2">
      <c r="A1497" s="5">
        <v>1436</v>
      </c>
      <c r="B1497" s="138">
        <f>'Expenditures 15-22'!K268</f>
        <v>2259</v>
      </c>
      <c r="C1497" s="2" t="s">
        <v>593</v>
      </c>
      <c r="D1497" s="2" t="str">
        <f t="shared" si="22"/>
        <v>Error?</v>
      </c>
    </row>
    <row r="1498" spans="1:4" x14ac:dyDescent="0.2">
      <c r="A1498" s="5">
        <v>1437</v>
      </c>
      <c r="B1498" s="138">
        <f>'Expenditures 15-22'!K269</f>
        <v>25230</v>
      </c>
      <c r="C1498" s="2" t="s">
        <v>593</v>
      </c>
      <c r="D1498" s="2" t="str">
        <f t="shared" si="22"/>
        <v>Error?</v>
      </c>
    </row>
    <row r="1499" spans="1:4" x14ac:dyDescent="0.2">
      <c r="A1499" s="10">
        <v>1438</v>
      </c>
      <c r="D1499" s="2" t="str">
        <f t="shared" si="22"/>
        <v>OK</v>
      </c>
    </row>
    <row r="1500" spans="1:4" x14ac:dyDescent="0.2">
      <c r="A1500" s="5">
        <v>1439</v>
      </c>
      <c r="B1500" s="138">
        <f>'Expenditures 15-22'!K270</f>
        <v>2815548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87015</v>
      </c>
      <c r="C1503" s="2" t="s">
        <v>593</v>
      </c>
      <c r="D1503" s="2" t="str">
        <f t="shared" si="22"/>
        <v>Error?</v>
      </c>
    </row>
    <row r="1504" spans="1:4" x14ac:dyDescent="0.2">
      <c r="A1504" s="5">
        <v>1443</v>
      </c>
      <c r="B1504" s="138">
        <f>'Expenditures 15-22'!K275</f>
        <v>109150</v>
      </c>
      <c r="C1504" s="2" t="s">
        <v>593</v>
      </c>
      <c r="D1504" s="2" t="str">
        <f t="shared" si="22"/>
        <v>Error?</v>
      </c>
    </row>
    <row r="1505" spans="1:4" x14ac:dyDescent="0.2">
      <c r="A1505" s="10">
        <v>1444</v>
      </c>
      <c r="D1505" s="2" t="str">
        <f t="shared" si="22"/>
        <v>OK</v>
      </c>
    </row>
    <row r="1506" spans="1:4" x14ac:dyDescent="0.2">
      <c r="A1506" s="5">
        <v>1445</v>
      </c>
      <c r="B1506" s="138">
        <f>'Expenditures 15-22'!K276</f>
        <v>385875</v>
      </c>
      <c r="C1506" s="2" t="s">
        <v>593</v>
      </c>
      <c r="D1506" s="2" t="str">
        <f t="shared" si="22"/>
        <v>Error?</v>
      </c>
    </row>
    <row r="1507" spans="1:4" x14ac:dyDescent="0.2">
      <c r="A1507" s="10">
        <v>1446</v>
      </c>
      <c r="D1507" s="2" t="str">
        <f t="shared" si="22"/>
        <v>OK</v>
      </c>
    </row>
    <row r="1508" spans="1:4" x14ac:dyDescent="0.2">
      <c r="A1508" s="5">
        <v>1447</v>
      </c>
      <c r="B1508" s="138">
        <f>'Expenditures 15-22'!K277</f>
        <v>582040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4497462</v>
      </c>
      <c r="C1510" s="2" t="s">
        <v>593</v>
      </c>
      <c r="D1510" s="2" t="str">
        <f t="shared" si="22"/>
        <v>Error?</v>
      </c>
    </row>
    <row r="1511" spans="1:4" x14ac:dyDescent="0.2">
      <c r="A1511" s="5">
        <v>1450</v>
      </c>
      <c r="B1511" s="138">
        <f>'Expenditures 15-22'!K280</f>
        <v>674</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6900296</v>
      </c>
      <c r="C1517" s="2" t="s">
        <v>593</v>
      </c>
      <c r="D1517" s="2" t="str">
        <f t="shared" si="22"/>
        <v>Error?</v>
      </c>
    </row>
    <row r="1518" spans="1:4" x14ac:dyDescent="0.2">
      <c r="A1518" s="5">
        <v>1457</v>
      </c>
      <c r="B1518" s="138">
        <f>'Expenditures 15-22'!K296</f>
        <v>473828</v>
      </c>
      <c r="C1518" s="2" t="s">
        <v>593</v>
      </c>
      <c r="D1518" s="2" t="str">
        <f t="shared" si="22"/>
        <v>Error?</v>
      </c>
    </row>
    <row r="1519" spans="1:4" x14ac:dyDescent="0.2">
      <c r="A1519" s="5">
        <v>1458</v>
      </c>
      <c r="B1519" s="138">
        <f>'Expenditures 15-22'!C301</f>
        <v>53404</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53404</v>
      </c>
      <c r="C1523" s="2" t="s">
        <v>593</v>
      </c>
      <c r="D1523" s="2" t="str">
        <f t="shared" si="22"/>
        <v>Error?</v>
      </c>
    </row>
    <row r="1524" spans="1:4" x14ac:dyDescent="0.2">
      <c r="A1524" s="5">
        <v>1463</v>
      </c>
      <c r="B1524" s="138">
        <f>'Expenditures 15-22'!C312</f>
        <v>53404</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692132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692132</v>
      </c>
      <c r="C1535" s="2" t="s">
        <v>593</v>
      </c>
      <c r="D1535" s="2" t="str">
        <f t="shared" ref="D1535:D1598" si="23">IF(ISBLANK(B1535),"OK",IF(A1535-B1535=0,"OK","Error?"))</f>
        <v>Error?</v>
      </c>
    </row>
    <row r="1536" spans="1:4" x14ac:dyDescent="0.2">
      <c r="A1536" s="5">
        <v>1475</v>
      </c>
      <c r="B1536" s="138">
        <f>'Expenditures 15-22'!E312</f>
        <v>692132</v>
      </c>
      <c r="C1536" s="2" t="s">
        <v>593</v>
      </c>
      <c r="D1536" s="2" t="str">
        <f t="shared" si="23"/>
        <v>Error?</v>
      </c>
    </row>
    <row r="1537" spans="1:4" x14ac:dyDescent="0.2">
      <c r="A1537" s="5">
        <v>1476</v>
      </c>
      <c r="B1537" s="138">
        <f>'Expenditures 15-22'!F301</f>
        <v>449442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449442</v>
      </c>
      <c r="C1541" s="2" t="s">
        <v>593</v>
      </c>
      <c r="D1541" s="2" t="str">
        <f t="shared" si="23"/>
        <v>Error?</v>
      </c>
    </row>
    <row r="1542" spans="1:4" x14ac:dyDescent="0.2">
      <c r="A1542" s="5">
        <v>1481</v>
      </c>
      <c r="B1542" s="138">
        <f>'Expenditures 15-22'!F312</f>
        <v>449442</v>
      </c>
      <c r="C1542" s="2" t="s">
        <v>593</v>
      </c>
      <c r="D1542" s="2" t="str">
        <f t="shared" si="23"/>
        <v>Error?</v>
      </c>
    </row>
    <row r="1543" spans="1:4" x14ac:dyDescent="0.2">
      <c r="A1543" s="5">
        <v>1482</v>
      </c>
      <c r="B1543" s="138">
        <f>'Expenditures 15-22'!G301</f>
        <v>8257581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8257581</v>
      </c>
      <c r="C1547" s="2" t="s">
        <v>593</v>
      </c>
      <c r="D1547" s="2" t="str">
        <f t="shared" si="23"/>
        <v>Error?</v>
      </c>
    </row>
    <row r="1548" spans="1:4" x14ac:dyDescent="0.2">
      <c r="A1548" s="5">
        <v>1487</v>
      </c>
      <c r="B1548" s="138">
        <f>'Expenditures 15-22'!G312</f>
        <v>8257581</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9906757</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9906757</v>
      </c>
      <c r="C1559" s="2" t="s">
        <v>593</v>
      </c>
      <c r="D1559" s="2" t="str">
        <f t="shared" si="23"/>
        <v>Error?</v>
      </c>
    </row>
    <row r="1560" spans="1:4" x14ac:dyDescent="0.2">
      <c r="A1560" s="5">
        <v>1499</v>
      </c>
      <c r="B1560" s="138">
        <f>'Expenditures 15-22'!K312</f>
        <v>9906757</v>
      </c>
      <c r="C1560" s="2" t="s">
        <v>593</v>
      </c>
      <c r="D1560" s="2" t="str">
        <f t="shared" si="23"/>
        <v>Error?</v>
      </c>
    </row>
    <row r="1561" spans="1:4" x14ac:dyDescent="0.2">
      <c r="A1561" s="5">
        <v>1500</v>
      </c>
      <c r="B1561" s="138">
        <f>'Expenditures 15-22'!K313</f>
        <v>-9760567</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33762304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41963888</v>
      </c>
      <c r="C1630" s="2" t="s">
        <v>593</v>
      </c>
      <c r="D1630" s="2" t="str">
        <f t="shared" si="24"/>
        <v>Error?</v>
      </c>
    </row>
    <row r="1631" spans="1:4" x14ac:dyDescent="0.2">
      <c r="A1631" s="5">
        <v>1570</v>
      </c>
      <c r="B1631" s="138">
        <f>'Acct Summary 7-8'!D79</f>
        <v>4266031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3183075</v>
      </c>
      <c r="C1644" s="2" t="s">
        <v>593</v>
      </c>
      <c r="D1644" s="2" t="str">
        <f t="shared" si="24"/>
        <v>Error?</v>
      </c>
    </row>
    <row r="1645" spans="1:4" x14ac:dyDescent="0.2">
      <c r="A1645" s="5">
        <v>1584</v>
      </c>
      <c r="B1645" s="138">
        <f>'Acct Summary 7-8'!E79</f>
        <v>14825836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15524193</v>
      </c>
      <c r="C1658" s="2" t="s">
        <v>593</v>
      </c>
      <c r="D1658" s="2" t="str">
        <f t="shared" si="24"/>
        <v>Error?</v>
      </c>
    </row>
    <row r="1659" spans="1:4" x14ac:dyDescent="0.2">
      <c r="A1659" s="5">
        <v>1598</v>
      </c>
      <c r="B1659" s="138">
        <f>'Acct Summary 7-8'!F79</f>
        <v>1324353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1694354</v>
      </c>
      <c r="C1672" s="2" t="s">
        <v>593</v>
      </c>
      <c r="D1672" s="2" t="str">
        <f t="shared" si="25"/>
        <v>Error?</v>
      </c>
    </row>
    <row r="1673" spans="1:4" x14ac:dyDescent="0.2">
      <c r="A1673" s="5">
        <v>1612</v>
      </c>
      <c r="B1673" s="138">
        <f>'Acct Summary 7-8'!G79</f>
        <v>2388765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2862593</v>
      </c>
      <c r="C1686" s="2" t="s">
        <v>593</v>
      </c>
      <c r="D1686" s="2" t="str">
        <f t="shared" si="25"/>
        <v>Error?</v>
      </c>
    </row>
    <row r="1687" spans="1:4" x14ac:dyDescent="0.2">
      <c r="A1687" s="5">
        <v>1626</v>
      </c>
      <c r="B1687" s="138">
        <f>'Acct Summary 7-8'!H79</f>
        <v>5709341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2890758</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93884641</v>
      </c>
      <c r="C1744" s="2" t="s">
        <v>593</v>
      </c>
      <c r="D1744" s="2" t="str">
        <f t="shared" si="26"/>
        <v>Error?</v>
      </c>
    </row>
    <row r="1745" spans="1:5" x14ac:dyDescent="0.2">
      <c r="A1745" s="5">
        <v>1684</v>
      </c>
      <c r="B1745" s="138">
        <f>'Tax Sched 23'!B5</f>
        <v>17001560</v>
      </c>
      <c r="C1745" s="2" t="s">
        <v>593</v>
      </c>
      <c r="D1745" s="2" t="str">
        <f t="shared" si="26"/>
        <v>Error?</v>
      </c>
    </row>
    <row r="1746" spans="1:5" x14ac:dyDescent="0.2">
      <c r="A1746" s="5">
        <v>1685</v>
      </c>
      <c r="B1746" s="138">
        <f>'Tax Sched 23'!B6</f>
        <v>30827095</v>
      </c>
      <c r="C1746" s="2" t="s">
        <v>593</v>
      </c>
      <c r="D1746" s="2" t="str">
        <f t="shared" si="26"/>
        <v>Error?</v>
      </c>
    </row>
    <row r="1747" spans="1:5" x14ac:dyDescent="0.2">
      <c r="A1747" s="5">
        <v>1686</v>
      </c>
      <c r="B1747" s="138">
        <f>'Tax Sched 23'!B7</f>
        <v>5935369</v>
      </c>
      <c r="C1747" s="2" t="s">
        <v>593</v>
      </c>
      <c r="D1747" s="2" t="str">
        <f t="shared" si="26"/>
        <v>Error?</v>
      </c>
    </row>
    <row r="1748" spans="1:5" x14ac:dyDescent="0.2">
      <c r="A1748" s="5">
        <v>1687</v>
      </c>
      <c r="B1748" s="138">
        <f>'Tax Sched 23'!B8</f>
        <v>2691251</v>
      </c>
      <c r="C1748" s="2" t="s">
        <v>593</v>
      </c>
      <c r="D1748" s="2" t="str">
        <f t="shared" si="26"/>
        <v>Error?</v>
      </c>
    </row>
    <row r="1749" spans="1:5" x14ac:dyDescent="0.2">
      <c r="A1749" s="5">
        <v>1688</v>
      </c>
      <c r="B1749" s="138">
        <f>'Tax Sched 23'!B10</f>
        <v>37952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1385943</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18405254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172850815</v>
      </c>
      <c r="C1759" s="2" t="s">
        <v>593</v>
      </c>
      <c r="D1759" s="2" t="str">
        <f t="shared" si="26"/>
        <v>Error?</v>
      </c>
    </row>
    <row r="1760" spans="1:5" x14ac:dyDescent="0.2">
      <c r="A1760" s="5">
        <v>1699</v>
      </c>
      <c r="B1760" s="138">
        <f>'Tax Sched 23'!D4</f>
        <v>44784129</v>
      </c>
      <c r="C1760" s="2" t="s">
        <v>593</v>
      </c>
      <c r="D1760" s="2" t="str">
        <f t="shared" si="26"/>
        <v>Error?</v>
      </c>
    </row>
    <row r="1761" spans="1:5" x14ac:dyDescent="0.2">
      <c r="A1761" s="5">
        <v>1700</v>
      </c>
      <c r="B1761" s="138">
        <f>'Tax Sched 23'!D5</f>
        <v>8123728</v>
      </c>
      <c r="C1761" s="2" t="s">
        <v>593</v>
      </c>
      <c r="D1761" s="2" t="str">
        <f t="shared" si="26"/>
        <v>Error?</v>
      </c>
    </row>
    <row r="1762" spans="1:5" s="8" customFormat="1" x14ac:dyDescent="0.2">
      <c r="A1762" s="5">
        <v>1701</v>
      </c>
      <c r="B1762" s="138">
        <f>'Tax Sched 23'!D6</f>
        <v>14592309</v>
      </c>
      <c r="C1762" s="2" t="s">
        <v>593</v>
      </c>
      <c r="D1762" s="2" t="str">
        <f t="shared" si="26"/>
        <v>Error?</v>
      </c>
      <c r="E1762" s="9"/>
    </row>
    <row r="1763" spans="1:5" x14ac:dyDescent="0.2">
      <c r="A1763" s="5">
        <v>1702</v>
      </c>
      <c r="B1763" s="138">
        <f>'Tax Sched 23'!D7</f>
        <v>2836126</v>
      </c>
      <c r="C1763" s="2" t="s">
        <v>593</v>
      </c>
      <c r="D1763" s="2" t="str">
        <f t="shared" si="26"/>
        <v>Error?</v>
      </c>
    </row>
    <row r="1764" spans="1:5" x14ac:dyDescent="0.2">
      <c r="A1764" s="5">
        <v>1703</v>
      </c>
      <c r="B1764" s="138">
        <f>'Tax Sched 23'!D8</f>
        <v>1285344</v>
      </c>
      <c r="C1764" s="2" t="s">
        <v>593</v>
      </c>
      <c r="D1764" s="2" t="str">
        <f t="shared" si="26"/>
        <v>Error?</v>
      </c>
    </row>
    <row r="1765" spans="1:5" x14ac:dyDescent="0.2">
      <c r="A1765" s="5">
        <v>1704</v>
      </c>
      <c r="B1765" s="138">
        <f>'Tax Sched 23'!D10</f>
        <v>-789</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662370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8795100</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82359159</v>
      </c>
      <c r="C1775" s="2" t="s">
        <v>593</v>
      </c>
      <c r="D1775" s="2" t="str">
        <f t="shared" si="26"/>
        <v>Error?</v>
      </c>
    </row>
    <row r="1776" spans="1:5" x14ac:dyDescent="0.2">
      <c r="A1776" s="5">
        <v>1715</v>
      </c>
      <c r="B1776" s="138">
        <f>'Tax Sched 23'!C4</f>
        <v>49100512</v>
      </c>
      <c r="D1776" s="2" t="str">
        <f t="shared" si="26"/>
        <v>Error?</v>
      </c>
    </row>
    <row r="1777" spans="1:4" x14ac:dyDescent="0.2">
      <c r="A1777" s="5">
        <v>1716</v>
      </c>
      <c r="B1777" s="138">
        <f>'Tax Sched 23'!C5</f>
        <v>8877832</v>
      </c>
      <c r="D1777" s="2" t="str">
        <f t="shared" si="26"/>
        <v>Error?</v>
      </c>
    </row>
    <row r="1778" spans="1:4" x14ac:dyDescent="0.2">
      <c r="A1778" s="5">
        <v>1717</v>
      </c>
      <c r="B1778" s="138">
        <f>'Tax Sched 23'!C6</f>
        <v>16234786</v>
      </c>
      <c r="D1778" s="2" t="str">
        <f t="shared" si="26"/>
        <v>Error?</v>
      </c>
    </row>
    <row r="1779" spans="1:4" x14ac:dyDescent="0.2">
      <c r="A1779" s="5">
        <v>1718</v>
      </c>
      <c r="B1779" s="138">
        <f>'Tax Sched 23'!C7</f>
        <v>3099243</v>
      </c>
      <c r="D1779" s="2" t="str">
        <f t="shared" si="26"/>
        <v>Error?</v>
      </c>
    </row>
    <row r="1780" spans="1:4" x14ac:dyDescent="0.2">
      <c r="A1780" s="5">
        <v>1719</v>
      </c>
      <c r="B1780" s="138">
        <f>'Tax Sched 23'!C8</f>
        <v>1405907</v>
      </c>
      <c r="D1780" s="2" t="str">
        <f t="shared" si="26"/>
        <v>Error?</v>
      </c>
    </row>
    <row r="1781" spans="1:4" x14ac:dyDescent="0.2">
      <c r="A1781" s="5">
        <v>1720</v>
      </c>
      <c r="B1781" s="138">
        <f>'Tax Sched 23'!C10</f>
        <v>38741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723573</v>
      </c>
      <c r="D1784" s="2" t="str">
        <f t="shared" si="26"/>
        <v>Error?</v>
      </c>
    </row>
    <row r="1785" spans="1:4" x14ac:dyDescent="0.2">
      <c r="A1785" s="5">
        <v>1724</v>
      </c>
      <c r="B1785" s="138">
        <f>'Tax Sched 23'!C12</f>
        <v>0</v>
      </c>
      <c r="D1785" s="2" t="str">
        <f t="shared" si="26"/>
        <v>Error?</v>
      </c>
    </row>
    <row r="1786" spans="1:4" x14ac:dyDescent="0.2">
      <c r="A1786" s="5">
        <v>1725</v>
      </c>
      <c r="B1786" s="138">
        <f>'Tax Sched 23'!C14</f>
        <v>9610154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90491656</v>
      </c>
      <c r="C1791" s="2" t="s">
        <v>593</v>
      </c>
      <c r="D1791" s="2" t="str">
        <f t="shared" ref="D1791:D1854" si="27">IF(ISBLANK(B1791),"OK",IF(A1791-B1791=0,"OK","Error?"))</f>
        <v>Error?</v>
      </c>
    </row>
    <row r="1792" spans="1:4" x14ac:dyDescent="0.2">
      <c r="A1792" s="5">
        <v>1731</v>
      </c>
      <c r="B1792" s="138">
        <f>'Tax Sched 23'!F4</f>
        <v>47205200</v>
      </c>
      <c r="C1792" s="2" t="s">
        <v>593</v>
      </c>
      <c r="D1792" s="2" t="str">
        <f t="shared" si="27"/>
        <v>Error?</v>
      </c>
    </row>
    <row r="1793" spans="1:4" x14ac:dyDescent="0.2">
      <c r="A1793" s="5">
        <v>1732</v>
      </c>
      <c r="B1793" s="138">
        <f>'Tax Sched 23'!F5</f>
        <v>8535143</v>
      </c>
      <c r="C1793" s="2" t="s">
        <v>593</v>
      </c>
      <c r="D1793" s="2" t="str">
        <f t="shared" si="27"/>
        <v>Error?</v>
      </c>
    </row>
    <row r="1794" spans="1:4" x14ac:dyDescent="0.2">
      <c r="A1794" s="5">
        <v>1733</v>
      </c>
      <c r="B1794" s="138">
        <f>'Tax Sched 23'!F6</f>
        <v>15608113</v>
      </c>
      <c r="C1794" s="2" t="s">
        <v>593</v>
      </c>
      <c r="D1794" s="2" t="str">
        <f t="shared" si="27"/>
        <v>Error?</v>
      </c>
    </row>
    <row r="1795" spans="1:4" x14ac:dyDescent="0.2">
      <c r="A1795" s="5">
        <v>1734</v>
      </c>
      <c r="B1795" s="138">
        <f>'Tax Sched 23'!F7</f>
        <v>2979611</v>
      </c>
      <c r="C1795" s="2" t="s">
        <v>593</v>
      </c>
      <c r="D1795" s="2" t="str">
        <f t="shared" si="27"/>
        <v>Error?</v>
      </c>
    </row>
    <row r="1796" spans="1:4" x14ac:dyDescent="0.2">
      <c r="A1796" s="5">
        <v>1735</v>
      </c>
      <c r="B1796" s="138">
        <f>'Tax Sched 23'!F8</f>
        <v>1351638</v>
      </c>
      <c r="C1796" s="2" t="s">
        <v>593</v>
      </c>
      <c r="D1796" s="2" t="str">
        <f t="shared" si="27"/>
        <v>Error?</v>
      </c>
    </row>
    <row r="1797" spans="1:4" x14ac:dyDescent="0.2">
      <c r="A1797" s="5">
        <v>1736</v>
      </c>
      <c r="B1797" s="138">
        <f>'Tax Sched 23'!F10</f>
        <v>37245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695643</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9239195</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86998620</v>
      </c>
      <c r="C1807" s="2" t="s">
        <v>593</v>
      </c>
      <c r="D1807" s="2" t="str">
        <f t="shared" si="27"/>
        <v>Error?</v>
      </c>
    </row>
    <row r="1808" spans="1:4" x14ac:dyDescent="0.2">
      <c r="A1808" s="5">
        <v>1747</v>
      </c>
      <c r="B1808" s="138">
        <f>'Tax Sched 23'!E4</f>
        <v>96305712</v>
      </c>
      <c r="D1808" s="2" t="str">
        <f t="shared" si="27"/>
        <v>Error?</v>
      </c>
    </row>
    <row r="1809" spans="1:4" x14ac:dyDescent="0.2">
      <c r="A1809" s="5">
        <v>1748</v>
      </c>
      <c r="B1809" s="138">
        <f>'Tax Sched 23'!E5</f>
        <v>17412975</v>
      </c>
      <c r="D1809" s="2" t="str">
        <f t="shared" si="27"/>
        <v>Error?</v>
      </c>
    </row>
    <row r="1810" spans="1:4" x14ac:dyDescent="0.2">
      <c r="A1810" s="5">
        <v>1749</v>
      </c>
      <c r="B1810" s="138">
        <f>'Tax Sched 23'!E6</f>
        <v>31842899</v>
      </c>
      <c r="D1810" s="2" t="str">
        <f t="shared" si="27"/>
        <v>Error?</v>
      </c>
    </row>
    <row r="1811" spans="1:4" x14ac:dyDescent="0.2">
      <c r="A1811" s="5">
        <v>1750</v>
      </c>
      <c r="B1811" s="138">
        <f>'Tax Sched 23'!E7</f>
        <v>6078854</v>
      </c>
      <c r="D1811" s="2" t="str">
        <f t="shared" si="27"/>
        <v>Error?</v>
      </c>
    </row>
    <row r="1812" spans="1:4" x14ac:dyDescent="0.2">
      <c r="A1812" s="5">
        <v>1751</v>
      </c>
      <c r="B1812" s="138">
        <f>'Tax Sched 23'!E8</f>
        <v>2757545</v>
      </c>
      <c r="D1812" s="2" t="str">
        <f t="shared" si="27"/>
        <v>Error?</v>
      </c>
    </row>
    <row r="1813" spans="1:4" x14ac:dyDescent="0.2">
      <c r="A1813" s="5">
        <v>1752</v>
      </c>
      <c r="B1813" s="138">
        <f>'Tax Sched 23'!E10</f>
        <v>75986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1419216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18849349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177490276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320210500</v>
      </c>
      <c r="C1939" s="2" t="s">
        <v>593</v>
      </c>
      <c r="D1939" s="2" t="str">
        <f t="shared" si="29"/>
        <v>Error?</v>
      </c>
    </row>
    <row r="1940" spans="1:5" x14ac:dyDescent="0.2">
      <c r="A1940" s="5">
        <v>1879</v>
      </c>
      <c r="B1940" s="138">
        <f>'Short-Term Long-Term Debt 24'!F49</f>
        <v>6971768</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18405254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18405254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18405254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17041154</v>
      </c>
      <c r="D2008" s="2" t="str">
        <f t="shared" si="30"/>
        <v>Error?</v>
      </c>
    </row>
    <row r="2009" spans="1:4" x14ac:dyDescent="0.2">
      <c r="A2009" s="5">
        <v>1948</v>
      </c>
      <c r="B2009" s="138">
        <f>'Cap Outlay Deprec 26'!C8</f>
        <v>371669510</v>
      </c>
      <c r="D2009" s="2" t="str">
        <f t="shared" si="30"/>
        <v>Error?</v>
      </c>
    </row>
    <row r="2010" spans="1:4" x14ac:dyDescent="0.2">
      <c r="A2010" s="5">
        <v>1949</v>
      </c>
      <c r="B2010" s="138">
        <f>'Cap Outlay Deprec 26'!C10</f>
        <v>16512726</v>
      </c>
      <c r="D2010" s="2" t="str">
        <f t="shared" si="30"/>
        <v>Error?</v>
      </c>
    </row>
    <row r="2011" spans="1:4" x14ac:dyDescent="0.2">
      <c r="A2011" s="5">
        <v>1950</v>
      </c>
      <c r="B2011" s="138">
        <f>'Cap Outlay Deprec 26'!C12</f>
        <v>23251574</v>
      </c>
      <c r="D2011" s="2" t="str">
        <f t="shared" si="30"/>
        <v>Error?</v>
      </c>
    </row>
    <row r="2012" spans="1:4" x14ac:dyDescent="0.2">
      <c r="A2012" s="5">
        <v>1951</v>
      </c>
      <c r="B2012" s="138">
        <f>'Cap Outlay Deprec 26'!C13</f>
        <v>2059573</v>
      </c>
      <c r="D2012" s="2" t="str">
        <f t="shared" si="30"/>
        <v>Error?</v>
      </c>
    </row>
    <row r="2013" spans="1:4" x14ac:dyDescent="0.2">
      <c r="A2013" s="5">
        <v>1952</v>
      </c>
      <c r="B2013" s="138">
        <f>'Cap Outlay Deprec 26'!C16</f>
        <v>439449337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8772629</v>
      </c>
      <c r="D2015" s="2" t="str">
        <f t="shared" si="30"/>
        <v>Error?</v>
      </c>
    </row>
    <row r="2016" spans="1:4" x14ac:dyDescent="0.2">
      <c r="A2016" s="5">
        <v>1955</v>
      </c>
      <c r="B2016" s="138">
        <f>'Cap Outlay Deprec 26'!D10</f>
        <v>3539437</v>
      </c>
      <c r="D2016" s="2" t="str">
        <f t="shared" si="30"/>
        <v>Error?</v>
      </c>
    </row>
    <row r="2017" spans="1:4" x14ac:dyDescent="0.2">
      <c r="A2017" s="5">
        <v>1956</v>
      </c>
      <c r="B2017" s="138">
        <f>'Cap Outlay Deprec 26'!D12</f>
        <v>1284860</v>
      </c>
      <c r="D2017" s="2" t="str">
        <f t="shared" si="30"/>
        <v>Error?</v>
      </c>
    </row>
    <row r="2018" spans="1:4" x14ac:dyDescent="0.2">
      <c r="A2018" s="5">
        <v>1957</v>
      </c>
      <c r="B2018" s="138">
        <f>'Cap Outlay Deprec 26'!D13</f>
        <v>254524</v>
      </c>
      <c r="D2018" s="2" t="str">
        <f t="shared" si="30"/>
        <v>Error?</v>
      </c>
    </row>
    <row r="2019" spans="1:4" x14ac:dyDescent="0.2">
      <c r="A2019" s="5">
        <v>1958</v>
      </c>
      <c r="B2019" s="138">
        <f>'Cap Outlay Deprec 26'!D16</f>
        <v>15276993</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26028</v>
      </c>
      <c r="D2024" s="2" t="str">
        <f t="shared" si="30"/>
        <v>Error?</v>
      </c>
    </row>
    <row r="2025" spans="1:4" x14ac:dyDescent="0.2">
      <c r="A2025" s="5">
        <v>1964</v>
      </c>
      <c r="B2025" s="138">
        <f>'Cap Outlay Deprec 26'!E16</f>
        <v>4205076</v>
      </c>
      <c r="C2025" s="2" t="s">
        <v>593</v>
      </c>
      <c r="D2025" s="2" t="str">
        <f t="shared" si="30"/>
        <v>Error?</v>
      </c>
    </row>
    <row r="2026" spans="1:4" x14ac:dyDescent="0.2">
      <c r="A2026" s="5">
        <v>1965</v>
      </c>
      <c r="B2026" s="138">
        <f>'Cap Outlay Deprec 26'!F5</f>
        <v>17041154</v>
      </c>
      <c r="C2026" s="2" t="s">
        <v>593</v>
      </c>
      <c r="D2026" s="2" t="str">
        <f t="shared" si="30"/>
        <v>Error?</v>
      </c>
    </row>
    <row r="2027" spans="1:4" x14ac:dyDescent="0.2">
      <c r="A2027" s="5">
        <v>1966</v>
      </c>
      <c r="B2027" s="138">
        <f>'Cap Outlay Deprec 26'!F8</f>
        <v>380442139</v>
      </c>
      <c r="C2027" s="2" t="s">
        <v>593</v>
      </c>
      <c r="D2027" s="2" t="str">
        <f t="shared" si="30"/>
        <v>Error?</v>
      </c>
    </row>
    <row r="2028" spans="1:4" x14ac:dyDescent="0.2">
      <c r="A2028" s="5">
        <v>1967</v>
      </c>
      <c r="B2028" s="138">
        <f>'Cap Outlay Deprec 26'!F10</f>
        <v>20052163</v>
      </c>
      <c r="C2028" s="2" t="s">
        <v>593</v>
      </c>
      <c r="D2028" s="2" t="str">
        <f t="shared" si="30"/>
        <v>Error?</v>
      </c>
    </row>
    <row r="2029" spans="1:4" x14ac:dyDescent="0.2">
      <c r="A2029" s="5">
        <v>1968</v>
      </c>
      <c r="B2029" s="138">
        <f>'Cap Outlay Deprec 26'!F12</f>
        <v>24536434</v>
      </c>
      <c r="C2029" s="2" t="s">
        <v>593</v>
      </c>
      <c r="D2029" s="2" t="str">
        <f t="shared" si="30"/>
        <v>Error?</v>
      </c>
    </row>
    <row r="2030" spans="1:4" x14ac:dyDescent="0.2">
      <c r="A2030" s="5">
        <v>1969</v>
      </c>
      <c r="B2030" s="138">
        <f>'Cap Outlay Deprec 26'!F13</f>
        <v>2288069</v>
      </c>
      <c r="C2030" s="2" t="s">
        <v>593</v>
      </c>
      <c r="D2030" s="2" t="str">
        <f t="shared" si="30"/>
        <v>Error?</v>
      </c>
    </row>
    <row r="2031" spans="1:4" x14ac:dyDescent="0.2">
      <c r="A2031" s="5">
        <v>1970</v>
      </c>
      <c r="B2031" s="138">
        <f>'Cap Outlay Deprec 26'!F16</f>
        <v>450521254</v>
      </c>
      <c r="C2031" s="2" t="s">
        <v>593</v>
      </c>
      <c r="D2031" s="2" t="str">
        <f t="shared" si="30"/>
        <v>Error?</v>
      </c>
    </row>
    <row r="2032" spans="1:4" x14ac:dyDescent="0.2">
      <c r="A2032" s="10">
        <v>1971</v>
      </c>
      <c r="D2032" s="2" t="str">
        <f t="shared" si="30"/>
        <v>OK</v>
      </c>
    </row>
    <row r="2033" spans="1:4" x14ac:dyDescent="0.2">
      <c r="A2033" s="5">
        <v>1972</v>
      </c>
      <c r="B2033" s="138">
        <f>'Cap Outlay Deprec 26'!H8</f>
        <v>82375736</v>
      </c>
      <c r="D2033" s="2" t="str">
        <f t="shared" si="30"/>
        <v>Error?</v>
      </c>
    </row>
    <row r="2034" spans="1:4" x14ac:dyDescent="0.2">
      <c r="A2034" s="5">
        <v>1973</v>
      </c>
      <c r="B2034" s="138">
        <f>'Cap Outlay Deprec 26'!H10</f>
        <v>6765850</v>
      </c>
      <c r="D2034" s="2" t="str">
        <f t="shared" si="30"/>
        <v>Error?</v>
      </c>
    </row>
    <row r="2035" spans="1:4" x14ac:dyDescent="0.2">
      <c r="A2035" s="5">
        <v>1974</v>
      </c>
      <c r="B2035" s="138">
        <f>'Cap Outlay Deprec 26'!H12</f>
        <v>12544604</v>
      </c>
      <c r="D2035" s="2" t="str">
        <f t="shared" si="30"/>
        <v>Error?</v>
      </c>
    </row>
    <row r="2036" spans="1:4" x14ac:dyDescent="0.2">
      <c r="A2036" s="5">
        <v>1975</v>
      </c>
      <c r="B2036" s="138">
        <f>'Cap Outlay Deprec 26'!H13</f>
        <v>1635259</v>
      </c>
      <c r="D2036" s="2" t="str">
        <f t="shared" si="30"/>
        <v>Error?</v>
      </c>
    </row>
    <row r="2037" spans="1:4" x14ac:dyDescent="0.2">
      <c r="A2037" s="5">
        <v>1976</v>
      </c>
      <c r="B2037" s="138">
        <f>'Cap Outlay Deprec 26'!H16</f>
        <v>103321449</v>
      </c>
      <c r="C2037" s="2" t="s">
        <v>593</v>
      </c>
      <c r="D2037" s="2" t="str">
        <f t="shared" si="30"/>
        <v>Error?</v>
      </c>
    </row>
    <row r="2038" spans="1:4" x14ac:dyDescent="0.2">
      <c r="A2038" s="10">
        <v>1977</v>
      </c>
      <c r="D2038" s="2" t="str">
        <f t="shared" si="30"/>
        <v>OK</v>
      </c>
    </row>
    <row r="2039" spans="1:4" x14ac:dyDescent="0.2">
      <c r="A2039" s="5">
        <v>1978</v>
      </c>
      <c r="B2039" s="138">
        <f>'Cap Outlay Deprec 26'!I8</f>
        <v>5594762</v>
      </c>
      <c r="D2039" s="2" t="str">
        <f t="shared" si="30"/>
        <v>Error?</v>
      </c>
    </row>
    <row r="2040" spans="1:4" x14ac:dyDescent="0.2">
      <c r="A2040" s="5">
        <v>1979</v>
      </c>
      <c r="B2040" s="138">
        <f>'Cap Outlay Deprec 26'!I10</f>
        <v>644864</v>
      </c>
      <c r="D2040" s="2" t="str">
        <f t="shared" si="30"/>
        <v>Error?</v>
      </c>
    </row>
    <row r="2041" spans="1:4" x14ac:dyDescent="0.2">
      <c r="A2041" s="5">
        <v>1980</v>
      </c>
      <c r="B2041" s="138">
        <f>'Cap Outlay Deprec 26'!I12</f>
        <v>858934</v>
      </c>
      <c r="D2041" s="2" t="str">
        <f t="shared" si="30"/>
        <v>Error?</v>
      </c>
    </row>
    <row r="2042" spans="1:4" x14ac:dyDescent="0.2">
      <c r="A2042" s="5">
        <v>1981</v>
      </c>
      <c r="B2042" s="138">
        <f>'Cap Outlay Deprec 26'!I13</f>
        <v>86543</v>
      </c>
      <c r="D2042" s="2" t="str">
        <f t="shared" si="30"/>
        <v>Error?</v>
      </c>
    </row>
    <row r="2043" spans="1:4" x14ac:dyDescent="0.2">
      <c r="A2043" s="5">
        <v>1982</v>
      </c>
      <c r="B2043" s="138">
        <f>'Cap Outlay Deprec 26'!I16</f>
        <v>7185103</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26028</v>
      </c>
      <c r="D2048" s="2" t="str">
        <f t="shared" si="31"/>
        <v>Error?</v>
      </c>
    </row>
    <row r="2049" spans="1:4" x14ac:dyDescent="0.2">
      <c r="A2049" s="5">
        <v>1988</v>
      </c>
      <c r="B2049" s="138">
        <f>'Cap Outlay Deprec 26'!J16</f>
        <v>26028</v>
      </c>
      <c r="C2049" s="2" t="s">
        <v>593</v>
      </c>
      <c r="D2049" s="2" t="str">
        <f t="shared" si="31"/>
        <v>Error?</v>
      </c>
    </row>
    <row r="2050" spans="1:4" x14ac:dyDescent="0.2">
      <c r="A2050" s="10">
        <v>1989</v>
      </c>
      <c r="D2050" s="2" t="str">
        <f t="shared" si="31"/>
        <v>OK</v>
      </c>
    </row>
    <row r="2051" spans="1:4" x14ac:dyDescent="0.2">
      <c r="A2051" s="5">
        <v>1990</v>
      </c>
      <c r="B2051" s="138">
        <f>'Cap Outlay Deprec 26'!K8</f>
        <v>87970498</v>
      </c>
      <c r="C2051" s="2" t="s">
        <v>593</v>
      </c>
      <c r="D2051" s="2" t="str">
        <f t="shared" si="31"/>
        <v>Error?</v>
      </c>
    </row>
    <row r="2052" spans="1:4" x14ac:dyDescent="0.2">
      <c r="A2052" s="5">
        <v>1991</v>
      </c>
      <c r="B2052" s="138">
        <f>'Cap Outlay Deprec 26'!K10</f>
        <v>7410714</v>
      </c>
      <c r="C2052" s="2" t="s">
        <v>593</v>
      </c>
      <c r="D2052" s="2" t="str">
        <f t="shared" si="31"/>
        <v>Error?</v>
      </c>
    </row>
    <row r="2053" spans="1:4" x14ac:dyDescent="0.2">
      <c r="A2053" s="5">
        <v>1992</v>
      </c>
      <c r="B2053" s="138">
        <f>'Cap Outlay Deprec 26'!K12</f>
        <v>13403538</v>
      </c>
      <c r="C2053" s="2" t="s">
        <v>593</v>
      </c>
      <c r="D2053" s="2" t="str">
        <f t="shared" si="31"/>
        <v>Error?</v>
      </c>
    </row>
    <row r="2054" spans="1:4" x14ac:dyDescent="0.2">
      <c r="A2054" s="5">
        <v>1993</v>
      </c>
      <c r="B2054" s="138">
        <f>'Cap Outlay Deprec 26'!K13</f>
        <v>1695774</v>
      </c>
      <c r="C2054" s="2" t="s">
        <v>593</v>
      </c>
      <c r="D2054" s="2" t="str">
        <f t="shared" si="31"/>
        <v>Error?</v>
      </c>
    </row>
    <row r="2055" spans="1:4" x14ac:dyDescent="0.2">
      <c r="A2055" s="5">
        <v>1994</v>
      </c>
      <c r="B2055" s="138">
        <f>'Cap Outlay Deprec 26'!K16</f>
        <v>110480524</v>
      </c>
      <c r="C2055" s="2" t="s">
        <v>593</v>
      </c>
      <c r="D2055" s="2" t="str">
        <f t="shared" si="31"/>
        <v>Error?</v>
      </c>
    </row>
    <row r="2056" spans="1:4" x14ac:dyDescent="0.2">
      <c r="A2056" s="5">
        <v>1995</v>
      </c>
      <c r="B2056" s="138">
        <f>'Cap Outlay Deprec 26'!L5</f>
        <v>17041154</v>
      </c>
      <c r="C2056" s="2" t="s">
        <v>593</v>
      </c>
      <c r="D2056" s="2" t="str">
        <f t="shared" si="31"/>
        <v>Error?</v>
      </c>
    </row>
    <row r="2057" spans="1:4" x14ac:dyDescent="0.2">
      <c r="A2057" s="5">
        <v>1996</v>
      </c>
      <c r="B2057" s="138">
        <f>'Cap Outlay Deprec 26'!L8</f>
        <v>292471641</v>
      </c>
      <c r="C2057" s="2" t="s">
        <v>593</v>
      </c>
      <c r="D2057" s="2" t="str">
        <f t="shared" si="31"/>
        <v>Error?</v>
      </c>
    </row>
    <row r="2058" spans="1:4" x14ac:dyDescent="0.2">
      <c r="A2058" s="5">
        <v>1997</v>
      </c>
      <c r="B2058" s="138">
        <f>'Cap Outlay Deprec 26'!L10</f>
        <v>12641449</v>
      </c>
      <c r="C2058" s="2" t="s">
        <v>593</v>
      </c>
      <c r="D2058" s="2" t="str">
        <f t="shared" si="31"/>
        <v>Error?</v>
      </c>
    </row>
    <row r="2059" spans="1:4" x14ac:dyDescent="0.2">
      <c r="A2059" s="5">
        <v>1998</v>
      </c>
      <c r="B2059" s="138">
        <f>'Cap Outlay Deprec 26'!L12</f>
        <v>11132896</v>
      </c>
      <c r="C2059" s="2" t="s">
        <v>593</v>
      </c>
      <c r="D2059" s="2" t="str">
        <f t="shared" si="31"/>
        <v>Error?</v>
      </c>
    </row>
    <row r="2060" spans="1:4" x14ac:dyDescent="0.2">
      <c r="A2060" s="5">
        <v>1999</v>
      </c>
      <c r="B2060" s="138">
        <f>'Cap Outlay Deprec 26'!L13</f>
        <v>592295</v>
      </c>
      <c r="C2060" s="2" t="s">
        <v>593</v>
      </c>
      <c r="D2060" s="2" t="str">
        <f t="shared" si="31"/>
        <v>Error?</v>
      </c>
    </row>
    <row r="2061" spans="1:4" x14ac:dyDescent="0.2">
      <c r="A2061" s="5">
        <v>2000</v>
      </c>
      <c r="B2061" s="138">
        <f>'Cap Outlay Deprec 26'!L16</f>
        <v>340040730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9281631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133216207</v>
      </c>
      <c r="C2551" s="2" t="s">
        <v>593</v>
      </c>
      <c r="D2551" s="2" t="str">
        <f t="shared" si="38"/>
        <v>Error?</v>
      </c>
    </row>
    <row r="2552" spans="1:4" x14ac:dyDescent="0.2">
      <c r="A2552" s="10">
        <v>2491</v>
      </c>
      <c r="D2552" s="2" t="str">
        <f t="shared" si="38"/>
        <v>OK</v>
      </c>
    </row>
    <row r="2553" spans="1:4" x14ac:dyDescent="0.2">
      <c r="A2553" s="5">
        <v>2492</v>
      </c>
      <c r="B2553" s="138">
        <f>'Acct Summary 7-8'!C6</f>
        <v>52369854</v>
      </c>
      <c r="C2553" s="2" t="s">
        <v>593</v>
      </c>
      <c r="D2553" s="2" t="str">
        <f t="shared" si="38"/>
        <v>Error?</v>
      </c>
    </row>
    <row r="2554" spans="1:4" x14ac:dyDescent="0.2">
      <c r="A2554" s="5">
        <v>2493</v>
      </c>
      <c r="B2554" s="138">
        <f>'Acct Summary 7-8'!C7</f>
        <v>17224353</v>
      </c>
      <c r="C2554" s="2" t="s">
        <v>593</v>
      </c>
      <c r="D2554" s="2" t="str">
        <f t="shared" si="38"/>
        <v>Error?</v>
      </c>
    </row>
    <row r="2555" spans="1:4" x14ac:dyDescent="0.2">
      <c r="A2555" s="5">
        <v>2494</v>
      </c>
      <c r="B2555" s="138">
        <f>'Acct Summary 7-8'!C8</f>
        <v>202810414</v>
      </c>
      <c r="C2555" s="2" t="s">
        <v>593</v>
      </c>
      <c r="D2555" s="2" t="str">
        <f t="shared" si="38"/>
        <v>Error?</v>
      </c>
    </row>
    <row r="2556" spans="1:4" x14ac:dyDescent="0.2">
      <c r="A2556" s="5">
        <v>2495</v>
      </c>
      <c r="B2556" s="138">
        <f>'Acct Summary 7-8'!C12</f>
        <v>134682615</v>
      </c>
      <c r="C2556" s="2" t="s">
        <v>593</v>
      </c>
      <c r="D2556" s="2" t="str">
        <f t="shared" si="38"/>
        <v>Error?</v>
      </c>
    </row>
    <row r="2557" spans="1:4" x14ac:dyDescent="0.2">
      <c r="A2557" s="5">
        <v>2496</v>
      </c>
      <c r="B2557" s="138">
        <f>'Acct Summary 7-8'!C13</f>
        <v>57163022</v>
      </c>
      <c r="C2557" s="2" t="s">
        <v>593</v>
      </c>
      <c r="D2557" s="2" t="str">
        <f t="shared" si="38"/>
        <v>Error?</v>
      </c>
    </row>
    <row r="2558" spans="1:4" x14ac:dyDescent="0.2">
      <c r="A2558" s="5">
        <v>2497</v>
      </c>
      <c r="B2558" s="138">
        <f>'Acct Summary 7-8'!C14</f>
        <v>329455</v>
      </c>
      <c r="C2558" s="2" t="s">
        <v>593</v>
      </c>
      <c r="D2558" s="2" t="str">
        <f t="shared" si="38"/>
        <v>Error?</v>
      </c>
    </row>
    <row r="2559" spans="1:4" x14ac:dyDescent="0.2">
      <c r="A2559" s="5">
        <v>2498</v>
      </c>
      <c r="B2559" s="138">
        <f>'Acct Summary 7-8'!C15</f>
        <v>0</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192175092</v>
      </c>
      <c r="C2561" s="2" t="s">
        <v>593</v>
      </c>
      <c r="D2561" s="2" t="str">
        <f t="shared" si="39"/>
        <v>Error?</v>
      </c>
    </row>
    <row r="2562" spans="1:4" x14ac:dyDescent="0.2">
      <c r="A2562" s="5">
        <v>2501</v>
      </c>
      <c r="B2562" s="138">
        <f>'Acct Summary 7-8'!C20</f>
        <v>10635322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17480234</v>
      </c>
      <c r="C2564" s="2" t="s">
        <v>593</v>
      </c>
      <c r="D2564" s="2" t="str">
        <f t="shared" si="39"/>
        <v>Error?</v>
      </c>
    </row>
    <row r="2565" spans="1:4" x14ac:dyDescent="0.2">
      <c r="A2565" s="10">
        <v>2504</v>
      </c>
      <c r="D2565" s="2" t="str">
        <f t="shared" si="39"/>
        <v>OK</v>
      </c>
    </row>
    <row r="2566" spans="1:4" x14ac:dyDescent="0.2">
      <c r="A2566" s="5">
        <v>2505</v>
      </c>
      <c r="B2566" s="138">
        <f>'Acct Summary 7-8'!D6</f>
        <v>425800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17906034</v>
      </c>
      <c r="C2568" s="2" t="s">
        <v>593</v>
      </c>
      <c r="D2568" s="2" t="str">
        <f t="shared" si="39"/>
        <v>Error?</v>
      </c>
    </row>
    <row r="2569" spans="1:4" x14ac:dyDescent="0.2">
      <c r="A2569" s="5">
        <v>2508</v>
      </c>
      <c r="B2569" s="138">
        <f>'Acct Summary 7-8'!D13</f>
        <v>18669752</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18669752</v>
      </c>
      <c r="C2573" s="2" t="s">
        <v>593</v>
      </c>
      <c r="D2573" s="2" t="str">
        <f t="shared" si="39"/>
        <v>Error?</v>
      </c>
    </row>
    <row r="2574" spans="1:4" x14ac:dyDescent="0.2">
      <c r="A2574" s="5">
        <v>2513</v>
      </c>
      <c r="B2574" s="138">
        <f>'Acct Summary 7-8'!D20</f>
        <v>-763718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6663691</v>
      </c>
      <c r="C2591" s="2" t="s">
        <v>593</v>
      </c>
      <c r="D2591" s="2" t="str">
        <f t="shared" si="39"/>
        <v>Error?</v>
      </c>
    </row>
    <row r="2592" spans="1:4" x14ac:dyDescent="0.2">
      <c r="A2592" s="10">
        <v>2531</v>
      </c>
      <c r="D2592" s="2" t="str">
        <f t="shared" si="39"/>
        <v>OK</v>
      </c>
    </row>
    <row r="2593" spans="1:4" x14ac:dyDescent="0.2">
      <c r="A2593" s="5">
        <v>2532</v>
      </c>
      <c r="B2593" s="138">
        <f>'Acct Summary 7-8'!F6</f>
        <v>7441594</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14105285</v>
      </c>
      <c r="C2595" s="2" t="s">
        <v>593</v>
      </c>
      <c r="D2595" s="2" t="str">
        <f t="shared" si="39"/>
        <v>Error?</v>
      </c>
    </row>
    <row r="2596" spans="1:4" x14ac:dyDescent="0.2">
      <c r="A2596" s="5">
        <v>2535</v>
      </c>
      <c r="B2596" s="138">
        <f>'Acct Summary 7-8'!F13</f>
        <v>13735284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13735284</v>
      </c>
      <c r="C2600" s="2" t="s">
        <v>593</v>
      </c>
      <c r="D2600" s="2" t="str">
        <f t="shared" si="39"/>
        <v>Error?</v>
      </c>
    </row>
    <row r="2601" spans="1:4" x14ac:dyDescent="0.2">
      <c r="A2601" s="5">
        <v>2540</v>
      </c>
      <c r="B2601" s="138">
        <f>'Acct Summary 7-8'!F20</f>
        <v>370001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7374124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7374124</v>
      </c>
      <c r="C2606" s="2" t="s">
        <v>593</v>
      </c>
      <c r="D2606" s="2" t="str">
        <f t="shared" si="39"/>
        <v>Error?</v>
      </c>
    </row>
    <row r="2607" spans="1:4" x14ac:dyDescent="0.2">
      <c r="A2607" s="5">
        <v>2546</v>
      </c>
      <c r="B2607" s="138">
        <f>'Acct Summary 7-8'!G12</f>
        <v>2402160</v>
      </c>
      <c r="C2607" s="2" t="s">
        <v>593</v>
      </c>
      <c r="D2607" s="2" t="str">
        <f t="shared" si="39"/>
        <v>Error?</v>
      </c>
    </row>
    <row r="2608" spans="1:4" x14ac:dyDescent="0.2">
      <c r="A2608" s="5">
        <v>2547</v>
      </c>
      <c r="B2608" s="138">
        <f>'Acct Summary 7-8'!G13</f>
        <v>4497462</v>
      </c>
      <c r="C2608" s="2" t="s">
        <v>593</v>
      </c>
      <c r="D2608" s="2" t="str">
        <f t="shared" si="39"/>
        <v>Error?</v>
      </c>
    </row>
    <row r="2609" spans="1:4" x14ac:dyDescent="0.2">
      <c r="A2609" s="5">
        <v>2548</v>
      </c>
      <c r="B2609" s="138">
        <f>'Acct Summary 7-8'!G14</f>
        <v>674</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6900296</v>
      </c>
      <c r="C2612" s="2" t="s">
        <v>593</v>
      </c>
      <c r="D2612" s="2" t="str">
        <f t="shared" si="39"/>
        <v>Error?</v>
      </c>
    </row>
    <row r="2613" spans="1:4" x14ac:dyDescent="0.2">
      <c r="A2613" s="5">
        <v>2552</v>
      </c>
      <c r="B2613" s="138">
        <f>'Acct Summary 7-8'!G20</f>
        <v>473828</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31083519</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31083519</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33179053</v>
      </c>
      <c r="C2634" s="2" t="s">
        <v>593</v>
      </c>
      <c r="D2634" s="2" t="str">
        <f t="shared" si="40"/>
        <v>Error?</v>
      </c>
    </row>
    <row r="2635" spans="1:4" x14ac:dyDescent="0.2">
      <c r="A2635" s="5">
        <v>2574</v>
      </c>
      <c r="B2635" s="138">
        <f>'Acct Summary 7-8'!E17</f>
        <v>33179053</v>
      </c>
      <c r="C2635" s="2" t="s">
        <v>593</v>
      </c>
      <c r="D2635" s="2" t="str">
        <f t="shared" si="40"/>
        <v>Error?</v>
      </c>
    </row>
    <row r="2636" spans="1:4" x14ac:dyDescent="0.2">
      <c r="A2636" s="5">
        <v>2575</v>
      </c>
      <c r="B2636" s="138">
        <f>'Acct Summary 7-8'!E20</f>
        <v>-2095534</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146190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146190</v>
      </c>
      <c r="C2658" s="2" t="s">
        <v>593</v>
      </c>
      <c r="D2658" s="2" t="str">
        <f t="shared" si="40"/>
        <v>Error?</v>
      </c>
    </row>
    <row r="2659" spans="1:4" x14ac:dyDescent="0.2">
      <c r="A2659" s="5">
        <v>2598</v>
      </c>
      <c r="B2659" s="138">
        <f>'Acct Summary 7-8'!H13</f>
        <v>9906757</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9906757</v>
      </c>
      <c r="C2661" s="2" t="s">
        <v>593</v>
      </c>
      <c r="D2661" s="2" t="str">
        <f t="shared" si="40"/>
        <v>Error?</v>
      </c>
    </row>
    <row r="2662" spans="1:4" x14ac:dyDescent="0.2">
      <c r="A2662" s="5">
        <v>2601</v>
      </c>
      <c r="B2662" s="138">
        <f>'Acct Summary 7-8'!H20</f>
        <v>-9760567</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367905</v>
      </c>
      <c r="D2718" s="2" t="str">
        <f t="shared" si="41"/>
        <v>Error?</v>
      </c>
    </row>
    <row r="2719" spans="1:4" x14ac:dyDescent="0.2">
      <c r="A2719" s="5">
        <v>2658</v>
      </c>
      <c r="B2719" s="138">
        <f>'Expenditures 15-22'!D51</f>
        <v>105810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9874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483589</v>
      </c>
      <c r="C2724" s="2" t="s">
        <v>593</v>
      </c>
      <c r="D2724" s="2" t="str">
        <f t="shared" si="41"/>
        <v>Error?</v>
      </c>
    </row>
    <row r="2725" spans="1:4" x14ac:dyDescent="0.2">
      <c r="A2725" s="5">
        <v>2664</v>
      </c>
      <c r="B2725" s="138">
        <f>'Expenditures 15-22'!D247</f>
        <v>43780</v>
      </c>
      <c r="D2725" s="2" t="str">
        <f t="shared" si="41"/>
        <v>Error?</v>
      </c>
    </row>
    <row r="2726" spans="1:4" x14ac:dyDescent="0.2">
      <c r="A2726" s="5">
        <v>2665</v>
      </c>
      <c r="B2726" s="138">
        <f>'Expenditures 15-22'!K247</f>
        <v>43780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6161296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36445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13531</v>
      </c>
      <c r="D2887" s="2" t="str">
        <f t="shared" si="44"/>
        <v>Error?</v>
      </c>
    </row>
    <row r="2888" spans="1:4" x14ac:dyDescent="0.2">
      <c r="A2888" s="5">
        <v>2827</v>
      </c>
      <c r="B2888" s="138">
        <f>'Assets-Liab 5-6'!I13</f>
        <v>19639275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1109315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37233</v>
      </c>
      <c r="D2908" s="2" t="str">
        <f t="shared" si="44"/>
        <v>Error?</v>
      </c>
    </row>
    <row r="2909" spans="1:4" x14ac:dyDescent="0.2">
      <c r="A2909" s="10">
        <v>2848</v>
      </c>
      <c r="D2909" s="2" t="str">
        <f t="shared" si="44"/>
        <v>OK</v>
      </c>
    </row>
    <row r="2910" spans="1:4" x14ac:dyDescent="0.2">
      <c r="A2910" s="5">
        <v>2849</v>
      </c>
      <c r="B2910" s="138">
        <f>'Assets-Liab 5-6'!I34</f>
        <v>37233</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19602042</v>
      </c>
      <c r="D2912" s="2" t="str">
        <f t="shared" si="44"/>
        <v>Error?</v>
      </c>
    </row>
    <row r="2913" spans="1:4" x14ac:dyDescent="0.2">
      <c r="A2913" s="5">
        <v>2852</v>
      </c>
      <c r="B2913" s="138">
        <f>'Assets-Liab 5-6'!I41</f>
        <v>19639275</v>
      </c>
      <c r="C2913" s="2" t="s">
        <v>593</v>
      </c>
      <c r="D2913" s="2" t="str">
        <f t="shared" si="44"/>
        <v>Error?</v>
      </c>
    </row>
    <row r="2914" spans="1:4" x14ac:dyDescent="0.2">
      <c r="A2914" s="5">
        <v>2853</v>
      </c>
      <c r="B2914" s="138">
        <f>'Assets-Liab 5-6'!L33</f>
        <v>1109315</v>
      </c>
      <c r="D2914" s="2" t="str">
        <f t="shared" si="44"/>
        <v>Error?</v>
      </c>
    </row>
    <row r="2915" spans="1:4" x14ac:dyDescent="0.2">
      <c r="A2915" s="10">
        <v>2854</v>
      </c>
      <c r="D2915" s="2" t="str">
        <f t="shared" si="44"/>
        <v>OK</v>
      </c>
    </row>
    <row r="2916" spans="1:4" x14ac:dyDescent="0.2">
      <c r="A2916" s="5">
        <v>2855</v>
      </c>
      <c r="B2916" s="138">
        <f>'Assets-Liab 5-6'!L34</f>
        <v>1109315</v>
      </c>
      <c r="C2916" s="2" t="s">
        <v>593</v>
      </c>
      <c r="D2916" s="2" t="str">
        <f t="shared" si="44"/>
        <v>Error?</v>
      </c>
    </row>
    <row r="2917" spans="1:4" x14ac:dyDescent="0.2">
      <c r="A2917" s="5">
        <v>2856</v>
      </c>
      <c r="B2917" s="138">
        <f>'Assets-Liab 5-6'!L41</f>
        <v>1109315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169082</v>
      </c>
      <c r="D3055" s="2" t="str">
        <f t="shared" si="46"/>
        <v>Error?</v>
      </c>
    </row>
    <row r="3056" spans="1:4" x14ac:dyDescent="0.2">
      <c r="A3056" s="5">
        <v>2995</v>
      </c>
      <c r="B3056" s="138">
        <f>'Expenditures 15-22'!D10</f>
        <v>10876</v>
      </c>
      <c r="D3056" s="2" t="str">
        <f t="shared" si="46"/>
        <v>Error?</v>
      </c>
    </row>
    <row r="3057" spans="1:4" x14ac:dyDescent="0.2">
      <c r="A3057" s="5">
        <v>2996</v>
      </c>
      <c r="B3057" s="138">
        <f>'Expenditures 15-22'!E10</f>
        <v>1071107</v>
      </c>
      <c r="D3057" s="2" t="str">
        <f t="shared" si="46"/>
        <v>Error?</v>
      </c>
    </row>
    <row r="3058" spans="1:4" x14ac:dyDescent="0.2">
      <c r="A3058" s="5">
        <v>2997</v>
      </c>
      <c r="B3058" s="138">
        <f>'Expenditures 15-22'!F10</f>
        <v>808050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2059115</v>
      </c>
      <c r="C3062" s="2" t="s">
        <v>593</v>
      </c>
      <c r="D3062" s="2" t="str">
        <f t="shared" si="46"/>
        <v>Error?</v>
      </c>
    </row>
    <row r="3063" spans="1:4" x14ac:dyDescent="0.2">
      <c r="A3063" s="10">
        <v>3002</v>
      </c>
      <c r="D3063" s="2" t="str">
        <f t="shared" si="46"/>
        <v>OK</v>
      </c>
    </row>
    <row r="3064" spans="1:4" x14ac:dyDescent="0.2">
      <c r="A3064" s="5">
        <v>3003</v>
      </c>
      <c r="B3064" s="138">
        <f>'Expenditures 15-22'!D219</f>
        <v>12100</v>
      </c>
      <c r="D3064" s="2" t="str">
        <f t="shared" si="46"/>
        <v>Error?</v>
      </c>
    </row>
    <row r="3065" spans="1:4" x14ac:dyDescent="0.2">
      <c r="A3065" s="5">
        <v>3004</v>
      </c>
      <c r="B3065" s="138">
        <f>'Expenditures 15-22'!K219</f>
        <v>12100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119784</v>
      </c>
      <c r="C3225" s="2" t="s">
        <v>593</v>
      </c>
      <c r="D3225" s="2" t="str">
        <f t="shared" si="49"/>
        <v>Error?</v>
      </c>
    </row>
    <row r="3226" spans="1:4" x14ac:dyDescent="0.2">
      <c r="A3226" s="5">
        <v>3165</v>
      </c>
      <c r="B3226" s="138">
        <f>'Acct Summary 7-8'!I8</f>
        <v>119784</v>
      </c>
      <c r="C3226" s="2" t="s">
        <v>593</v>
      </c>
      <c r="D3226" s="2" t="str">
        <f t="shared" si="49"/>
        <v>Error?</v>
      </c>
    </row>
    <row r="3227" spans="1:4" x14ac:dyDescent="0.2">
      <c r="A3227" s="5">
        <v>3166</v>
      </c>
      <c r="B3227" s="138">
        <f>'Acct Summary 7-8'!I20</f>
        <v>119784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2433738</v>
      </c>
      <c r="C3231" s="2" t="s">
        <v>593</v>
      </c>
      <c r="D3231" s="2" t="str">
        <f t="shared" si="49"/>
        <v>Error?</v>
      </c>
    </row>
    <row r="3232" spans="1:4" x14ac:dyDescent="0.2">
      <c r="A3232" s="5">
        <v>3171</v>
      </c>
      <c r="B3232" s="138">
        <f>'Acct Summary 7-8'!C77</f>
        <v>-2433738</v>
      </c>
      <c r="C3232" s="2" t="s">
        <v>593</v>
      </c>
      <c r="D3232" s="2" t="str">
        <f t="shared" si="49"/>
        <v>Error?</v>
      </c>
    </row>
    <row r="3233" spans="1:4" x14ac:dyDescent="0.2">
      <c r="A3233" s="5">
        <v>3172</v>
      </c>
      <c r="B3233" s="138">
        <f>'Acct Summary 7-8'!C78</f>
        <v>8201584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11131</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330369</v>
      </c>
      <c r="C3237" s="2" t="s">
        <v>593</v>
      </c>
      <c r="D3237" s="2" t="str">
        <f t="shared" si="49"/>
        <v>Error?</v>
      </c>
    </row>
    <row r="3238" spans="1:4" x14ac:dyDescent="0.2">
      <c r="A3238" s="5">
        <v>3177</v>
      </c>
      <c r="B3238" s="138">
        <f>'Acct Summary 7-8'!D77</f>
        <v>-319238</v>
      </c>
      <c r="C3238" s="2" t="s">
        <v>593</v>
      </c>
      <c r="D3238" s="2" t="str">
        <f t="shared" si="49"/>
        <v>Error?</v>
      </c>
    </row>
    <row r="3239" spans="1:4" x14ac:dyDescent="0.2">
      <c r="A3239" s="5">
        <v>3178</v>
      </c>
      <c r="B3239" s="138">
        <f>'Acct Summary 7-8'!D78</f>
        <v>-1082956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370001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473828</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29784</v>
      </c>
      <c r="D3273" s="2" t="str">
        <f t="shared" si="50"/>
        <v>Error?</v>
      </c>
    </row>
    <row r="3274" spans="1:4" x14ac:dyDescent="0.2">
      <c r="A3274" s="5">
        <v>3213</v>
      </c>
      <c r="B3274" s="138">
        <f>'Acct Summary 7-8'!E44</f>
        <v>2793891</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2793891</v>
      </c>
      <c r="C3277" s="2" t="s">
        <v>593</v>
      </c>
      <c r="D3277" s="2" t="str">
        <f t="shared" si="50"/>
        <v>Error?</v>
      </c>
    </row>
    <row r="3278" spans="1:4" x14ac:dyDescent="0.2">
      <c r="A3278" s="5">
        <v>3217</v>
      </c>
      <c r="B3278" s="138">
        <f>'Acct Summary 7-8'!E78</f>
        <v>698357</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6971768</v>
      </c>
      <c r="D3295" s="2" t="str">
        <f t="shared" si="50"/>
        <v>Error?</v>
      </c>
    </row>
    <row r="3296" spans="1:4" x14ac:dyDescent="0.2">
      <c r="A3296" s="5">
        <v>3235</v>
      </c>
      <c r="B3296" s="138">
        <f>'Acct Summary 7-8'!H44</f>
        <v>6971768</v>
      </c>
      <c r="C3296" s="2" t="s">
        <v>593</v>
      </c>
      <c r="D3296" s="2" t="str">
        <f t="shared" si="50"/>
        <v>Error?</v>
      </c>
    </row>
    <row r="3297" spans="1:4" x14ac:dyDescent="0.2">
      <c r="A3297" s="5">
        <v>3236</v>
      </c>
      <c r="B3297" s="138">
        <f>'Acct Summary 7-8'!H75</f>
        <v>29784</v>
      </c>
      <c r="D3297" s="2" t="str">
        <f t="shared" si="50"/>
        <v>Error?</v>
      </c>
    </row>
    <row r="3298" spans="1:4" x14ac:dyDescent="0.2">
      <c r="A3298" s="5">
        <v>3237</v>
      </c>
      <c r="B3298" s="138">
        <f>'Acct Summary 7-8'!H76</f>
        <v>29784</v>
      </c>
      <c r="C3298" s="2" t="s">
        <v>593</v>
      </c>
      <c r="D3298" s="2" t="str">
        <f t="shared" si="50"/>
        <v>Error?</v>
      </c>
    </row>
    <row r="3299" spans="1:4" x14ac:dyDescent="0.2">
      <c r="A3299" s="5">
        <v>3238</v>
      </c>
      <c r="B3299" s="138">
        <f>'Acct Summary 7-8'!H77</f>
        <v>6941984</v>
      </c>
      <c r="C3299" s="2" t="s">
        <v>593</v>
      </c>
      <c r="D3299" s="2" t="str">
        <f t="shared" si="50"/>
        <v>Error?</v>
      </c>
    </row>
    <row r="3300" spans="1:4" x14ac:dyDescent="0.2">
      <c r="A3300" s="5">
        <v>3239</v>
      </c>
      <c r="B3300" s="138">
        <f>'Acct Summary 7-8'!H78</f>
        <v>-2818583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119784</v>
      </c>
      <c r="C3320" s="2" t="s">
        <v>593</v>
      </c>
      <c r="D3320" s="2" t="str">
        <f t="shared" si="50"/>
        <v>Error?</v>
      </c>
    </row>
    <row r="3321" spans="1:4" x14ac:dyDescent="0.2">
      <c r="A3321" s="5">
        <v>3260</v>
      </c>
      <c r="B3321" s="138">
        <f>'Acct Summary 7-8'!I79</f>
        <v>19482258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19602042</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26805622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6607436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2592149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112051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36117258</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1047789</v>
      </c>
      <c r="D3387" s="2" t="str">
        <f t="shared" si="51"/>
        <v>Error?</v>
      </c>
    </row>
    <row r="3388" spans="1:4" x14ac:dyDescent="0.2">
      <c r="A3388" s="5">
        <v>3327</v>
      </c>
      <c r="B3388" s="138">
        <f>'Expenditures 15-22'!D217</f>
        <v>968763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1047789</v>
      </c>
      <c r="C3390" s="2" t="s">
        <v>593</v>
      </c>
      <c r="D3390" s="2" t="str">
        <f t="shared" si="51"/>
        <v>Error?</v>
      </c>
    </row>
    <row r="3391" spans="1:4" x14ac:dyDescent="0.2">
      <c r="A3391" s="5">
        <v>3330</v>
      </c>
      <c r="B3391" s="138">
        <f>'Expenditures 15-22'!K217</f>
        <v>968763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49685734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4358834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15808006</v>
      </c>
      <c r="D3417" s="2" t="str">
        <f t="shared" si="52"/>
        <v>Error?</v>
      </c>
    </row>
    <row r="3418" spans="1:4" x14ac:dyDescent="0.2">
      <c r="A3418" s="10">
        <v>3357</v>
      </c>
      <c r="D3418" s="2" t="str">
        <f t="shared" si="52"/>
        <v>OK</v>
      </c>
    </row>
    <row r="3419" spans="1:4" x14ac:dyDescent="0.2">
      <c r="A3419" s="5">
        <v>3358</v>
      </c>
      <c r="B3419" s="138">
        <f>'Assets-Liab 5-6'!F4</f>
        <v>2239509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2914245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3980221</v>
      </c>
      <c r="D3425" s="2" t="str">
        <f t="shared" si="52"/>
        <v>Error?</v>
      </c>
    </row>
    <row r="3426" spans="1:4" x14ac:dyDescent="0.2">
      <c r="A3426" s="10">
        <v>3365</v>
      </c>
      <c r="D3426" s="2" t="str">
        <f t="shared" si="52"/>
        <v>OK</v>
      </c>
    </row>
    <row r="3427" spans="1:4" x14ac:dyDescent="0.2">
      <c r="A3427" s="5">
        <v>3366</v>
      </c>
      <c r="B3427" s="138">
        <f>'Assets-Liab 5-6'!I4</f>
        <v>19589299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1109315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2681750</v>
      </c>
      <c r="C3446" s="2" t="s">
        <v>593</v>
      </c>
      <c r="D3446" s="2" t="str">
        <f t="shared" si="52"/>
        <v>Error?</v>
      </c>
    </row>
    <row r="3447" spans="1:4" x14ac:dyDescent="0.2">
      <c r="A3447" s="5">
        <v>3386</v>
      </c>
      <c r="B3447" s="138">
        <f>'Tax Sched 23'!D16</f>
        <v>1280842</v>
      </c>
      <c r="C3447" s="2" t="s">
        <v>593</v>
      </c>
      <c r="D3447" s="2" t="str">
        <f t="shared" si="52"/>
        <v>Error?</v>
      </c>
    </row>
    <row r="3448" spans="1:4" x14ac:dyDescent="0.2">
      <c r="A3448" s="5">
        <v>3387</v>
      </c>
      <c r="B3448" s="138">
        <f>'Tax Sched 23'!C16</f>
        <v>1400908</v>
      </c>
      <c r="D3448" s="2" t="str">
        <f t="shared" si="52"/>
        <v>Error?</v>
      </c>
    </row>
    <row r="3449" spans="1:4" x14ac:dyDescent="0.2">
      <c r="A3449" s="5">
        <v>3388</v>
      </c>
      <c r="B3449" s="138">
        <f>'Tax Sched 23'!F16</f>
        <v>1346832</v>
      </c>
      <c r="C3449" s="2" t="s">
        <v>593</v>
      </c>
      <c r="D3449" s="2" t="str">
        <f t="shared" si="52"/>
        <v>Error?</v>
      </c>
    </row>
    <row r="3450" spans="1:4" x14ac:dyDescent="0.2">
      <c r="A3450" s="5">
        <v>3389</v>
      </c>
      <c r="B3450" s="138">
        <f>'Tax Sched 23'!E16</f>
        <v>2747740</v>
      </c>
      <c r="D3450" s="2" t="str">
        <f t="shared" si="52"/>
        <v>Error?</v>
      </c>
    </row>
    <row r="3451" spans="1:4" x14ac:dyDescent="0.2">
      <c r="A3451" s="5">
        <v>3390</v>
      </c>
      <c r="B3451" s="138">
        <f>'Cap Outlay Deprec 26'!C15</f>
        <v>8914800</v>
      </c>
      <c r="D3451" s="2" t="str">
        <f t="shared" si="52"/>
        <v>Error?</v>
      </c>
    </row>
    <row r="3452" spans="1:4" x14ac:dyDescent="0.2">
      <c r="A3452" s="5">
        <v>3391</v>
      </c>
      <c r="B3452" s="138">
        <f>'Cap Outlay Deprec 26'!D15</f>
        <v>1425543</v>
      </c>
      <c r="D3452" s="2" t="str">
        <f t="shared" si="52"/>
        <v>Error?</v>
      </c>
    </row>
    <row r="3453" spans="1:4" x14ac:dyDescent="0.2">
      <c r="A3453" s="5">
        <v>3392</v>
      </c>
      <c r="B3453" s="138">
        <f>'Cap Outlay Deprec 26'!E15</f>
        <v>4179048</v>
      </c>
      <c r="D3453" s="2" t="str">
        <f t="shared" si="52"/>
        <v>Error?</v>
      </c>
    </row>
    <row r="3454" spans="1:4" x14ac:dyDescent="0.2">
      <c r="A3454" s="5">
        <v>3393</v>
      </c>
      <c r="B3454" s="138">
        <f>'Cap Outlay Deprec 26'!F15</f>
        <v>6161295</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6161295</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11131</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7748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7748</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7748</v>
      </c>
      <c r="D3567" s="2" t="str">
        <f t="shared" si="54"/>
        <v>Error?</v>
      </c>
    </row>
    <row r="3568" spans="1:4" x14ac:dyDescent="0.2">
      <c r="A3568" s="5">
        <v>3507</v>
      </c>
      <c r="B3568" s="138">
        <f>'Assets-Liab 5-6'!K41</f>
        <v>7748</v>
      </c>
      <c r="C3568" s="2" t="s">
        <v>593</v>
      </c>
      <c r="D3568" s="2" t="str">
        <f t="shared" si="54"/>
        <v>Error?</v>
      </c>
    </row>
    <row r="3569" spans="1:4" x14ac:dyDescent="0.2">
      <c r="A3569" s="5">
        <v>3508</v>
      </c>
      <c r="B3569" s="138">
        <f>'Acct Summary 7-8'!K4</f>
        <v>3631</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3631</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3631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3631</v>
      </c>
      <c r="C3588" s="2" t="s">
        <v>593</v>
      </c>
      <c r="D3588" s="2" t="str">
        <f t="shared" si="55"/>
        <v>Error?</v>
      </c>
    </row>
    <row r="3589" spans="1:4" x14ac:dyDescent="0.2">
      <c r="A3589" s="5">
        <v>3528</v>
      </c>
      <c r="B3589" s="138">
        <f>'Acct Summary 7-8'!K79</f>
        <v>4117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7748</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3631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3906977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80804456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283614870</v>
      </c>
      <c r="C4122" s="2" t="s">
        <v>593</v>
      </c>
      <c r="D4122" s="2" t="str">
        <f t="shared" si="63"/>
        <v>Error?</v>
      </c>
    </row>
    <row r="4123" spans="1:4" x14ac:dyDescent="0.2">
      <c r="A4123" s="5">
        <v>4062</v>
      </c>
      <c r="B4123" s="138">
        <f>'Acct Summary 7-8'!D10</f>
        <v>17906034</v>
      </c>
      <c r="C4123" s="2" t="s">
        <v>593</v>
      </c>
      <c r="D4123" s="2" t="str">
        <f t="shared" si="63"/>
        <v>Error?</v>
      </c>
    </row>
    <row r="4124" spans="1:4" x14ac:dyDescent="0.2">
      <c r="A4124" s="5">
        <v>4063</v>
      </c>
      <c r="B4124" s="138">
        <f>'Acct Summary 7-8'!E10</f>
        <v>31083519</v>
      </c>
      <c r="C4124" s="2" t="s">
        <v>593</v>
      </c>
      <c r="D4124" s="2" t="str">
        <f t="shared" si="63"/>
        <v>Error?</v>
      </c>
    </row>
    <row r="4125" spans="1:4" x14ac:dyDescent="0.2">
      <c r="A4125" s="5">
        <v>4064</v>
      </c>
      <c r="B4125" s="138">
        <f>'Acct Summary 7-8'!F10</f>
        <v>14105285</v>
      </c>
      <c r="C4125" s="2" t="s">
        <v>593</v>
      </c>
      <c r="D4125" s="2" t="str">
        <f t="shared" si="63"/>
        <v>Error?</v>
      </c>
    </row>
    <row r="4126" spans="1:4" x14ac:dyDescent="0.2">
      <c r="A4126" s="5">
        <v>4065</v>
      </c>
      <c r="B4126" s="138">
        <f>'Acct Summary 7-8'!G10</f>
        <v>7374124</v>
      </c>
      <c r="C4126" s="2" t="s">
        <v>593</v>
      </c>
      <c r="D4126" s="2" t="str">
        <f t="shared" si="63"/>
        <v>Error?</v>
      </c>
    </row>
    <row r="4127" spans="1:4" x14ac:dyDescent="0.2">
      <c r="A4127" s="5">
        <v>4066</v>
      </c>
      <c r="B4127" s="138">
        <f>'Acct Summary 7-8'!H10</f>
        <v>146190</v>
      </c>
      <c r="C4127" s="2" t="s">
        <v>593</v>
      </c>
      <c r="D4127" s="2" t="str">
        <f t="shared" si="63"/>
        <v>Error?</v>
      </c>
    </row>
    <row r="4128" spans="1:4" x14ac:dyDescent="0.2">
      <c r="A4128" s="5">
        <v>4067</v>
      </c>
      <c r="B4128" s="138">
        <f>'Acct Summary 7-8'!I10</f>
        <v>119784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3631</v>
      </c>
      <c r="C4130" s="2" t="s">
        <v>593</v>
      </c>
      <c r="D4130" s="2" t="str">
        <f t="shared" si="63"/>
        <v>Error?</v>
      </c>
    </row>
    <row r="4131" spans="1:4" x14ac:dyDescent="0.2">
      <c r="A4131" s="5">
        <v>4070</v>
      </c>
      <c r="B4131" s="138">
        <f>'Acct Summary 7-8'!C18</f>
        <v>80804456</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272979548</v>
      </c>
      <c r="C4136" s="2" t="s">
        <v>593</v>
      </c>
      <c r="D4136" s="2" t="str">
        <f t="shared" si="63"/>
        <v>Error?</v>
      </c>
    </row>
    <row r="4137" spans="1:4" x14ac:dyDescent="0.2">
      <c r="A4137" s="5">
        <v>4076</v>
      </c>
      <c r="B4137" s="138">
        <f>'Acct Summary 7-8'!D19</f>
        <v>18669752</v>
      </c>
      <c r="C4137" s="2" t="s">
        <v>593</v>
      </c>
      <c r="D4137" s="2" t="str">
        <f t="shared" si="63"/>
        <v>Error?</v>
      </c>
    </row>
    <row r="4138" spans="1:4" x14ac:dyDescent="0.2">
      <c r="A4138" s="5">
        <v>4077</v>
      </c>
      <c r="B4138" s="138">
        <f>'Acct Summary 7-8'!E19</f>
        <v>33179053</v>
      </c>
      <c r="C4138" s="2" t="s">
        <v>593</v>
      </c>
      <c r="D4138" s="2" t="str">
        <f t="shared" si="63"/>
        <v>Error?</v>
      </c>
    </row>
    <row r="4139" spans="1:4" x14ac:dyDescent="0.2">
      <c r="A4139" s="5">
        <v>4078</v>
      </c>
      <c r="B4139" s="138">
        <f>'Acct Summary 7-8'!F19</f>
        <v>13735284</v>
      </c>
      <c r="C4139" s="2" t="s">
        <v>593</v>
      </c>
      <c r="D4139" s="2" t="str">
        <f t="shared" si="63"/>
        <v>Error?</v>
      </c>
    </row>
    <row r="4140" spans="1:4" x14ac:dyDescent="0.2">
      <c r="A4140" s="5">
        <v>4079</v>
      </c>
      <c r="B4140" s="138">
        <f>'Acct Summary 7-8'!G19</f>
        <v>6900296</v>
      </c>
      <c r="C4140" s="2" t="s">
        <v>593</v>
      </c>
      <c r="D4140" s="2" t="str">
        <f t="shared" si="63"/>
        <v>Error?</v>
      </c>
    </row>
    <row r="4141" spans="1:4" x14ac:dyDescent="0.2">
      <c r="A4141" s="5">
        <v>4080</v>
      </c>
      <c r="B4141" s="138">
        <f>'Acct Summary 7-8'!H19</f>
        <v>9906757</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317592532</v>
      </c>
      <c r="C4171" s="2" t="s">
        <v>593</v>
      </c>
      <c r="D4171" s="2" t="str">
        <f t="shared" si="64"/>
        <v>Error?</v>
      </c>
    </row>
    <row r="4172" spans="1:4" x14ac:dyDescent="0.2">
      <c r="A4172" s="5">
        <v>4111</v>
      </c>
      <c r="B4172" s="138">
        <f>'Short-Term Long-Term Debt 24'!J49</f>
        <v>302068339</v>
      </c>
      <c r="C4172" s="2" t="s">
        <v>593</v>
      </c>
      <c r="D4172" s="2" t="str">
        <f t="shared" si="64"/>
        <v>Error?</v>
      </c>
    </row>
    <row r="4173" spans="1:4" x14ac:dyDescent="0.2">
      <c r="A4173" s="5">
        <v>4112</v>
      </c>
      <c r="B4173" s="138">
        <f>'Short-Term Long-Term Debt 24'!H49</f>
        <v>28267842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18678106</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3920</v>
      </c>
      <c r="C4265" s="2" t="s">
        <v>593</v>
      </c>
      <c r="D4265" s="2" t="str">
        <f t="shared" si="65"/>
        <v>Error?</v>
      </c>
      <c r="E4265" s="128"/>
    </row>
    <row r="4266" spans="1:5" x14ac:dyDescent="0.2">
      <c r="A4266" s="12">
        <v>4205</v>
      </c>
      <c r="B4266" s="138">
        <f>('FP Info 3'!F10)*100000</f>
        <v>710.4</v>
      </c>
      <c r="C4266" s="2" t="s">
        <v>593</v>
      </c>
      <c r="D4266" s="2" t="str">
        <f t="shared" si="65"/>
        <v>Error?</v>
      </c>
      <c r="E4266" s="128"/>
    </row>
    <row r="4267" spans="1:5" x14ac:dyDescent="0.2">
      <c r="A4267" s="12">
        <v>4206</v>
      </c>
      <c r="B4267" s="138">
        <f>('FP Info 3'!H10)*100000</f>
        <v>248</v>
      </c>
      <c r="C4267" s="2" t="s">
        <v>593</v>
      </c>
      <c r="D4267" s="2" t="str">
        <f t="shared" si="65"/>
        <v>Error?</v>
      </c>
      <c r="E4267" s="128"/>
    </row>
    <row r="4268" spans="1:5" x14ac:dyDescent="0.2">
      <c r="A4268" s="12">
        <v>4207</v>
      </c>
      <c r="B4268" s="138">
        <f>('FP Info 3'!J10)*100000</f>
        <v>4878</v>
      </c>
      <c r="C4268" s="2" t="s">
        <v>593</v>
      </c>
      <c r="D4268" s="2" t="str">
        <f t="shared" si="65"/>
        <v>Error?</v>
      </c>
    </row>
    <row r="4269" spans="1:5" x14ac:dyDescent="0.2">
      <c r="A4269" s="12">
        <v>4208</v>
      </c>
      <c r="B4269" s="138">
        <f>'FP Info 3'!J16</f>
        <v>66443359</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124048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1472646</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263887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303825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3.1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121309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23008</v>
      </c>
      <c r="D4792" s="2" t="str">
        <f t="shared" si="73"/>
        <v>Error?</v>
      </c>
    </row>
    <row r="4793" spans="1:4" x14ac:dyDescent="0.2">
      <c r="A4793" s="5">
        <v>4732</v>
      </c>
      <c r="B4793" s="138">
        <f>'Revenues 9-14'!D171</f>
        <v>425800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236224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2451150733</v>
      </c>
      <c r="D4995" s="2" t="str">
        <f t="shared" si="77"/>
        <v>Error?</v>
      </c>
    </row>
    <row r="4996" spans="1:4" x14ac:dyDescent="0.2">
      <c r="A4996" s="12">
        <v>4935</v>
      </c>
      <c r="B4996" s="138">
        <f>'FP Info 3'!H31</f>
        <v>338258801.15400004</v>
      </c>
      <c r="D4996" s="2" t="str">
        <f t="shared" si="77"/>
        <v>Error?</v>
      </c>
    </row>
    <row r="4997" spans="1:4" x14ac:dyDescent="0.2">
      <c r="A4997" s="12">
        <v>4936</v>
      </c>
      <c r="B4997" s="138">
        <f>'FP Info 3'!H37</f>
        <v>317592532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93884641</v>
      </c>
      <c r="D5061" s="2" t="str">
        <f t="shared" si="78"/>
        <v>Error?</v>
      </c>
    </row>
    <row r="5062" spans="1:4" x14ac:dyDescent="0.2">
      <c r="A5062" s="10">
        <v>5001</v>
      </c>
      <c r="D5062" s="2" t="str">
        <f t="shared" si="78"/>
        <v>OK</v>
      </c>
    </row>
    <row r="5063" spans="1:4" x14ac:dyDescent="0.2">
      <c r="A5063" s="5">
        <v>5002</v>
      </c>
      <c r="B5063" s="138">
        <f>'Revenues 9-14'!C7</f>
        <v>18405254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112289895</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5696951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5696951</v>
      </c>
      <c r="C5071" s="2" t="s">
        <v>593</v>
      </c>
      <c r="D5071" s="2" t="str">
        <f t="shared" si="78"/>
        <v>Error?</v>
      </c>
    </row>
    <row r="5072" spans="1:4" x14ac:dyDescent="0.2">
      <c r="A5072" s="5">
        <v>5011</v>
      </c>
      <c r="B5072" s="138">
        <f>'Revenues 9-14'!C20</f>
        <v>82278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93217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175495</v>
      </c>
      <c r="C5087" s="2" t="s">
        <v>593</v>
      </c>
      <c r="D5087" s="2" t="str">
        <f t="shared" si="78"/>
        <v>Error?</v>
      </c>
    </row>
    <row r="5088" spans="1:4" x14ac:dyDescent="0.2">
      <c r="A5088" s="5">
        <v>5027</v>
      </c>
      <c r="B5088" s="138">
        <f>'Revenues 9-14'!C65</f>
        <v>600494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600494</v>
      </c>
      <c r="C5090" s="2" t="s">
        <v>593</v>
      </c>
      <c r="D5090" s="2" t="str">
        <f t="shared" si="78"/>
        <v>Error?</v>
      </c>
    </row>
    <row r="5091" spans="1:4" x14ac:dyDescent="0.2">
      <c r="A5091" s="5">
        <v>5030</v>
      </c>
      <c r="B5091" s="138">
        <f>'Revenues 9-14'!C70</f>
        <v>200268</v>
      </c>
      <c r="D5091" s="2" t="str">
        <f t="shared" si="78"/>
        <v>Error?</v>
      </c>
    </row>
    <row r="5092" spans="1:4" x14ac:dyDescent="0.2">
      <c r="A5092" s="5">
        <v>5031</v>
      </c>
      <c r="B5092" s="138">
        <f>'Revenues 9-14'!C71</f>
        <v>167812</v>
      </c>
      <c r="D5092" s="2" t="str">
        <f t="shared" si="78"/>
        <v>Error?</v>
      </c>
    </row>
    <row r="5093" spans="1:4" x14ac:dyDescent="0.2">
      <c r="A5093" s="5">
        <v>5032</v>
      </c>
      <c r="B5093" s="138">
        <f>'Revenues 9-14'!C72</f>
        <v>10487</v>
      </c>
      <c r="D5093" s="2" t="str">
        <f t="shared" si="78"/>
        <v>Error?</v>
      </c>
    </row>
    <row r="5094" spans="1:4" x14ac:dyDescent="0.2">
      <c r="A5094" s="5">
        <v>5033</v>
      </c>
      <c r="B5094" s="138">
        <f>'Revenues 9-14'!C73</f>
        <v>0</v>
      </c>
      <c r="D5094" s="2" t="str">
        <f t="shared" si="78"/>
        <v>Error?</v>
      </c>
    </row>
    <row r="5095" spans="1:4" x14ac:dyDescent="0.2">
      <c r="A5095" s="5">
        <v>5034</v>
      </c>
      <c r="B5095" s="138">
        <f>'Revenues 9-14'!C74</f>
        <v>87920</v>
      </c>
      <c r="D5095" s="2" t="str">
        <f t="shared" si="78"/>
        <v>Error?</v>
      </c>
    </row>
    <row r="5096" spans="1:4" x14ac:dyDescent="0.2">
      <c r="A5096" s="5">
        <v>5035</v>
      </c>
      <c r="B5096" s="138">
        <f>'Revenues 9-14'!C75</f>
        <v>2194998</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2393915</v>
      </c>
      <c r="D5099" s="2" t="str">
        <f t="shared" si="78"/>
        <v>Error?</v>
      </c>
    </row>
    <row r="5100" spans="1:4" x14ac:dyDescent="0.2">
      <c r="A5100" s="5">
        <v>5039</v>
      </c>
      <c r="B5100" s="138">
        <f>'Revenues 9-14'!C80</f>
        <v>6121</v>
      </c>
      <c r="D5100" s="2" t="str">
        <f t="shared" si="78"/>
        <v>Error?</v>
      </c>
    </row>
    <row r="5101" spans="1:4" x14ac:dyDescent="0.2">
      <c r="A5101" s="5">
        <v>5040</v>
      </c>
      <c r="B5101" s="138">
        <f>'Revenues 9-14'!C81</f>
        <v>52350</v>
      </c>
      <c r="D5101" s="2" t="str">
        <f t="shared" si="78"/>
        <v>Error?</v>
      </c>
    </row>
    <row r="5102" spans="1:4" x14ac:dyDescent="0.2">
      <c r="A5102" s="5">
        <v>5041</v>
      </c>
      <c r="B5102" s="138">
        <f>'Revenues 9-14'!C82</f>
        <v>2452386</v>
      </c>
      <c r="C5102" s="2" t="s">
        <v>593</v>
      </c>
      <c r="D5102" s="2" t="str">
        <f t="shared" si="78"/>
        <v>Error?</v>
      </c>
    </row>
    <row r="5103" spans="1:4" x14ac:dyDescent="0.2">
      <c r="A5103" s="5">
        <v>5042</v>
      </c>
      <c r="B5103" s="138">
        <f>'Revenues 9-14'!C84</f>
        <v>480612</v>
      </c>
      <c r="D5103" s="2" t="str">
        <f t="shared" si="78"/>
        <v>Error?</v>
      </c>
    </row>
    <row r="5104" spans="1:4" x14ac:dyDescent="0.2">
      <c r="A5104" s="5">
        <v>5043</v>
      </c>
      <c r="B5104" s="138">
        <f>'Revenues 9-14'!C85</f>
        <v>1930</v>
      </c>
      <c r="D5104" s="2" t="str">
        <f t="shared" si="78"/>
        <v>Error?</v>
      </c>
    </row>
    <row r="5105" spans="1:4" x14ac:dyDescent="0.2">
      <c r="A5105" s="5">
        <v>5044</v>
      </c>
      <c r="B5105" s="138">
        <f>'Revenues 9-14'!C86</f>
        <v>2975</v>
      </c>
      <c r="D5105" s="2" t="str">
        <f t="shared" si="78"/>
        <v>Error?</v>
      </c>
    </row>
    <row r="5106" spans="1:4" x14ac:dyDescent="0.2">
      <c r="A5106" s="5">
        <v>5045</v>
      </c>
      <c r="B5106" s="138">
        <f>'Revenues 9-14'!C87</f>
        <v>15913</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501430</v>
      </c>
      <c r="C5112" s="2" t="s">
        <v>593</v>
      </c>
      <c r="D5112" s="2" t="str">
        <f t="shared" si="78"/>
        <v>Error?</v>
      </c>
    </row>
    <row r="5113" spans="1:4" x14ac:dyDescent="0.2">
      <c r="A5113" s="5">
        <v>5052</v>
      </c>
      <c r="B5113" s="138">
        <f>'Revenues 9-14'!C95</f>
        <v>11681</v>
      </c>
      <c r="D5113" s="2" t="str">
        <f t="shared" si="78"/>
        <v>Error?</v>
      </c>
    </row>
    <row r="5114" spans="1:4" x14ac:dyDescent="0.2">
      <c r="A5114" s="5">
        <v>5053</v>
      </c>
      <c r="B5114" s="138">
        <f>'Revenues 9-14'!C96</f>
        <v>0</v>
      </c>
      <c r="D5114" s="2" t="str">
        <f t="shared" si="78"/>
        <v>Error?</v>
      </c>
    </row>
    <row r="5115" spans="1:4" x14ac:dyDescent="0.2">
      <c r="A5115" s="5">
        <v>5054</v>
      </c>
      <c r="B5115" s="138">
        <f>'Revenues 9-14'!C98</f>
        <v>560</v>
      </c>
      <c r="D5115" s="2" t="str">
        <f t="shared" si="78"/>
        <v>Error?</v>
      </c>
    </row>
    <row r="5116" spans="1:4" x14ac:dyDescent="0.2">
      <c r="A5116" s="5">
        <v>5055</v>
      </c>
      <c r="B5116" s="138">
        <f>'Revenues 9-14'!C99</f>
        <v>41439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8705932</v>
      </c>
      <c r="D5119" s="2" t="str">
        <f t="shared" ref="D5119:D5182" si="79">IF(ISBLANK(B5119),"OK",IF(A5119-B5119=0,"OK","Error?"))</f>
        <v>Error?</v>
      </c>
    </row>
    <row r="5120" spans="1:4" x14ac:dyDescent="0.2">
      <c r="A5120" s="5">
        <v>5059</v>
      </c>
      <c r="B5120" s="138">
        <f>'Revenues 9-14'!C108</f>
        <v>9304558</v>
      </c>
      <c r="C5120" s="2" t="s">
        <v>593</v>
      </c>
      <c r="D5120" s="2" t="str">
        <f t="shared" si="79"/>
        <v>Error?</v>
      </c>
    </row>
    <row r="5121" spans="1:4" x14ac:dyDescent="0.2">
      <c r="A5121" s="5">
        <v>5060</v>
      </c>
      <c r="B5121" s="138">
        <f>'Revenues 9-14'!C109</f>
        <v>133216207</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45269921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45269921</v>
      </c>
      <c r="C5132" s="2" t="s">
        <v>593</v>
      </c>
      <c r="D5132" s="2" t="str">
        <f t="shared" si="79"/>
        <v>Error?</v>
      </c>
    </row>
    <row r="5133" spans="1:4" x14ac:dyDescent="0.2">
      <c r="A5133" s="5">
        <v>5072</v>
      </c>
      <c r="B5133" s="138">
        <f>'Revenues 9-14'!C124</f>
        <v>2505094</v>
      </c>
      <c r="D5133" s="2" t="str">
        <f t="shared" si="79"/>
        <v>Error?</v>
      </c>
    </row>
    <row r="5134" spans="1:4" x14ac:dyDescent="0.2">
      <c r="A5134" s="5">
        <v>5073</v>
      </c>
      <c r="B5134" s="138">
        <f>'Revenues 9-14'!C125</f>
        <v>578808</v>
      </c>
      <c r="D5134" s="2" t="str">
        <f t="shared" si="79"/>
        <v>Error?</v>
      </c>
    </row>
    <row r="5135" spans="1:4" x14ac:dyDescent="0.2">
      <c r="A5135" s="5">
        <v>5074</v>
      </c>
      <c r="B5135" s="138">
        <f>'Revenues 9-14'!C126</f>
        <v>1065059</v>
      </c>
      <c r="D5135" s="2" t="str">
        <f t="shared" si="79"/>
        <v>Error?</v>
      </c>
    </row>
    <row r="5136" spans="1:4" x14ac:dyDescent="0.2">
      <c r="A5136" s="10">
        <v>5075</v>
      </c>
      <c r="D5136" s="2" t="str">
        <f t="shared" si="79"/>
        <v>OK</v>
      </c>
    </row>
    <row r="5137" spans="1:4" x14ac:dyDescent="0.2">
      <c r="A5137" s="5">
        <v>5076</v>
      </c>
      <c r="B5137" s="138">
        <f>'Revenues 9-14'!C127</f>
        <v>895005</v>
      </c>
      <c r="D5137" s="2" t="str">
        <f t="shared" si="79"/>
        <v>Error?</v>
      </c>
    </row>
    <row r="5138" spans="1:4" x14ac:dyDescent="0.2">
      <c r="A5138" s="10">
        <v>5077</v>
      </c>
      <c r="D5138" s="2" t="str">
        <f t="shared" si="79"/>
        <v>OK</v>
      </c>
    </row>
    <row r="5139" spans="1:4" x14ac:dyDescent="0.2">
      <c r="A5139" s="5">
        <v>5078</v>
      </c>
      <c r="B5139" s="138">
        <f>'Revenues 9-14'!C128</f>
        <v>38163</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104954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5187083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152655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152655</v>
      </c>
      <c r="C5161" s="2" t="s">
        <v>593</v>
      </c>
      <c r="D5161" s="2" t="str">
        <f t="shared" si="79"/>
        <v>Error?</v>
      </c>
    </row>
    <row r="5162" spans="1:4" x14ac:dyDescent="0.2">
      <c r="A5162" s="10">
        <v>5101</v>
      </c>
      <c r="D5162" s="2" t="str">
        <f t="shared" si="79"/>
        <v>OK</v>
      </c>
    </row>
    <row r="5163" spans="1:4" x14ac:dyDescent="0.2">
      <c r="A5163" s="5">
        <v>5102</v>
      </c>
      <c r="B5163" s="138">
        <f>'Revenues 9-14'!C142</f>
        <v>1032436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1032436</v>
      </c>
      <c r="C5165" s="2" t="s">
        <v>593</v>
      </c>
      <c r="D5165" s="2" t="str">
        <f t="shared" si="79"/>
        <v>Error?</v>
      </c>
    </row>
    <row r="5166" spans="1:4" x14ac:dyDescent="0.2">
      <c r="A5166" s="10">
        <v>5105</v>
      </c>
      <c r="D5166" s="2" t="str">
        <f t="shared" si="79"/>
        <v>OK</v>
      </c>
    </row>
    <row r="5167" spans="1:4" x14ac:dyDescent="0.2">
      <c r="A5167" s="5">
        <v>5106</v>
      </c>
      <c r="B5167" s="138">
        <f>'Revenues 9-14'!C145</f>
        <v>58634</v>
      </c>
      <c r="D5167" s="2" t="str">
        <f t="shared" si="79"/>
        <v>Error?</v>
      </c>
    </row>
    <row r="5168" spans="1:4" x14ac:dyDescent="0.2">
      <c r="A5168" s="5">
        <v>5107</v>
      </c>
      <c r="B5168" s="138">
        <f>'Revenues 9-14'!C147</f>
        <v>132089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514028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7099933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52369854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4690901</v>
      </c>
      <c r="D5239" s="2" t="str">
        <f t="shared" si="80"/>
        <v>Error?</v>
      </c>
    </row>
    <row r="5240" spans="1:4" x14ac:dyDescent="0.2">
      <c r="A5240" s="5">
        <v>5179</v>
      </c>
      <c r="B5240" s="138">
        <f>'Revenues 9-14'!C195</f>
        <v>7155</v>
      </c>
      <c r="D5240" s="2" t="str">
        <f t="shared" si="80"/>
        <v>Error?</v>
      </c>
    </row>
    <row r="5241" spans="1:4" x14ac:dyDescent="0.2">
      <c r="A5241" s="5">
        <v>5180</v>
      </c>
      <c r="B5241" s="138">
        <f>'Revenues 9-14'!C196</f>
        <v>1368016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132717</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6198789</v>
      </c>
      <c r="C5246" s="2" t="s">
        <v>593</v>
      </c>
      <c r="D5246" s="2" t="str">
        <f t="shared" si="80"/>
        <v>Error?</v>
      </c>
    </row>
    <row r="5247" spans="1:4" x14ac:dyDescent="0.2">
      <c r="A5247" s="5">
        <v>5186</v>
      </c>
      <c r="B5247" s="138">
        <f>'Revenues 9-14'!C203</f>
        <v>4121937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4121937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93366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3331587</v>
      </c>
      <c r="D5278" s="2" t="str">
        <f t="shared" si="81"/>
        <v>Error?</v>
      </c>
    </row>
    <row r="5279" spans="1:4" x14ac:dyDescent="0.2">
      <c r="A5279" s="5">
        <v>5218</v>
      </c>
      <c r="B5279" s="138">
        <f>'Revenues 9-14'!C221</f>
        <v>66893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3491846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113833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113833</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19537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9566</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17224353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17224353</v>
      </c>
      <c r="C5326" s="2" t="s">
        <v>593</v>
      </c>
      <c r="D5326" s="2" t="str">
        <f t="shared" si="82"/>
        <v>Error?</v>
      </c>
    </row>
    <row r="5327" spans="1:4" x14ac:dyDescent="0.2">
      <c r="A5327" s="5">
        <v>5266</v>
      </c>
      <c r="B5327" s="138">
        <f>'Revenues 9-14'!C275</f>
        <v>202810414</v>
      </c>
      <c r="C5327" s="2" t="s">
        <v>593</v>
      </c>
      <c r="D5327" s="2" t="str">
        <f t="shared" si="82"/>
        <v>Error?</v>
      </c>
    </row>
    <row r="5328" spans="1:4" x14ac:dyDescent="0.2">
      <c r="A5328" s="5">
        <v>5267</v>
      </c>
      <c r="B5328" s="138">
        <f>'Revenues 9-14'!D5</f>
        <v>17001560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17001560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30251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30251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38226</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38226</v>
      </c>
      <c r="C5348" s="2" t="s">
        <v>593</v>
      </c>
      <c r="D5348" s="2" t="str">
        <f t="shared" si="82"/>
        <v>Error?</v>
      </c>
    </row>
    <row r="5349" spans="1:4" x14ac:dyDescent="0.2">
      <c r="A5349" s="5">
        <v>5288</v>
      </c>
      <c r="B5349" s="138">
        <f>'Revenues 9-14'!D95</f>
        <v>188854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2390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160193</v>
      </c>
      <c r="D5354" s="2" t="str">
        <f t="shared" si="82"/>
        <v>Error?</v>
      </c>
    </row>
    <row r="5355" spans="1:4" x14ac:dyDescent="0.2">
      <c r="A5355" s="5">
        <v>5294</v>
      </c>
      <c r="B5355" s="138">
        <f>'Revenues 9-14'!D108</f>
        <v>410197</v>
      </c>
      <c r="C5355" s="2" t="s">
        <v>593</v>
      </c>
      <c r="D5355" s="2" t="str">
        <f t="shared" si="82"/>
        <v>Error?</v>
      </c>
    </row>
    <row r="5356" spans="1:4" x14ac:dyDescent="0.2">
      <c r="A5356" s="5">
        <v>5295</v>
      </c>
      <c r="B5356" s="138">
        <f>'Revenues 9-14'!D109</f>
        <v>17480234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425800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425800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17906034</v>
      </c>
      <c r="C5508" s="2" t="s">
        <v>593</v>
      </c>
      <c r="D5508" s="2" t="str">
        <f t="shared" si="85"/>
        <v>Error?</v>
      </c>
    </row>
    <row r="5509" spans="1:4" x14ac:dyDescent="0.2">
      <c r="A5509" s="5">
        <v>5448</v>
      </c>
      <c r="B5509" s="138">
        <f>'Revenues 9-14'!E5</f>
        <v>30827095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30827095</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148758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148758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8463</v>
      </c>
      <c r="D5525" s="2" t="str">
        <f t="shared" si="85"/>
        <v>Error?</v>
      </c>
    </row>
    <row r="5526" spans="1:4" x14ac:dyDescent="0.2">
      <c r="A5526" s="5">
        <v>5465</v>
      </c>
      <c r="B5526" s="138">
        <f>'Revenues 9-14'!E108</f>
        <v>107666</v>
      </c>
      <c r="C5526" s="2" t="s">
        <v>593</v>
      </c>
      <c r="D5526" s="2" t="str">
        <f t="shared" si="85"/>
        <v>Error?</v>
      </c>
    </row>
    <row r="5527" spans="1:4" x14ac:dyDescent="0.2">
      <c r="A5527" s="5">
        <v>5466</v>
      </c>
      <c r="B5527" s="138">
        <f>'Revenues 9-14'!E109</f>
        <v>31083519</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31083519</v>
      </c>
      <c r="C5552" s="2" t="s">
        <v>593</v>
      </c>
      <c r="D5552" s="2" t="str">
        <f t="shared" si="85"/>
        <v>Error?</v>
      </c>
    </row>
    <row r="5553" spans="1:4" x14ac:dyDescent="0.2">
      <c r="A5553" s="5">
        <v>5492</v>
      </c>
      <c r="B5553" s="138">
        <f>'Revenues 9-14'!F5</f>
        <v>5935369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5935369</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62977</v>
      </c>
      <c r="D5564" s="2" t="str">
        <f t="shared" si="85"/>
        <v>Error?</v>
      </c>
    </row>
    <row r="5565" spans="1:4" x14ac:dyDescent="0.2">
      <c r="A5565" s="5">
        <v>5504</v>
      </c>
      <c r="B5565" s="138">
        <f>'Revenues 9-14'!F44</f>
        <v>214398</v>
      </c>
      <c r="D5565" s="2" t="str">
        <f t="shared" si="85"/>
        <v>Error?</v>
      </c>
    </row>
    <row r="5566" spans="1:4" x14ac:dyDescent="0.2">
      <c r="A5566" s="5">
        <v>5505</v>
      </c>
      <c r="B5566" s="138">
        <f>'Revenues 9-14'!F45</f>
        <v>383877</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661252</v>
      </c>
      <c r="C5579" s="2" t="s">
        <v>593</v>
      </c>
      <c r="D5579" s="2" t="str">
        <f t="shared" si="86"/>
        <v>Error?</v>
      </c>
    </row>
    <row r="5580" spans="1:4" x14ac:dyDescent="0.2">
      <c r="A5580" s="5">
        <v>5519</v>
      </c>
      <c r="B5580" s="138">
        <f>'Revenues 9-14'!F65</f>
        <v>6922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6922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39081</v>
      </c>
      <c r="D5586" s="2" t="str">
        <f t="shared" si="86"/>
        <v>Error?</v>
      </c>
    </row>
    <row r="5587" spans="1:4" x14ac:dyDescent="0.2">
      <c r="A5587" s="5">
        <v>5526</v>
      </c>
      <c r="B5587" s="138">
        <f>'Revenues 9-14'!F108</f>
        <v>60148</v>
      </c>
      <c r="C5587" s="2" t="s">
        <v>593</v>
      </c>
      <c r="D5587" s="2" t="str">
        <f t="shared" si="86"/>
        <v>Error?</v>
      </c>
    </row>
    <row r="5588" spans="1:4" x14ac:dyDescent="0.2">
      <c r="A5588" s="5">
        <v>5527</v>
      </c>
      <c r="B5588" s="138">
        <f>'Revenues 9-14'!F109</f>
        <v>6663691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2555708</v>
      </c>
      <c r="D5615" s="2" t="str">
        <f t="shared" si="86"/>
        <v>Error?</v>
      </c>
    </row>
    <row r="5616" spans="1:4" x14ac:dyDescent="0.2">
      <c r="A5616" s="10">
        <v>5555</v>
      </c>
      <c r="D5616" s="2" t="str">
        <f t="shared" si="86"/>
        <v>OK</v>
      </c>
    </row>
    <row r="5617" spans="1:4" x14ac:dyDescent="0.2">
      <c r="A5617" s="5">
        <v>5556</v>
      </c>
      <c r="B5617" s="138">
        <f>'Revenues 9-14'!F152</f>
        <v>4885886</v>
      </c>
      <c r="D5617" s="2" t="str">
        <f t="shared" si="86"/>
        <v>Error?</v>
      </c>
    </row>
    <row r="5618" spans="1:4" x14ac:dyDescent="0.2">
      <c r="A5618" s="5">
        <v>5557</v>
      </c>
      <c r="B5618" s="138">
        <f>'Revenues 9-14'!F154</f>
        <v>7441594</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7441594</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7441594</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14105285</v>
      </c>
      <c r="C5720" s="2" t="s">
        <v>593</v>
      </c>
      <c r="D5720" s="2" t="str">
        <f t="shared" si="88"/>
        <v>Error?</v>
      </c>
    </row>
    <row r="5721" spans="1:4" x14ac:dyDescent="0.2">
      <c r="A5721" s="5">
        <v>5660</v>
      </c>
      <c r="B5721" s="138">
        <f>'Revenues 9-14'!G5</f>
        <v>2691251</v>
      </c>
      <c r="D5721" s="2" t="str">
        <f t="shared" si="88"/>
        <v>Error?</v>
      </c>
    </row>
    <row r="5722" spans="1:4" x14ac:dyDescent="0.2">
      <c r="A5722" s="5">
        <v>5661</v>
      </c>
      <c r="B5722" s="138">
        <f>'Revenues 9-14'!G7</f>
        <v>0</v>
      </c>
      <c r="D5722" s="2" t="str">
        <f t="shared" si="88"/>
        <v>Error?</v>
      </c>
    </row>
    <row r="5723" spans="1:4" x14ac:dyDescent="0.2">
      <c r="A5723" s="5">
        <v>5662</v>
      </c>
      <c r="B5723" s="138">
        <f>'Revenues 9-14'!G8</f>
        <v>2681750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5373001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1942221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1942221</v>
      </c>
      <c r="C5730" s="2" t="s">
        <v>593</v>
      </c>
      <c r="D5730" s="2" t="str">
        <f t="shared" si="88"/>
        <v>Error?</v>
      </c>
    </row>
    <row r="5731" spans="1:4" x14ac:dyDescent="0.2">
      <c r="A5731" s="5">
        <v>5670</v>
      </c>
      <c r="B5731" s="138">
        <f>'Revenues 9-14'!G65</f>
        <v>38603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38603</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65</v>
      </c>
      <c r="D5735" s="2" t="str">
        <f t="shared" si="88"/>
        <v>Error?</v>
      </c>
    </row>
    <row r="5736" spans="1:4" x14ac:dyDescent="0.2">
      <c r="A5736" s="5">
        <v>5675</v>
      </c>
      <c r="B5736" s="138">
        <f>'Revenues 9-14'!G107</f>
        <v>2105</v>
      </c>
      <c r="D5736" s="2" t="str">
        <f t="shared" si="88"/>
        <v>Error?</v>
      </c>
    </row>
    <row r="5737" spans="1:4" x14ac:dyDescent="0.2">
      <c r="A5737" s="5">
        <v>5676</v>
      </c>
      <c r="B5737" s="138">
        <f>'Revenues 9-14'!G108</f>
        <v>20299</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7374124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70486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70486</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25000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75704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146190</v>
      </c>
      <c r="C5915" s="2" t="s">
        <v>593</v>
      </c>
      <c r="D5915" s="2" t="str">
        <f t="shared" si="91"/>
        <v>Error?</v>
      </c>
    </row>
    <row r="5916" spans="1:4" x14ac:dyDescent="0.2">
      <c r="A5916" s="5">
        <v>5855</v>
      </c>
      <c r="B5916" s="138">
        <f>'Revenues 9-14'!I5</f>
        <v>37952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37952</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78087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78087</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3745</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119784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207</v>
      </c>
      <c r="D5998" s="2" t="str">
        <f t="shared" si="92"/>
        <v>Error?</v>
      </c>
    </row>
    <row r="5999" spans="1:4" x14ac:dyDescent="0.2">
      <c r="A5999" s="5">
        <v>5938</v>
      </c>
      <c r="B5999" s="138">
        <f>'Revenues 9-14'!K108</f>
        <v>3631</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3631</v>
      </c>
      <c r="C6023" s="2" t="s">
        <v>593</v>
      </c>
      <c r="D6023" s="2" t="str">
        <f t="shared" si="93"/>
        <v>Error?</v>
      </c>
    </row>
    <row r="6024" spans="1:5" x14ac:dyDescent="0.2">
      <c r="A6024" s="5">
        <v>5963</v>
      </c>
      <c r="B6024" s="138">
        <f>'Revenues 9-14'!G109</f>
        <v>7374124</v>
      </c>
      <c r="C6024" s="2" t="s">
        <v>593</v>
      </c>
      <c r="D6024" s="2" t="str">
        <f t="shared" si="93"/>
        <v>Error?</v>
      </c>
    </row>
    <row r="6025" spans="1:5" x14ac:dyDescent="0.2">
      <c r="A6025" s="5">
        <v>5964</v>
      </c>
      <c r="B6025" s="138">
        <f>'Revenues 9-14'!H109</f>
        <v>146190</v>
      </c>
      <c r="C6025" s="2" t="s">
        <v>593</v>
      </c>
      <c r="D6025" s="2" t="str">
        <f t="shared" si="93"/>
        <v>Error?</v>
      </c>
    </row>
    <row r="6026" spans="1:5" x14ac:dyDescent="0.2">
      <c r="A6026" s="5">
        <v>5965</v>
      </c>
      <c r="B6026" s="138">
        <f>'Revenues 9-14'!I109</f>
        <v>119784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3631</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1728511</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690188</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15429.91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6295795</v>
      </c>
      <c r="D6090" s="2" t="str">
        <f t="shared" si="94"/>
        <v>Error?</v>
      </c>
      <c r="E6090" s="2" t="s">
        <v>199</v>
      </c>
    </row>
    <row r="6091" spans="1:5" x14ac:dyDescent="0.2">
      <c r="A6091">
        <v>6030</v>
      </c>
      <c r="B6091" s="138">
        <f>'Assets-Liab 5-6'!D8</f>
        <v>47800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7675000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418</v>
      </c>
      <c r="D6123" s="2" t="str">
        <f t="shared" si="94"/>
        <v>Error?</v>
      </c>
      <c r="E6123" s="2" t="s">
        <v>199</v>
      </c>
    </row>
    <row r="6124" spans="1:5" x14ac:dyDescent="0.2">
      <c r="A6124">
        <v>6063</v>
      </c>
      <c r="B6124" s="138">
        <f>'Assets-Liab 5-6'!J13</f>
        <v>1769880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3112501</v>
      </c>
      <c r="D6142" s="2" t="str">
        <f t="shared" si="94"/>
        <v>Error?</v>
      </c>
      <c r="E6142" s="2" t="s">
        <v>199</v>
      </c>
    </row>
    <row r="6143" spans="1:5" x14ac:dyDescent="0.2">
      <c r="A6143">
        <v>6082</v>
      </c>
      <c r="B6143" s="138">
        <f>'Assets-Liab 5-6'!D27</f>
        <v>963967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348023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1107661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135114</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7435964</v>
      </c>
      <c r="D6169" s="2" t="str">
        <f t="shared" si="95"/>
        <v>Error?</v>
      </c>
      <c r="E6169" s="2" t="s">
        <v>199</v>
      </c>
    </row>
    <row r="6170" spans="1:5" x14ac:dyDescent="0.2">
      <c r="A6170">
        <v>6109</v>
      </c>
      <c r="B6170" s="138">
        <f>'Assets-Liab 5-6'!D30</f>
        <v>90570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137827</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100000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695416</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930530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839350</v>
      </c>
      <c r="D6215" s="2" t="str">
        <f t="shared" si="96"/>
        <v>Error?</v>
      </c>
      <c r="E6215" s="2" t="s">
        <v>199</v>
      </c>
    </row>
    <row r="6216" spans="1:5" x14ac:dyDescent="0.2">
      <c r="A6216">
        <v>6155</v>
      </c>
      <c r="B6216" s="138">
        <f>'Assets-Liab 5-6'!J41</f>
        <v>1769880</v>
      </c>
      <c r="D6216" s="2" t="str">
        <f t="shared" si="96"/>
        <v>Error?</v>
      </c>
      <c r="E6216" s="2" t="s">
        <v>199</v>
      </c>
    </row>
    <row r="6217" spans="1:5" x14ac:dyDescent="0.2">
      <c r="A6217">
        <v>6156</v>
      </c>
      <c r="B6217" s="138">
        <f>'Assets-Liab 5-6'!J4</f>
        <v>1088019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681443</v>
      </c>
      <c r="D6219" s="2" t="str">
        <f t="shared" si="96"/>
        <v>Error?</v>
      </c>
      <c r="E6219" s="2" t="s">
        <v>199</v>
      </c>
    </row>
    <row r="6220" spans="1:5" x14ac:dyDescent="0.2">
      <c r="A6220">
        <v>6159</v>
      </c>
      <c r="B6220" s="138">
        <f>'Acct Summary 7-8'!J4</f>
        <v>2517749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2517749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2517749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2590529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2590529</v>
      </c>
      <c r="D6229" s="2" t="str">
        <f t="shared" si="96"/>
        <v>Error?</v>
      </c>
      <c r="E6229" s="2" t="s">
        <v>199</v>
      </c>
    </row>
    <row r="6230" spans="1:5" x14ac:dyDescent="0.2">
      <c r="A6230">
        <v>6169</v>
      </c>
      <c r="B6230" s="138">
        <f>'Acct Summary 7-8'!J20</f>
        <v>-72780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-72780</v>
      </c>
      <c r="D6263" s="2" t="str">
        <f t="shared" si="96"/>
        <v>Error?</v>
      </c>
      <c r="E6263" s="2" t="s">
        <v>199</v>
      </c>
    </row>
    <row r="6264" spans="1:5" x14ac:dyDescent="0.2">
      <c r="A6264">
        <v>6203</v>
      </c>
      <c r="B6264" s="138">
        <f>'Acct Summary 7-8'!J79</f>
        <v>912130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839350</v>
      </c>
      <c r="D6266" s="2" t="str">
        <f t="shared" si="96"/>
        <v>Error?</v>
      </c>
      <c r="E6266" s="2" t="s">
        <v>199</v>
      </c>
    </row>
    <row r="6267" spans="1:5" x14ac:dyDescent="0.2">
      <c r="A6267">
        <v>6206</v>
      </c>
      <c r="B6267" s="138">
        <f>'Acct Summary 7-8'!C82</f>
        <v>8201584</v>
      </c>
      <c r="D6267" s="2" t="str">
        <f t="shared" si="96"/>
        <v>Error?</v>
      </c>
      <c r="E6267" s="2" t="s">
        <v>199</v>
      </c>
    </row>
    <row r="6268" spans="1:5" x14ac:dyDescent="0.2">
      <c r="A6268">
        <v>6207</v>
      </c>
      <c r="B6268" s="138">
        <f>'Acct Summary 7-8'!D82</f>
        <v>-1082956</v>
      </c>
      <c r="D6268" s="2" t="str">
        <f t="shared" si="96"/>
        <v>Error?</v>
      </c>
      <c r="E6268" s="2" t="s">
        <v>199</v>
      </c>
    </row>
    <row r="6269" spans="1:5" x14ac:dyDescent="0.2">
      <c r="A6269">
        <v>6208</v>
      </c>
      <c r="B6269" s="138">
        <f>'Acct Summary 7-8'!E82</f>
        <v>698357</v>
      </c>
      <c r="D6269" s="2" t="str">
        <f t="shared" si="96"/>
        <v>Error?</v>
      </c>
      <c r="E6269" s="2" t="s">
        <v>199</v>
      </c>
    </row>
    <row r="6270" spans="1:5" x14ac:dyDescent="0.2">
      <c r="A6270">
        <v>6209</v>
      </c>
      <c r="B6270" s="138">
        <f>'Acct Summary 7-8'!F82</f>
        <v>370001</v>
      </c>
      <c r="D6270" s="2" t="str">
        <f t="shared" si="96"/>
        <v>Error?</v>
      </c>
      <c r="E6270" s="2" t="s">
        <v>199</v>
      </c>
    </row>
    <row r="6271" spans="1:5" x14ac:dyDescent="0.2">
      <c r="A6271">
        <v>6210</v>
      </c>
      <c r="B6271" s="138">
        <f>'Acct Summary 7-8'!G82</f>
        <v>473828</v>
      </c>
      <c r="D6271" s="2" t="str">
        <f t="shared" ref="D6271:D6334" si="97">IF(ISBLANK(B6271),"OK",IF(A6271-B6271=0,"OK","Error?"))</f>
        <v>Error?</v>
      </c>
      <c r="E6271" s="2" t="s">
        <v>199</v>
      </c>
    </row>
    <row r="6272" spans="1:5" x14ac:dyDescent="0.2">
      <c r="A6272">
        <v>6211</v>
      </c>
      <c r="B6272" s="138">
        <f>'Acct Summary 7-8'!H82</f>
        <v>-2818583</v>
      </c>
      <c r="D6272" s="2" t="str">
        <f t="shared" si="97"/>
        <v>Error?</v>
      </c>
      <c r="E6272" s="2" t="s">
        <v>199</v>
      </c>
    </row>
    <row r="6273" spans="1:5" x14ac:dyDescent="0.2">
      <c r="A6273">
        <v>6212</v>
      </c>
      <c r="B6273" s="138">
        <f>'Acct Summary 7-8'!I82</f>
        <v>119784</v>
      </c>
      <c r="D6273" s="2" t="str">
        <f t="shared" si="97"/>
        <v>Error?</v>
      </c>
      <c r="E6273" s="2" t="s">
        <v>199</v>
      </c>
    </row>
    <row r="6274" spans="1:5" x14ac:dyDescent="0.2">
      <c r="A6274">
        <v>6213</v>
      </c>
      <c r="B6274" s="138">
        <f>'Acct Summary 7-8'!J82</f>
        <v>-72780</v>
      </c>
      <c r="D6274" s="2" t="str">
        <f t="shared" si="97"/>
        <v>Error?</v>
      </c>
      <c r="E6274" s="2" t="s">
        <v>199</v>
      </c>
    </row>
    <row r="6275" spans="1:5" x14ac:dyDescent="0.2">
      <c r="A6275">
        <v>6214</v>
      </c>
      <c r="B6275" s="138">
        <f>'Acct Summary 7-8'!K82</f>
        <v>3631</v>
      </c>
      <c r="D6275" s="2" t="str">
        <f t="shared" si="97"/>
        <v>Error?</v>
      </c>
      <c r="E6275" s="2" t="s">
        <v>199</v>
      </c>
    </row>
    <row r="6276" spans="1:5" x14ac:dyDescent="0.2">
      <c r="A6276">
        <v>6215</v>
      </c>
      <c r="B6276" s="138">
        <f>'Acct Summary 7-8'!C83</f>
        <v>0.19544385401085809</v>
      </c>
      <c r="D6276" s="2" t="str">
        <f t="shared" si="97"/>
        <v>Error?</v>
      </c>
      <c r="E6276" s="2" t="s">
        <v>199</v>
      </c>
    </row>
    <row r="6277" spans="1:5" x14ac:dyDescent="0.2">
      <c r="A6277">
        <v>6216</v>
      </c>
      <c r="B6277" s="138">
        <f>'Acct Summary 7-8'!D83</f>
        <v>-0.34022321183132664</v>
      </c>
      <c r="D6277" s="2" t="str">
        <f t="shared" si="97"/>
        <v>Error?</v>
      </c>
      <c r="E6277" s="2" t="s">
        <v>199</v>
      </c>
    </row>
    <row r="6278" spans="1:5" x14ac:dyDescent="0.2">
      <c r="A6278">
        <v>6217</v>
      </c>
      <c r="B6278" s="138">
        <f>'Acct Summary 7-8'!E83</f>
        <v>4.4985075874797484E-2</v>
      </c>
      <c r="D6278" s="2" t="str">
        <f t="shared" si="97"/>
        <v>Error?</v>
      </c>
      <c r="E6278" s="2" t="s">
        <v>199</v>
      </c>
    </row>
    <row r="6279" spans="1:5" x14ac:dyDescent="0.2">
      <c r="A6279">
        <v>6218</v>
      </c>
      <c r="B6279" s="138">
        <f>'Acct Summary 7-8'!F83</f>
        <v>0.21837290200276921</v>
      </c>
      <c r="D6279" s="2" t="str">
        <f t="shared" si="97"/>
        <v>Error?</v>
      </c>
      <c r="E6279" s="2" t="s">
        <v>199</v>
      </c>
    </row>
    <row r="6280" spans="1:5" x14ac:dyDescent="0.2">
      <c r="A6280">
        <v>6219</v>
      </c>
      <c r="B6280" s="138">
        <f>'Acct Summary 7-8'!G83</f>
        <v>0.16552405458966749</v>
      </c>
      <c r="D6280" s="2" t="str">
        <f t="shared" si="97"/>
        <v>Error?</v>
      </c>
      <c r="E6280" s="2" t="s">
        <v>199</v>
      </c>
    </row>
    <row r="6281" spans="1:5" x14ac:dyDescent="0.2">
      <c r="A6281">
        <v>6220</v>
      </c>
      <c r="B6281" s="138">
        <f>'Acct Summary 7-8'!H83</f>
        <v>-0.97503250012626441</v>
      </c>
      <c r="D6281" s="2" t="str">
        <f t="shared" si="97"/>
        <v>Error?</v>
      </c>
      <c r="E6281" s="2" t="s">
        <v>199</v>
      </c>
    </row>
    <row r="6282" spans="1:5" x14ac:dyDescent="0.2">
      <c r="A6282">
        <v>6221</v>
      </c>
      <c r="B6282" s="138">
        <f>'Acct Summary 7-8'!I83</f>
        <v>6.1107919266778429E-3</v>
      </c>
      <c r="D6282" s="2" t="str">
        <f t="shared" si="97"/>
        <v>Error?</v>
      </c>
      <c r="E6282" s="2" t="s">
        <v>199</v>
      </c>
    </row>
    <row r="6283" spans="1:5" x14ac:dyDescent="0.2">
      <c r="A6283">
        <v>6222</v>
      </c>
      <c r="B6283" s="138">
        <f>'Acct Summary 7-8'!J83</f>
        <v>-8.6709954131172925E-2</v>
      </c>
      <c r="D6283" s="2" t="str">
        <f t="shared" si="97"/>
        <v>Error?</v>
      </c>
      <c r="E6283" s="2" t="s">
        <v>199</v>
      </c>
    </row>
    <row r="6284" spans="1:5" x14ac:dyDescent="0.2">
      <c r="A6284">
        <v>6223</v>
      </c>
      <c r="B6284" s="138">
        <f>'Acct Summary 7-8'!K83</f>
        <v>0.46863706763035623</v>
      </c>
      <c r="D6284" s="2" t="str">
        <f t="shared" si="97"/>
        <v>Error?</v>
      </c>
      <c r="E6284" s="2" t="s">
        <v>199</v>
      </c>
    </row>
    <row r="6285" spans="1:5" x14ac:dyDescent="0.2">
      <c r="A6285">
        <v>6224</v>
      </c>
      <c r="B6285" s="138">
        <f>'Acct Summary 7-8'!E37</f>
        <v>2667843</v>
      </c>
      <c r="D6285" s="2" t="str">
        <f t="shared" si="97"/>
        <v>Error?</v>
      </c>
      <c r="E6285" s="2" t="s">
        <v>199</v>
      </c>
    </row>
    <row r="6286" spans="1:5" x14ac:dyDescent="0.2">
      <c r="A6286">
        <v>6225</v>
      </c>
      <c r="B6286" s="138">
        <f>'Acct Summary 7-8'!E38</f>
        <v>96264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1385943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1385943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931817</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931817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9081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9081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50704</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382333</v>
      </c>
      <c r="D6330" s="2" t="str">
        <f t="shared" si="97"/>
        <v>Error?</v>
      </c>
      <c r="E6330" s="2" t="s">
        <v>199</v>
      </c>
    </row>
    <row r="6331" spans="1:5" x14ac:dyDescent="0.2">
      <c r="A6331">
        <v>6270</v>
      </c>
      <c r="B6331" s="138">
        <f>'Revenues 9-14'!D100</f>
        <v>58760</v>
      </c>
      <c r="D6331" s="2" t="str">
        <f t="shared" si="97"/>
        <v>Error?</v>
      </c>
      <c r="E6331" s="2" t="s">
        <v>199</v>
      </c>
    </row>
    <row r="6332" spans="1:5" x14ac:dyDescent="0.2">
      <c r="A6332">
        <v>6271</v>
      </c>
      <c r="B6332" s="138">
        <f>'Revenues 9-14'!E100</f>
        <v>99203</v>
      </c>
      <c r="D6332" s="2" t="str">
        <f t="shared" si="97"/>
        <v>Error?</v>
      </c>
      <c r="E6332" s="2" t="s">
        <v>199</v>
      </c>
    </row>
    <row r="6333" spans="1:5" x14ac:dyDescent="0.2">
      <c r="A6333">
        <v>6272</v>
      </c>
      <c r="B6333" s="138">
        <f>'Revenues 9-14'!F100</f>
        <v>21067</v>
      </c>
      <c r="D6333" s="2" t="str">
        <f t="shared" si="97"/>
        <v>Error?</v>
      </c>
      <c r="E6333" s="2" t="s">
        <v>199</v>
      </c>
    </row>
    <row r="6334" spans="1:5" x14ac:dyDescent="0.2">
      <c r="A6334">
        <v>6273</v>
      </c>
      <c r="B6334" s="138">
        <f>'Revenues 9-14'!G100</f>
        <v>18129</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3745</v>
      </c>
      <c r="D6336" s="2" t="str">
        <f t="shared" si="98"/>
        <v>Error?</v>
      </c>
      <c r="E6336" s="2" t="s">
        <v>199</v>
      </c>
    </row>
    <row r="6337" spans="1:5" x14ac:dyDescent="0.2">
      <c r="A6337">
        <v>6276</v>
      </c>
      <c r="B6337" s="138">
        <f>'Revenues 9-14'!J100</f>
        <v>4333</v>
      </c>
      <c r="D6337" s="2" t="str">
        <f t="shared" si="98"/>
        <v>Error?</v>
      </c>
      <c r="E6337" s="2" t="s">
        <v>199</v>
      </c>
    </row>
    <row r="6338" spans="1:5" x14ac:dyDescent="0.2">
      <c r="A6338">
        <v>6277</v>
      </c>
      <c r="B6338" s="138">
        <f>'Revenues 9-14'!K100</f>
        <v>3424</v>
      </c>
      <c r="D6338" s="2" t="str">
        <f t="shared" si="98"/>
        <v>Error?</v>
      </c>
      <c r="E6338" s="2" t="s">
        <v>199</v>
      </c>
    </row>
    <row r="6339" spans="1:5" x14ac:dyDescent="0.2">
      <c r="A6339">
        <v>6278</v>
      </c>
      <c r="B6339" s="138">
        <f>'Revenues 9-14'!C101</f>
        <v>41304</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186575</v>
      </c>
      <c r="D6350" s="2" t="str">
        <f t="shared" si="98"/>
        <v>Error?</v>
      </c>
      <c r="E6350" s="2" t="s">
        <v>199</v>
      </c>
    </row>
    <row r="6351" spans="1:5" x14ac:dyDescent="0.2">
      <c r="A6351">
        <v>6290</v>
      </c>
      <c r="B6351" s="138">
        <f>'Revenues 9-14'!J108</f>
        <v>190908</v>
      </c>
      <c r="D6351" s="2" t="str">
        <f t="shared" si="98"/>
        <v>Error?</v>
      </c>
      <c r="E6351" s="2" t="s">
        <v>199</v>
      </c>
    </row>
    <row r="6352" spans="1:5" x14ac:dyDescent="0.2">
      <c r="A6352">
        <v>6291</v>
      </c>
      <c r="B6352" s="138">
        <f>'Revenues 9-14'!J109</f>
        <v>2517749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2262727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187440</v>
      </c>
      <c r="D6844" s="2" t="str">
        <f t="shared" si="105"/>
        <v>Error?</v>
      </c>
    </row>
    <row r="6845" spans="1:4" x14ac:dyDescent="0.2">
      <c r="A6845">
        <v>6784</v>
      </c>
      <c r="B6845" s="138">
        <f>'Expenditures 15-22'!J5</f>
        <v>46041</v>
      </c>
      <c r="D6845" s="2" t="str">
        <f t="shared" si="105"/>
        <v>Error?</v>
      </c>
    </row>
    <row r="6846" spans="1:4" x14ac:dyDescent="0.2">
      <c r="A6846">
        <v>6785</v>
      </c>
      <c r="B6846" s="138">
        <f>'Expenditures 15-22'!I7</f>
        <v>2882</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2917160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128019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31274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2868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725311</v>
      </c>
      <c r="D6871" s="2" t="str">
        <f t="shared" si="106"/>
        <v>Error?</v>
      </c>
    </row>
    <row r="6872" spans="1:4" x14ac:dyDescent="0.2">
      <c r="A6872">
        <v>6811</v>
      </c>
      <c r="B6872" s="138">
        <f>'Expenditures 15-22'!I18</f>
        <v>420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6423251</v>
      </c>
      <c r="D6880" s="2" t="str">
        <f t="shared" si="106"/>
        <v>Error?</v>
      </c>
    </row>
    <row r="6881" spans="1:4" x14ac:dyDescent="0.2">
      <c r="A6881">
        <v>6820</v>
      </c>
      <c r="B6881" s="138">
        <f>'Expenditures 15-22'!K22</f>
        <v>6423251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977340</v>
      </c>
      <c r="D6890" s="2" t="str">
        <f t="shared" si="106"/>
        <v>Error?</v>
      </c>
    </row>
    <row r="6891" spans="1:4" x14ac:dyDescent="0.2">
      <c r="A6891">
        <v>6830</v>
      </c>
      <c r="B6891" s="138">
        <f>'Expenditures 15-22'!K27</f>
        <v>977340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223524</v>
      </c>
      <c r="D6900" s="2" t="str">
        <f t="shared" si="106"/>
        <v>Error?</v>
      </c>
    </row>
    <row r="6901" spans="1:4" x14ac:dyDescent="0.2">
      <c r="A6901">
        <v>6840</v>
      </c>
      <c r="B6901" s="138">
        <f>'Expenditures 15-22'!K32</f>
        <v>223524</v>
      </c>
      <c r="D6901" s="2" t="str">
        <f t="shared" si="106"/>
        <v>Error?</v>
      </c>
    </row>
    <row r="6902" spans="1:4" x14ac:dyDescent="0.2">
      <c r="A6902">
        <v>6841</v>
      </c>
      <c r="B6902" s="138">
        <f>'Expenditures 15-22'!I33</f>
        <v>224884</v>
      </c>
      <c r="D6902" s="2" t="str">
        <f t="shared" si="106"/>
        <v>Error?</v>
      </c>
    </row>
    <row r="6903" spans="1:4" x14ac:dyDescent="0.2">
      <c r="A6903">
        <v>6842</v>
      </c>
      <c r="B6903" s="138">
        <f>'Expenditures 15-22'!J33</f>
        <v>46041</v>
      </c>
      <c r="D6903" s="2" t="str">
        <f t="shared" si="106"/>
        <v>Error?</v>
      </c>
    </row>
    <row r="6904" spans="1:4" x14ac:dyDescent="0.2">
      <c r="A6904">
        <v>6843</v>
      </c>
      <c r="B6904" s="138">
        <f>'Expenditures 15-22'!I36</f>
        <v>3525</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1614</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5139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441</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2817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3258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5028</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5028</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26863</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26863</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7329</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6108</v>
      </c>
      <c r="D6954" s="2" t="str">
        <f t="shared" si="107"/>
        <v>Error?</v>
      </c>
    </row>
    <row r="6955" spans="1:4" x14ac:dyDescent="0.2">
      <c r="A6955">
        <v>6894</v>
      </c>
      <c r="B6955" s="138">
        <f>'Expenditures 15-22'!J61</f>
        <v>333</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99742</v>
      </c>
      <c r="D6958" s="2" t="str">
        <f t="shared" si="107"/>
        <v>Error?</v>
      </c>
    </row>
    <row r="6959" spans="1:4" x14ac:dyDescent="0.2">
      <c r="A6959">
        <v>6898</v>
      </c>
      <c r="B6959" s="138">
        <f>'Expenditures 15-22'!J63</f>
        <v>14525</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113234</v>
      </c>
      <c r="D6961" s="2" t="str">
        <f t="shared" si="107"/>
        <v>Error?</v>
      </c>
    </row>
    <row r="6962" spans="1:4" x14ac:dyDescent="0.2">
      <c r="A6962">
        <v>6901</v>
      </c>
      <c r="B6962" s="138">
        <f>'Expenditures 15-22'!J65</f>
        <v>22187</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1945</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530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29047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31522</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153153</v>
      </c>
      <c r="D6977" s="2" t="str">
        <f t="shared" si="108"/>
        <v>Error?</v>
      </c>
    </row>
    <row r="6978" spans="1:4" x14ac:dyDescent="0.2">
      <c r="A6978">
        <v>6917</v>
      </c>
      <c r="B6978" s="138">
        <f>'Expenditures 15-22'!J74</f>
        <v>54078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378037</v>
      </c>
      <c r="D7020" s="2" t="str">
        <f t="shared" si="108"/>
        <v>Error?</v>
      </c>
    </row>
    <row r="7021" spans="1:4" x14ac:dyDescent="0.2">
      <c r="A7021">
        <v>6960</v>
      </c>
      <c r="B7021" s="138">
        <f>'Expenditures 15-22'!J114</f>
        <v>100119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43</v>
      </c>
      <c r="D7025" s="2" t="str">
        <f t="shared" si="108"/>
        <v>Error?</v>
      </c>
    </row>
    <row r="7026" spans="1:4" x14ac:dyDescent="0.2">
      <c r="A7026">
        <v>6965</v>
      </c>
      <c r="B7026" s="138">
        <f>'Expenditures 15-22'!I123</f>
        <v>888429</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29990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918419</v>
      </c>
      <c r="D7033" s="2" t="str">
        <f t="shared" si="108"/>
        <v>Error?</v>
      </c>
    </row>
    <row r="7034" spans="1:4" x14ac:dyDescent="0.2">
      <c r="A7034">
        <v>6973</v>
      </c>
      <c r="B7034" s="138">
        <f>'Expenditures 15-22'!J127</f>
        <v>43</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918419</v>
      </c>
      <c r="D7037" s="2" t="str">
        <f t="shared" si="108"/>
        <v>Error?</v>
      </c>
    </row>
    <row r="7038" spans="1:4" x14ac:dyDescent="0.2">
      <c r="A7038">
        <v>6977</v>
      </c>
      <c r="B7038" s="138">
        <f>'Expenditures 15-22'!J129</f>
        <v>43</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2590529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918419</v>
      </c>
      <c r="D7051" s="2" t="str">
        <f t="shared" si="109"/>
        <v>Error?</v>
      </c>
    </row>
    <row r="7052" spans="1:5" x14ac:dyDescent="0.2">
      <c r="A7052">
        <v>6991</v>
      </c>
      <c r="B7052" s="138">
        <f>'Expenditures 15-22'!J151</f>
        <v>43</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2517749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10913</v>
      </c>
      <c r="D7059" s="2" t="str">
        <f t="shared" si="109"/>
        <v>Error?</v>
      </c>
    </row>
    <row r="7060" spans="1:4" x14ac:dyDescent="0.2">
      <c r="A7060">
        <v>6999</v>
      </c>
      <c r="B7060" s="138">
        <f>'Expenditures 15-22'!J182</f>
        <v>12795</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10913</v>
      </c>
      <c r="D7063" s="2" t="str">
        <f t="shared" si="109"/>
        <v>Error?</v>
      </c>
    </row>
    <row r="7064" spans="1:4" x14ac:dyDescent="0.2">
      <c r="A7064">
        <v>7003</v>
      </c>
      <c r="B7064" s="138">
        <f>'Expenditures 15-22'!J184</f>
        <v>12795</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10913</v>
      </c>
      <c r="D7071" s="2" t="str">
        <f t="shared" si="109"/>
        <v>Error?</v>
      </c>
    </row>
    <row r="7072" spans="1:4" x14ac:dyDescent="0.2">
      <c r="A7072">
        <v>7011</v>
      </c>
      <c r="B7072" s="138">
        <f>'Expenditures 15-22'!J210</f>
        <v>12795</v>
      </c>
      <c r="D7072" s="2" t="str">
        <f t="shared" si="109"/>
        <v>Error?</v>
      </c>
    </row>
    <row r="7073" spans="1:4" x14ac:dyDescent="0.2">
      <c r="A7073">
        <v>7012</v>
      </c>
      <c r="B7073" s="138">
        <f>'Expenditures 15-22'!D216</f>
        <v>58398</v>
      </c>
      <c r="D7073" s="2" t="str">
        <f t="shared" si="109"/>
        <v>Error?</v>
      </c>
    </row>
    <row r="7074" spans="1:4" x14ac:dyDescent="0.2">
      <c r="A7074">
        <v>7013</v>
      </c>
      <c r="B7074" s="138">
        <f>'Expenditures 15-22'!K216</f>
        <v>58398</v>
      </c>
      <c r="D7074" s="2" t="str">
        <f t="shared" si="109"/>
        <v>Error?</v>
      </c>
    </row>
    <row r="7075" spans="1:4" x14ac:dyDescent="0.2">
      <c r="A7075">
        <v>7014</v>
      </c>
      <c r="B7075" s="138">
        <f>'Expenditures 15-22'!D218</f>
        <v>22617</v>
      </c>
      <c r="D7075" s="2" t="str">
        <f t="shared" si="109"/>
        <v>Error?</v>
      </c>
    </row>
    <row r="7076" spans="1:4" x14ac:dyDescent="0.2">
      <c r="A7076">
        <v>7015</v>
      </c>
      <c r="B7076" s="138">
        <f>'Expenditures 15-22'!K218</f>
        <v>22617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7418</v>
      </c>
      <c r="D7079" s="2" t="str">
        <f t="shared" si="109"/>
        <v>Error?</v>
      </c>
    </row>
    <row r="7080" spans="1:4" x14ac:dyDescent="0.2">
      <c r="A7080">
        <v>7019</v>
      </c>
      <c r="B7080" s="138">
        <f>'Expenditures 15-22'!K226</f>
        <v>7418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454198</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454198</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454198</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1922514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1922514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33076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33076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23491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23491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799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799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1320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1320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875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875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17645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17645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2590529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2590529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2590529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2590529</v>
      </c>
      <c r="D7224" s="2" t="str">
        <f t="shared" si="111"/>
        <v>Error?</v>
      </c>
    </row>
    <row r="7225" spans="1:4" x14ac:dyDescent="0.2">
      <c r="A7225">
        <v>7164</v>
      </c>
      <c r="B7225" s="138">
        <f>'Expenditures 15-22'!K343</f>
        <v>-72780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562361</v>
      </c>
      <c r="D7246" s="2" t="str">
        <f t="shared" si="112"/>
        <v>Error?</v>
      </c>
    </row>
    <row r="7247" spans="1:4" x14ac:dyDescent="0.2">
      <c r="A7247">
        <f t="shared" si="113"/>
        <v>7186</v>
      </c>
      <c r="B7247" s="138">
        <f>'Expenditures 15-22'!E7</f>
        <v>2970</v>
      </c>
      <c r="D7247" s="2" t="str">
        <f t="shared" si="112"/>
        <v>Error?</v>
      </c>
    </row>
    <row r="7248" spans="1:4" x14ac:dyDescent="0.2">
      <c r="A7248">
        <f t="shared" si="113"/>
        <v>7187</v>
      </c>
      <c r="B7248" s="138">
        <f>'Expenditures 15-22'!F7</f>
        <v>86220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117629</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3034</v>
      </c>
      <c r="D7253" s="2" t="str">
        <f t="shared" si="112"/>
        <v>Error?</v>
      </c>
    </row>
    <row r="7254" spans="1:4" x14ac:dyDescent="0.2">
      <c r="A7254">
        <f t="shared" si="113"/>
        <v>7193</v>
      </c>
      <c r="B7254" s="138">
        <f>'Expenditures 15-22'!F9</f>
        <v>7356</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522644</v>
      </c>
      <c r="D7263" s="2" t="str">
        <f t="shared" si="112"/>
        <v>Error?</v>
      </c>
    </row>
    <row r="7264" spans="1:4" x14ac:dyDescent="0.2">
      <c r="A7264">
        <f t="shared" si="113"/>
        <v>7203</v>
      </c>
      <c r="B7264" s="138">
        <f>'Expenditures 15-22'!D17</f>
        <v>87006</v>
      </c>
      <c r="D7264" s="2" t="str">
        <f t="shared" si="112"/>
        <v>Error?</v>
      </c>
    </row>
    <row r="7265" spans="1:5" x14ac:dyDescent="0.2">
      <c r="A7265">
        <f t="shared" si="113"/>
        <v>7204</v>
      </c>
      <c r="B7265" s="138">
        <f>'Expenditures 15-22'!E17</f>
        <v>15898</v>
      </c>
      <c r="D7265" s="2" t="str">
        <f t="shared" si="112"/>
        <v>Error?</v>
      </c>
    </row>
    <row r="7266" spans="1:5" x14ac:dyDescent="0.2">
      <c r="A7266">
        <f t="shared" si="113"/>
        <v>7205</v>
      </c>
      <c r="B7266" s="138">
        <f>'Expenditures 15-22'!F17</f>
        <v>688</v>
      </c>
      <c r="D7266" s="2" t="str">
        <f t="shared" si="112"/>
        <v>Error?</v>
      </c>
    </row>
    <row r="7267" spans="1:5" x14ac:dyDescent="0.2">
      <c r="A7267">
        <f t="shared" si="113"/>
        <v>7206</v>
      </c>
      <c r="B7267" s="138">
        <f>'Expenditures 15-22'!G17</f>
        <v>99075</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1761567</v>
      </c>
      <c r="D7624" s="2" t="str">
        <f t="shared" si="124"/>
        <v>Error?</v>
      </c>
      <c r="E7624" s="2" t="s">
        <v>19</v>
      </c>
    </row>
    <row r="7625" spans="1:5" x14ac:dyDescent="0.2">
      <c r="A7625">
        <f t="shared" si="123"/>
        <v>7564</v>
      </c>
      <c r="B7625" s="138">
        <f>'Cap Outlay Deprec 26'!I17</f>
        <v>176156.7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7361259.7000000002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2344580</v>
      </c>
      <c r="D7654" s="2" t="str">
        <f t="shared" si="124"/>
        <v>Error?</v>
      </c>
      <c r="E7654" s="2" t="s">
        <v>880</v>
      </c>
    </row>
    <row r="7655" spans="1:5" x14ac:dyDescent="0.2">
      <c r="A7655">
        <v>7594</v>
      </c>
      <c r="B7655" s="138">
        <f>'Acct Summary 7-8'!D56</f>
        <v>323263</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89158</v>
      </c>
      <c r="D7663" s="2" t="str">
        <f t="shared" si="124"/>
        <v>Error?</v>
      </c>
      <c r="E7663" s="2" t="s">
        <v>880</v>
      </c>
    </row>
    <row r="7664" spans="1:5" x14ac:dyDescent="0.2">
      <c r="A7664">
        <v>7603</v>
      </c>
      <c r="B7664" s="138">
        <f>'Acct Summary 7-8'!D60</f>
        <v>7106</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590809</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590809</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7384</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41304</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41304</v>
      </c>
      <c r="D7719" s="2" t="str">
        <f t="shared" si="126"/>
        <v>Error?</v>
      </c>
      <c r="E7719" s="2" t="s">
        <v>880</v>
      </c>
    </row>
    <row r="7720" spans="1:6" x14ac:dyDescent="0.2">
      <c r="A7720">
        <v>7659</v>
      </c>
      <c r="B7720" s="138">
        <f>'Rest Tax Levies-Tort Im 25'!H14</f>
        <v>18405254</v>
      </c>
      <c r="D7720" s="2" t="str">
        <f t="shared" si="126"/>
        <v>Error?</v>
      </c>
      <c r="E7720" s="2" t="s">
        <v>880</v>
      </c>
    </row>
    <row r="7721" spans="1:6" x14ac:dyDescent="0.2">
      <c r="A7721">
        <v>7660</v>
      </c>
      <c r="B7721" s="138">
        <f>'Rest Tax Levies-Tort Im 25'!K14</f>
        <v>41304</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2545601</v>
      </c>
      <c r="D7759" s="2" t="str">
        <f t="shared" si="127"/>
        <v>Error?</v>
      </c>
      <c r="E7759" s="4" t="s">
        <v>1399</v>
      </c>
    </row>
    <row r="7760" spans="1:6" x14ac:dyDescent="0.2">
      <c r="A7760">
        <v>7699</v>
      </c>
      <c r="B7760" s="138">
        <f>'Aud Quest 2'!J90</f>
        <v>2545601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868215</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8395809.0700000003</v>
      </c>
      <c r="D7797" s="2" t="str">
        <f t="shared" si="127"/>
        <v>Error?</v>
      </c>
      <c r="E7797" s="4" t="s">
        <v>2017</v>
      </c>
    </row>
    <row r="7798" spans="1:5" x14ac:dyDescent="0.2">
      <c r="A7798">
        <v>7737</v>
      </c>
      <c r="B7798" s="138">
        <f>'Contracts Paid in CY 29'!F141</f>
        <v>641503</v>
      </c>
      <c r="D7798" s="2" t="str">
        <f t="shared" si="127"/>
        <v>Error?</v>
      </c>
      <c r="E7798" s="4" t="s">
        <v>2017</v>
      </c>
    </row>
    <row r="7799" spans="1:5" x14ac:dyDescent="0.2">
      <c r="A7799">
        <v>7738</v>
      </c>
      <c r="B7799" s="138">
        <f>'Contracts Paid in CY 29'!G141</f>
        <v>7754306.0700000003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4" t="s">
        <v>1252</v>
      </c>
      <c r="B2" s="2434"/>
      <c r="C2" s="2434"/>
      <c r="D2" s="2434"/>
      <c r="E2" s="2434"/>
      <c r="F2" s="2434"/>
      <c r="G2" s="2434"/>
      <c r="H2" s="2434"/>
      <c r="I2" s="2434"/>
      <c r="J2" s="2434"/>
      <c r="K2" s="2434"/>
      <c r="L2" s="2434"/>
    </row>
    <row r="3" spans="1:29" ht="13.5" customHeight="1" x14ac:dyDescent="0.2">
      <c r="A3" s="2420" t="s">
        <v>1251</v>
      </c>
      <c r="B3" s="2420"/>
      <c r="C3" s="2420"/>
      <c r="D3" s="2420"/>
      <c r="E3" s="2420"/>
      <c r="F3" s="2420"/>
      <c r="G3" s="2420"/>
      <c r="H3" s="2420"/>
      <c r="I3" s="2420"/>
      <c r="J3" s="2420"/>
      <c r="K3" s="2420"/>
      <c r="L3" s="2420"/>
    </row>
    <row r="4" spans="1:29" ht="13.5" customHeight="1" x14ac:dyDescent="0.2">
      <c r="A4" s="2434" t="s">
        <v>1798</v>
      </c>
      <c r="B4" s="2451"/>
      <c r="C4" s="2451"/>
      <c r="D4" s="2451"/>
      <c r="E4" s="2451"/>
      <c r="F4" s="2451"/>
      <c r="G4" s="2451"/>
      <c r="H4" s="2451"/>
      <c r="I4" s="2451"/>
      <c r="J4" s="2451"/>
      <c r="K4" s="2451"/>
      <c r="L4" s="245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14" t="str">
        <f>COVER!A17</f>
        <v>Valley View PCSD 365</v>
      </c>
      <c r="B7" s="2415"/>
      <c r="C7" s="2415"/>
      <c r="D7" s="2452"/>
      <c r="E7" s="2453" t="str">
        <f>COVER!A13</f>
        <v>56099365U26</v>
      </c>
      <c r="F7" s="2454"/>
      <c r="G7" s="2421" t="str">
        <f>COVER!T23</f>
        <v>060-003973</v>
      </c>
      <c r="H7" s="2422"/>
      <c r="I7" s="2422"/>
      <c r="J7" s="2422"/>
      <c r="K7" s="2422"/>
      <c r="L7" s="242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24"/>
      <c r="B9" s="2425"/>
      <c r="C9" s="2425"/>
      <c r="D9" s="2425"/>
      <c r="E9" s="2425"/>
      <c r="F9" s="2426"/>
      <c r="G9" s="2427" t="str">
        <f>COVER!T13</f>
        <v>Evans, Marshall and Pease, PC</v>
      </c>
      <c r="H9" s="2428"/>
      <c r="I9" s="2428"/>
      <c r="J9" s="2428"/>
      <c r="K9" s="2428"/>
      <c r="L9" s="2429"/>
    </row>
    <row r="10" spans="1:29" ht="13.5" customHeight="1" x14ac:dyDescent="0.2">
      <c r="A10" s="2411" t="str">
        <f>COVER!A38</f>
        <v>Dr. James Mitchem</v>
      </c>
      <c r="B10" s="2412"/>
      <c r="C10" s="2412"/>
      <c r="D10" s="2412"/>
      <c r="E10" s="2412"/>
      <c r="F10" s="2413"/>
      <c r="G10" s="2427" t="str">
        <f>COVER!T17</f>
        <v>1875 Hicks Road</v>
      </c>
      <c r="H10" s="2440"/>
      <c r="I10" s="2440"/>
      <c r="J10" s="2440"/>
      <c r="K10" s="2440"/>
      <c r="L10" s="2441"/>
    </row>
    <row r="11" spans="1:29" ht="13.5" customHeight="1" x14ac:dyDescent="0.2">
      <c r="A11" s="1185" t="s">
        <v>1598</v>
      </c>
      <c r="B11" s="1186"/>
      <c r="C11" s="1187"/>
      <c r="D11" s="1192"/>
      <c r="E11" s="1187"/>
      <c r="F11" s="1191"/>
      <c r="G11" s="2427" t="str">
        <f>COVER!T19</f>
        <v>Rolling Meadows</v>
      </c>
      <c r="H11" s="2440"/>
      <c r="I11" s="2440"/>
      <c r="J11" s="2440"/>
      <c r="K11" s="2440"/>
      <c r="L11" s="2441"/>
    </row>
    <row r="12" spans="1:29" ht="13.5" customHeight="1" x14ac:dyDescent="0.2">
      <c r="A12" s="2445" t="s">
        <v>1597</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1599</v>
      </c>
      <c r="H13" s="2436"/>
      <c r="I13" s="2448" t="str">
        <f>COVER!T25</f>
        <v>jeff@empcpa.com</v>
      </c>
      <c r="J13" s="2449"/>
      <c r="K13" s="2449"/>
      <c r="L13" s="2450"/>
    </row>
    <row r="14" spans="1:29" ht="13.5" customHeight="1" x14ac:dyDescent="0.2">
      <c r="A14" s="2427" t="str">
        <f>COVER!A19</f>
        <v>801 Normantown Road</v>
      </c>
      <c r="B14" s="2440"/>
      <c r="C14" s="2440"/>
      <c r="D14" s="2440"/>
      <c r="E14" s="2440"/>
      <c r="F14" s="2441"/>
      <c r="G14" s="1196" t="s">
        <v>1246</v>
      </c>
      <c r="H14" s="1194"/>
      <c r="I14" s="1194"/>
      <c r="J14" s="1194"/>
      <c r="K14" s="1194"/>
      <c r="L14" s="1195"/>
    </row>
    <row r="15" spans="1:29" ht="13.5" customHeight="1" x14ac:dyDescent="0.2">
      <c r="A15" s="2427" t="str">
        <f>COVER!A21</f>
        <v>Romeoville</v>
      </c>
      <c r="B15" s="2440"/>
      <c r="C15" s="2440"/>
      <c r="D15" s="2440"/>
      <c r="E15" s="2440"/>
      <c r="F15" s="2441"/>
      <c r="G15" s="2437" t="str">
        <f>COVER!T15</f>
        <v>Jeffery M. Rollefson, CPA</v>
      </c>
      <c r="H15" s="2438"/>
      <c r="I15" s="2438"/>
      <c r="J15" s="2438"/>
      <c r="K15" s="2438"/>
      <c r="L15" s="2439"/>
    </row>
    <row r="16" spans="1:29" ht="12.2" customHeight="1" x14ac:dyDescent="0.2">
      <c r="A16" s="2417">
        <f>COVER!A25</f>
        <v>60446</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6" t="s">
        <v>1245</v>
      </c>
      <c r="H17" s="1194"/>
      <c r="I17" s="1194"/>
      <c r="J17" s="1194"/>
      <c r="K17" s="1198" t="s">
        <v>1244</v>
      </c>
      <c r="L17" s="1191"/>
      <c r="M17" s="1184"/>
    </row>
    <row r="18" spans="1:13" ht="12.2" customHeight="1" x14ac:dyDescent="0.2">
      <c r="A18" s="2411"/>
      <c r="B18" s="2412"/>
      <c r="C18" s="2412"/>
      <c r="D18" s="2412"/>
      <c r="E18" s="2412"/>
      <c r="F18" s="2413"/>
      <c r="G18" s="2414" t="str">
        <f>COVER!T21</f>
        <v>847-221-5700</v>
      </c>
      <c r="H18" s="2415"/>
      <c r="I18" s="2415"/>
      <c r="J18" s="2415"/>
      <c r="K18" s="2414" t="str">
        <f>COVER!X21</f>
        <v>847-221-5701</v>
      </c>
      <c r="L18" s="241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5" t="str">
        <f>'Single Audit Cover'!A7</f>
        <v>Valley View PCSD 365</v>
      </c>
      <c r="B1" s="2451"/>
      <c r="C1" s="2451"/>
      <c r="D1" s="2451"/>
    </row>
    <row r="2" spans="1:11" s="1215" customFormat="1" ht="12.75" x14ac:dyDescent="0.2">
      <c r="A2" s="2456" t="str">
        <f>'Single Audit Cover'!E7</f>
        <v>56099365U26</v>
      </c>
      <c r="B2" s="2457"/>
      <c r="C2" s="2457"/>
      <c r="D2" s="2457"/>
    </row>
    <row r="3" spans="1:11" s="1215" customFormat="1" ht="12.75" x14ac:dyDescent="0.2">
      <c r="A3" s="2455" t="s">
        <v>1592</v>
      </c>
      <c r="B3" s="2451"/>
      <c r="C3" s="2451"/>
      <c r="D3" s="2451"/>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9" t="str">
        <f>'Single Audit Cover'!A7</f>
        <v>Valley View PCSD 365</v>
      </c>
      <c r="B1" s="2459"/>
      <c r="C1" s="2459"/>
      <c r="D1" s="2459"/>
      <c r="E1" s="2459"/>
    </row>
    <row r="2" spans="1:5" x14ac:dyDescent="0.2">
      <c r="A2" s="2460" t="str">
        <f>'Single Audit Cover'!E7</f>
        <v>56099365U26</v>
      </c>
      <c r="B2" s="2460"/>
      <c r="C2" s="2460"/>
      <c r="D2" s="2460"/>
      <c r="E2" s="2460"/>
    </row>
    <row r="3" spans="1:5" ht="4.5" customHeight="1" x14ac:dyDescent="0.2"/>
    <row r="4" spans="1:5" x14ac:dyDescent="0.2">
      <c r="A4" s="2459" t="s">
        <v>1306</v>
      </c>
      <c r="B4" s="2459"/>
      <c r="C4" s="2459"/>
      <c r="D4" s="2459"/>
      <c r="E4" s="2459"/>
    </row>
    <row r="5" spans="1:5" x14ac:dyDescent="0.2">
      <c r="A5" s="2462" t="str">
        <f>'Single Audit Cover'!A4</f>
        <v>Year Ending June 30, 2018</v>
      </c>
      <c r="B5" s="2462"/>
      <c r="C5" s="2462"/>
      <c r="D5" s="2462"/>
      <c r="E5" s="2462"/>
    </row>
    <row r="6" spans="1:5" x14ac:dyDescent="0.2">
      <c r="A6" s="2459" t="s">
        <v>1305</v>
      </c>
      <c r="B6" s="2459"/>
      <c r="C6" s="2459"/>
      <c r="D6" s="2459"/>
      <c r="E6" s="2459"/>
    </row>
    <row r="8" spans="1:5" x14ac:dyDescent="0.2">
      <c r="A8" s="1260" t="s">
        <v>1304</v>
      </c>
    </row>
    <row r="10" spans="1:5" x14ac:dyDescent="0.2">
      <c r="A10" s="1261" t="s">
        <v>1303</v>
      </c>
      <c r="B10" s="1262" t="s">
        <v>1302</v>
      </c>
      <c r="C10" s="1262"/>
      <c r="D10" s="1263">
        <f>SUM('Acct Summary 7-8'!C7:K7)</f>
        <v>17224353</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690188</v>
      </c>
    </row>
    <row r="15" spans="1:5" x14ac:dyDescent="0.2">
      <c r="A15" s="1261"/>
      <c r="B15" s="1262"/>
      <c r="C15" s="1262"/>
    </row>
    <row r="16" spans="1:5" x14ac:dyDescent="0.2">
      <c r="A16" s="1261" t="s">
        <v>1953</v>
      </c>
      <c r="B16" s="1262"/>
      <c r="C16" s="1262"/>
    </row>
    <row r="17" spans="1:4" x14ac:dyDescent="0.2">
      <c r="A17" s="1261" t="s">
        <v>1600</v>
      </c>
      <c r="B17" s="1262" t="s">
        <v>1297</v>
      </c>
      <c r="C17" s="1262"/>
      <c r="D17" s="1264">
        <f>-SUM('Revenues 9-14'!C271:D271,'Revenues 9-14'!F271:G271)</f>
        <v>-1472646</v>
      </c>
    </row>
    <row r="19" spans="1:4" ht="13.5" thickBot="1" x14ac:dyDescent="0.25">
      <c r="A19" s="1265" t="s">
        <v>1296</v>
      </c>
      <c r="D19" s="1266">
        <f>SUM(D10:D17)</f>
        <v>16441895</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61"/>
      <c r="B24" s="2461"/>
      <c r="D24" s="1268"/>
    </row>
    <row r="25" spans="1:4" x14ac:dyDescent="0.2">
      <c r="A25" s="2458"/>
      <c r="B25" s="2458"/>
      <c r="D25" s="1268"/>
    </row>
    <row r="26" spans="1:4" x14ac:dyDescent="0.2">
      <c r="A26" s="2458"/>
      <c r="B26" s="2458"/>
      <c r="D26" s="1268"/>
    </row>
    <row r="27" spans="1:4" x14ac:dyDescent="0.2">
      <c r="A27" s="2458"/>
      <c r="B27" s="2458"/>
      <c r="D27" s="1268"/>
    </row>
    <row r="28" spans="1:4" x14ac:dyDescent="0.2">
      <c r="A28" s="2458"/>
      <c r="B28" s="2458"/>
      <c r="D28" s="1268"/>
    </row>
    <row r="29" spans="1:4" x14ac:dyDescent="0.2">
      <c r="A29" s="2458"/>
      <c r="B29" s="2458"/>
      <c r="D29" s="1268"/>
    </row>
    <row r="30" spans="1:4" x14ac:dyDescent="0.2">
      <c r="A30" s="2458"/>
      <c r="B30" s="2458"/>
      <c r="D30" s="1268"/>
    </row>
    <row r="32" spans="1:4" x14ac:dyDescent="0.2">
      <c r="A32" s="1260" t="s">
        <v>1294</v>
      </c>
      <c r="D32" s="1263">
        <f>SUM(D19:D30)</f>
        <v>16441895</v>
      </c>
    </row>
    <row r="33" spans="1:4" x14ac:dyDescent="0.2">
      <c r="D33" s="1269"/>
    </row>
    <row r="34" spans="1:4" x14ac:dyDescent="0.2">
      <c r="A34" s="317" t="s">
        <v>1293</v>
      </c>
    </row>
    <row r="35" spans="1:4" x14ac:dyDescent="0.2">
      <c r="A35" s="317" t="s">
        <v>1292</v>
      </c>
      <c r="B35" s="1258" t="s">
        <v>1291</v>
      </c>
      <c r="D35" s="1270">
        <v>16441896</v>
      </c>
    </row>
    <row r="37" spans="1:4" x14ac:dyDescent="0.2">
      <c r="A37" s="1260" t="s">
        <v>1290</v>
      </c>
    </row>
    <row r="39" spans="1:4" ht="13.35" customHeight="1" x14ac:dyDescent="0.2">
      <c r="A39" s="1267" t="s">
        <v>1289</v>
      </c>
    </row>
    <row r="40" spans="1:4" x14ac:dyDescent="0.2">
      <c r="A40" s="2458" t="s">
        <v>2240</v>
      </c>
      <c r="B40" s="2458"/>
      <c r="D40" s="1268">
        <v>-1</v>
      </c>
    </row>
    <row r="41" spans="1:4" x14ac:dyDescent="0.2">
      <c r="A41" s="2458"/>
      <c r="B41" s="2458"/>
      <c r="D41" s="1271"/>
    </row>
    <row r="42" spans="1:4" x14ac:dyDescent="0.2">
      <c r="A42" s="2458"/>
      <c r="B42" s="2458"/>
      <c r="D42" s="1271"/>
    </row>
    <row r="43" spans="1:4" x14ac:dyDescent="0.2">
      <c r="A43" s="2458"/>
      <c r="B43" s="2458"/>
      <c r="D43" s="1271"/>
    </row>
    <row r="44" spans="1:4" x14ac:dyDescent="0.2">
      <c r="A44" s="2458"/>
      <c r="B44" s="2458"/>
      <c r="D44" s="1271"/>
    </row>
    <row r="45" spans="1:4" x14ac:dyDescent="0.2">
      <c r="A45" s="2458"/>
      <c r="B45" s="2458"/>
      <c r="D45" s="1271"/>
    </row>
    <row r="47" spans="1:4" x14ac:dyDescent="0.2">
      <c r="B47" s="1272" t="s">
        <v>1288</v>
      </c>
      <c r="C47" s="1272"/>
      <c r="D47" s="1273">
        <f>SUM(D35:D45)</f>
        <v>16441895</v>
      </c>
    </row>
    <row r="49" spans="2:4" x14ac:dyDescent="0.2">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Valley View PCSD 365</v>
      </c>
      <c r="B1" s="2464"/>
      <c r="C1" s="2464"/>
      <c r="D1" s="2464"/>
      <c r="E1" s="2464"/>
      <c r="F1" s="2464"/>
    </row>
    <row r="2" spans="1:7" ht="13.5" customHeight="1" x14ac:dyDescent="0.2">
      <c r="A2" s="2465" t="str">
        <f>'Single Audit Cover'!E7</f>
        <v>56099365U26</v>
      </c>
      <c r="B2" s="2465"/>
      <c r="C2" s="2465"/>
      <c r="D2" s="2465"/>
      <c r="E2" s="2465"/>
      <c r="F2" s="2465"/>
      <c r="G2" s="1275"/>
    </row>
    <row r="3" spans="1:7" ht="15.75" customHeight="1" x14ac:dyDescent="0.2">
      <c r="A3" s="2466" t="s">
        <v>1332</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1830</v>
      </c>
      <c r="C6" s="317"/>
      <c r="D6" s="317"/>
    </row>
    <row r="7" spans="1:7" ht="60.95" customHeight="1" x14ac:dyDescent="0.2">
      <c r="A7" s="2463" t="s">
        <v>2157</v>
      </c>
      <c r="B7" s="2463"/>
      <c r="C7" s="2463"/>
      <c r="D7" s="2463"/>
      <c r="E7" s="2463"/>
      <c r="F7" s="2463"/>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2074</v>
      </c>
      <c r="F10" s="1280" t="s">
        <v>101</v>
      </c>
      <c r="G10" s="1278"/>
    </row>
    <row r="11" spans="1:7" ht="12" customHeight="1" x14ac:dyDescent="0.2">
      <c r="A11" s="1279"/>
      <c r="B11" s="1280"/>
      <c r="C11" s="1925"/>
      <c r="D11" s="1280"/>
      <c r="E11" s="1925"/>
      <c r="F11" s="1280"/>
      <c r="G11" s="1278"/>
    </row>
    <row r="12" spans="1:7" x14ac:dyDescent="0.2">
      <c r="A12" s="1276" t="s">
        <v>1668</v>
      </c>
      <c r="C12" s="1260"/>
      <c r="D12" s="1260"/>
    </row>
    <row r="13" spans="1:7" ht="15" customHeight="1" x14ac:dyDescent="0.2">
      <c r="A13" s="2463" t="s">
        <v>1832</v>
      </c>
      <c r="B13" s="2463"/>
      <c r="C13" s="2463"/>
      <c r="D13" s="2463"/>
      <c r="E13" s="2463"/>
      <c r="F13" s="2463"/>
    </row>
    <row r="14" spans="1:7" ht="9.75" customHeight="1" x14ac:dyDescent="0.2">
      <c r="C14" s="1260"/>
      <c r="D14" s="1260"/>
    </row>
    <row r="15" spans="1:7" ht="13.5" customHeight="1" x14ac:dyDescent="0.2">
      <c r="C15" s="1869" t="s">
        <v>1331</v>
      </c>
      <c r="D15" s="2469" t="s">
        <v>1330</v>
      </c>
      <c r="E15" s="2469"/>
      <c r="F15" s="2469"/>
    </row>
    <row r="16" spans="1:7" ht="13.5" customHeight="1" x14ac:dyDescent="0.2">
      <c r="A16" s="1282"/>
      <c r="B16" s="1276" t="s">
        <v>1329</v>
      </c>
      <c r="C16" s="1869" t="s">
        <v>1328</v>
      </c>
      <c r="D16" s="2470" t="s">
        <v>1669</v>
      </c>
      <c r="E16" s="2470"/>
      <c r="F16" s="2470"/>
    </row>
    <row r="17" spans="1:6" ht="20.45" customHeight="1" x14ac:dyDescent="0.2">
      <c r="A17" s="1283"/>
      <c r="B17" s="1284" t="s">
        <v>2158</v>
      </c>
      <c r="C17" s="1285"/>
      <c r="D17" s="2468"/>
      <c r="E17" s="2468"/>
      <c r="F17" s="2468"/>
    </row>
    <row r="18" spans="1:6" ht="20.65" customHeight="1" x14ac:dyDescent="0.2">
      <c r="A18" s="1283"/>
      <c r="B18" s="1284"/>
      <c r="C18" s="1285"/>
      <c r="D18" s="2468"/>
      <c r="E18" s="2468"/>
      <c r="F18" s="2468"/>
    </row>
    <row r="19" spans="1:6" ht="20.65" customHeight="1" x14ac:dyDescent="0.2">
      <c r="A19" s="1283"/>
      <c r="B19" s="1284"/>
      <c r="C19" s="1285"/>
      <c r="D19" s="2468"/>
      <c r="E19" s="2468"/>
      <c r="F19" s="2468"/>
    </row>
    <row r="20" spans="1:6" ht="20.65" customHeight="1" x14ac:dyDescent="0.2">
      <c r="A20" s="1283"/>
      <c r="B20" s="1284"/>
      <c r="C20" s="1285"/>
      <c r="D20" s="2468"/>
      <c r="E20" s="2468"/>
      <c r="F20" s="2468"/>
    </row>
    <row r="21" spans="1:6" ht="20.65" customHeight="1" x14ac:dyDescent="0.2">
      <c r="A21" s="1283"/>
      <c r="B21" s="1284"/>
      <c r="C21" s="1285"/>
      <c r="D21" s="2468"/>
      <c r="E21" s="2468"/>
      <c r="F21" s="2468"/>
    </row>
    <row r="22" spans="1:6" ht="20.65" customHeight="1" x14ac:dyDescent="0.2">
      <c r="A22" s="1283"/>
      <c r="B22" s="1284"/>
      <c r="C22" s="1285"/>
      <c r="D22" s="2468"/>
      <c r="E22" s="2468"/>
      <c r="F22" s="2468"/>
    </row>
    <row r="23" spans="1:6" ht="20.65" customHeight="1" x14ac:dyDescent="0.2">
      <c r="A23" s="1283"/>
      <c r="B23" s="1284"/>
      <c r="C23" s="1285"/>
      <c r="D23" s="2468"/>
      <c r="E23" s="2468"/>
      <c r="F23" s="2468"/>
    </row>
    <row r="24" spans="1:6" ht="20.65" customHeight="1" x14ac:dyDescent="0.2">
      <c r="A24" s="1283"/>
      <c r="B24" s="1284"/>
      <c r="C24" s="1285"/>
      <c r="D24" s="2468"/>
      <c r="E24" s="2468"/>
      <c r="F24" s="2468"/>
    </row>
    <row r="25" spans="1:6" ht="20.65" customHeight="1" x14ac:dyDescent="0.2">
      <c r="A25" s="1283"/>
      <c r="B25" s="1284"/>
      <c r="C25" s="1285"/>
      <c r="D25" s="2468"/>
      <c r="E25" s="2468"/>
      <c r="F25" s="2468"/>
    </row>
    <row r="26" spans="1:6" ht="20.65" customHeight="1" x14ac:dyDescent="0.2">
      <c r="A26" s="1283"/>
      <c r="B26" s="1284"/>
      <c r="C26" s="1285"/>
      <c r="D26" s="2468"/>
      <c r="E26" s="2468"/>
      <c r="F26" s="2468"/>
    </row>
    <row r="27" spans="1:6" ht="20.65" customHeight="1" x14ac:dyDescent="0.2">
      <c r="A27" s="1283"/>
      <c r="B27" s="1284"/>
      <c r="C27" s="1285"/>
      <c r="D27" s="2468"/>
      <c r="E27" s="2468"/>
      <c r="F27" s="2468"/>
    </row>
    <row r="28" spans="1:6" ht="20.65" customHeight="1" x14ac:dyDescent="0.2">
      <c r="A28" s="1283"/>
      <c r="B28" s="1284"/>
      <c r="C28" s="1285"/>
      <c r="D28" s="2468"/>
      <c r="E28" s="2468"/>
      <c r="F28" s="2468"/>
    </row>
    <row r="29" spans="1:6" ht="20.65" customHeight="1" x14ac:dyDescent="0.2">
      <c r="A29" s="1283"/>
      <c r="B29" s="1284"/>
      <c r="C29" s="1285"/>
      <c r="D29" s="2468"/>
      <c r="E29" s="2468"/>
      <c r="F29" s="2468"/>
    </row>
    <row r="30" spans="1:6" ht="12" customHeight="1" x14ac:dyDescent="0.2">
      <c r="A30" s="328"/>
      <c r="B30" s="328"/>
      <c r="C30" s="1478"/>
      <c r="D30" s="1926"/>
      <c r="E30" s="1286"/>
    </row>
    <row r="31" spans="1:6" ht="12" customHeight="1" x14ac:dyDescent="0.2">
      <c r="A31" s="1287" t="s">
        <v>1629</v>
      </c>
      <c r="B31" s="328"/>
      <c r="C31" s="1478"/>
      <c r="D31" s="1926"/>
      <c r="E31" s="1286"/>
    </row>
    <row r="32" spans="1:6" ht="30" customHeight="1" x14ac:dyDescent="0.2">
      <c r="A32" s="2472" t="s">
        <v>2159</v>
      </c>
      <c r="B32" s="2472"/>
      <c r="C32" s="2472"/>
      <c r="D32" s="2472"/>
      <c r="E32" s="2472"/>
      <c r="F32" s="2472"/>
    </row>
    <row r="33" spans="1:6" ht="13.5" customHeight="1" x14ac:dyDescent="0.2">
      <c r="A33" s="328" t="s">
        <v>1508</v>
      </c>
      <c r="B33" s="328"/>
      <c r="C33" s="1288">
        <v>376342</v>
      </c>
      <c r="D33" s="1926"/>
      <c r="E33" s="1286"/>
    </row>
    <row r="34" spans="1:6" ht="13.5" customHeight="1" x14ac:dyDescent="0.2">
      <c r="A34" s="328" t="s">
        <v>1946</v>
      </c>
      <c r="B34" s="328"/>
      <c r="C34" s="1289">
        <v>313846</v>
      </c>
      <c r="D34" s="1926" t="s">
        <v>1670</v>
      </c>
      <c r="E34" s="2473">
        <f>+C33+C34</f>
        <v>690188</v>
      </c>
      <c r="F34" s="2474"/>
    </row>
    <row r="35" spans="1:6" ht="12" customHeight="1" x14ac:dyDescent="0.2">
      <c r="A35" s="328"/>
      <c r="B35" s="328"/>
      <c r="C35" s="1927"/>
      <c r="D35" s="1926"/>
      <c r="E35" s="1290"/>
      <c r="F35" s="1291"/>
    </row>
    <row r="36" spans="1:6" ht="13.5" customHeight="1" x14ac:dyDescent="0.2">
      <c r="A36" s="1287" t="s">
        <v>1630</v>
      </c>
      <c r="B36" s="328"/>
      <c r="C36" s="1478"/>
      <c r="D36" s="1926"/>
      <c r="E36" s="1286"/>
    </row>
    <row r="37" spans="1:6" ht="14.25" customHeight="1" x14ac:dyDescent="0.2">
      <c r="A37" s="328" t="s">
        <v>1562</v>
      </c>
      <c r="B37" s="328"/>
      <c r="C37" s="1928"/>
      <c r="D37" s="1926"/>
      <c r="E37" s="1286"/>
    </row>
    <row r="38" spans="1:6" ht="14.25" customHeight="1" x14ac:dyDescent="0.2">
      <c r="A38" s="328"/>
      <c r="B38" s="328" t="s">
        <v>1509</v>
      </c>
      <c r="C38" s="1292">
        <v>0</v>
      </c>
      <c r="D38" s="1926"/>
      <c r="E38" s="1286"/>
    </row>
    <row r="39" spans="1:6" ht="14.25" customHeight="1" x14ac:dyDescent="0.2">
      <c r="A39" s="328"/>
      <c r="B39" s="328" t="s">
        <v>1510</v>
      </c>
      <c r="C39" s="1292">
        <v>0</v>
      </c>
      <c r="D39" s="1926"/>
      <c r="E39" s="1286"/>
    </row>
    <row r="40" spans="1:6" ht="14.25" customHeight="1" x14ac:dyDescent="0.2">
      <c r="A40" s="328"/>
      <c r="B40" s="328" t="s">
        <v>1511</v>
      </c>
      <c r="C40" s="1292">
        <v>0</v>
      </c>
      <c r="D40" s="1926"/>
      <c r="E40" s="1286"/>
    </row>
    <row r="41" spans="1:6" ht="14.25" customHeight="1" x14ac:dyDescent="0.2">
      <c r="A41" s="328"/>
      <c r="B41" s="328" t="s">
        <v>1512</v>
      </c>
      <c r="C41" s="1292">
        <v>0</v>
      </c>
      <c r="D41" s="1926"/>
      <c r="E41" s="1286"/>
    </row>
    <row r="42" spans="1:6" ht="14.25" customHeight="1" x14ac:dyDescent="0.2">
      <c r="A42" s="328" t="s">
        <v>1513</v>
      </c>
      <c r="B42" s="328"/>
      <c r="C42" s="1924">
        <v>0</v>
      </c>
      <c r="D42" s="1926"/>
      <c r="E42" s="1286"/>
    </row>
    <row r="43" spans="1:6" ht="14.25" customHeight="1" x14ac:dyDescent="0.2">
      <c r="A43" s="328" t="s">
        <v>1514</v>
      </c>
      <c r="B43" s="328"/>
      <c r="C43" s="1293" t="s">
        <v>2160</v>
      </c>
      <c r="D43" s="1926"/>
      <c r="E43" s="1286"/>
    </row>
    <row r="44" spans="1:6" ht="14.25" customHeight="1" x14ac:dyDescent="0.2">
      <c r="A44" s="328"/>
      <c r="B44" s="328"/>
      <c r="C44" s="1928" t="s">
        <v>1515</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5" t="s">
        <v>1671</v>
      </c>
      <c r="C49" s="2475"/>
      <c r="D49" s="2475"/>
      <c r="E49" s="1399"/>
    </row>
    <row r="50" spans="1:5" s="1300" customFormat="1" ht="3.75" customHeight="1" x14ac:dyDescent="0.2">
      <c r="A50" s="1299"/>
      <c r="B50" s="1868"/>
      <c r="C50" s="1868"/>
      <c r="D50" s="1868"/>
      <c r="E50" s="1399"/>
    </row>
    <row r="51" spans="1:5" s="1300" customFormat="1" ht="20.25" customHeight="1" x14ac:dyDescent="0.2">
      <c r="A51" s="1301">
        <v>6</v>
      </c>
      <c r="B51" s="2471" t="s">
        <v>1631</v>
      </c>
      <c r="C51" s="2471"/>
      <c r="D51" s="2471"/>
    </row>
    <row r="52" spans="1:5" ht="14.25" customHeight="1" x14ac:dyDescent="0.2">
      <c r="A52" s="1301"/>
      <c r="B52" s="2471"/>
      <c r="C52" s="2471"/>
      <c r="D52" s="24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I13" sqref="I13:I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Valley View PCSD 365</v>
      </c>
      <c r="C1" s="2476"/>
      <c r="D1" s="2476"/>
      <c r="E1" s="2476"/>
      <c r="F1" s="2476"/>
      <c r="G1" s="2476"/>
      <c r="H1" s="2476"/>
      <c r="I1" s="2476"/>
      <c r="J1" s="2476"/>
      <c r="K1" s="2476"/>
      <c r="L1" s="2476"/>
      <c r="M1" s="2476"/>
    </row>
    <row r="2" spans="2:14" ht="15" x14ac:dyDescent="0.2">
      <c r="B2" s="2465" t="str">
        <f>'Single Audit Cover'!E7</f>
        <v>56099365U26</v>
      </c>
      <c r="C2" s="2465"/>
      <c r="D2" s="2465"/>
      <c r="E2" s="2465"/>
      <c r="F2" s="2465"/>
      <c r="G2" s="2465"/>
      <c r="H2" s="2465"/>
      <c r="I2" s="2465"/>
      <c r="J2" s="2465"/>
      <c r="K2" s="2465"/>
      <c r="L2" s="2465"/>
      <c r="M2" s="2465"/>
      <c r="N2" s="1302"/>
    </row>
    <row r="3" spans="2:14" ht="15" x14ac:dyDescent="0.2">
      <c r="B3" s="2477">
        <v>4466844668</v>
      </c>
      <c r="C3" s="2477"/>
      <c r="D3" s="2477"/>
      <c r="E3" s="2477"/>
      <c r="F3" s="2477"/>
      <c r="G3" s="2477"/>
      <c r="H3" s="2477"/>
      <c r="I3" s="2477"/>
      <c r="J3" s="2477"/>
      <c r="K3" s="2477"/>
      <c r="L3" s="2477"/>
      <c r="M3" s="2477"/>
      <c r="N3" s="1302"/>
    </row>
    <row r="4" spans="2:14" ht="15" x14ac:dyDescent="0.2">
      <c r="B4" s="2478">
        <v>444666</v>
      </c>
      <c r="C4" s="2478"/>
      <c r="D4" s="2478"/>
      <c r="E4" s="2478"/>
      <c r="F4" s="2478"/>
      <c r="G4" s="2478"/>
      <c r="H4" s="2478"/>
      <c r="I4" s="2478"/>
      <c r="J4" s="2478"/>
      <c r="K4" s="2478"/>
      <c r="L4" s="2478"/>
      <c r="M4" s="247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1947</v>
      </c>
      <c r="K8" s="1319" t="s">
        <v>1322</v>
      </c>
      <c r="L8" s="1320" t="s">
        <v>1318</v>
      </c>
      <c r="M8" s="1321" t="s">
        <v>30</v>
      </c>
    </row>
    <row r="9" spans="2:14" ht="14.25" x14ac:dyDescent="0.2">
      <c r="B9" s="1325" t="s">
        <v>1320</v>
      </c>
      <c r="C9" s="1313" t="s">
        <v>1835</v>
      </c>
      <c r="D9" s="1314" t="s">
        <v>1836</v>
      </c>
      <c r="E9" s="1322" t="s">
        <v>1662</v>
      </c>
      <c r="F9" s="1323" t="s">
        <v>1947</v>
      </c>
      <c r="G9" s="1324" t="s">
        <v>1662</v>
      </c>
      <c r="H9" s="1317" t="s">
        <v>1663</v>
      </c>
      <c r="I9" s="1319" t="s">
        <v>1947</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65" t="s">
        <v>2161</v>
      </c>
      <c r="C11" s="1338"/>
      <c r="D11" s="1339"/>
      <c r="E11" s="1340"/>
      <c r="F11" s="1340"/>
      <c r="G11" s="1340"/>
      <c r="H11" s="1340"/>
      <c r="I11" s="1340"/>
      <c r="J11" s="1340"/>
      <c r="K11" s="1340"/>
      <c r="L11" s="1340"/>
      <c r="M11" s="1340"/>
    </row>
    <row r="12" spans="2:14" ht="20.100000000000001" customHeight="1" x14ac:dyDescent="0.2">
      <c r="B12" s="1966" t="s">
        <v>2162</v>
      </c>
      <c r="C12" s="1341"/>
      <c r="D12" s="1342"/>
      <c r="E12" s="1343"/>
      <c r="F12" s="1343"/>
      <c r="G12" s="1343"/>
      <c r="H12" s="1343"/>
      <c r="I12" s="1343"/>
      <c r="J12" s="1343"/>
      <c r="K12" s="1343"/>
      <c r="L12" s="1340"/>
      <c r="M12" s="1343"/>
    </row>
    <row r="13" spans="2:14" ht="20.100000000000001" customHeight="1" x14ac:dyDescent="0.2">
      <c r="B13" s="1337" t="s">
        <v>2163</v>
      </c>
      <c r="C13" s="1341" t="s">
        <v>2164</v>
      </c>
      <c r="D13" s="1342" t="s">
        <v>2165</v>
      </c>
      <c r="E13" s="1343">
        <v>2651754</v>
      </c>
      <c r="F13" s="1343">
        <v>1166737</v>
      </c>
      <c r="G13" s="1343">
        <v>2651754</v>
      </c>
      <c r="H13" s="1343"/>
      <c r="I13" s="1343">
        <v>1166737</v>
      </c>
      <c r="J13" s="1343"/>
      <c r="K13" s="1343"/>
      <c r="L13" s="1340">
        <f t="shared" ref="L13:L27" si="0">+G13+I13+K13</f>
        <v>3818491</v>
      </c>
      <c r="M13" s="1343">
        <v>4377250</v>
      </c>
    </row>
    <row r="14" spans="2:14" ht="20.100000000000001" customHeight="1" x14ac:dyDescent="0.2">
      <c r="B14" s="1337" t="s">
        <v>2163</v>
      </c>
      <c r="C14" s="1341" t="s">
        <v>2164</v>
      </c>
      <c r="D14" s="1342" t="s">
        <v>2166</v>
      </c>
      <c r="E14" s="1343"/>
      <c r="F14" s="1343">
        <v>2955200</v>
      </c>
      <c r="G14" s="1343"/>
      <c r="H14" s="1343"/>
      <c r="I14" s="1343">
        <v>2955200</v>
      </c>
      <c r="J14" s="1343"/>
      <c r="K14" s="1343">
        <v>4796</v>
      </c>
      <c r="L14" s="1340" t="s">
        <v>2167</v>
      </c>
      <c r="M14" s="1343">
        <v>4477294</v>
      </c>
    </row>
    <row r="15" spans="2:14" ht="20.100000000000001" customHeight="1" x14ac:dyDescent="0.2">
      <c r="B15" s="1337" t="s">
        <v>2168</v>
      </c>
      <c r="C15" s="1341" t="s">
        <v>2169</v>
      </c>
      <c r="D15" s="1342" t="s">
        <v>2170</v>
      </c>
      <c r="E15" s="1343">
        <v>308021</v>
      </c>
      <c r="F15" s="1343">
        <v>67414</v>
      </c>
      <c r="G15" s="1343">
        <v>308021</v>
      </c>
      <c r="H15" s="1343"/>
      <c r="I15" s="1343">
        <v>67414</v>
      </c>
      <c r="J15" s="1343"/>
      <c r="K15" s="1343"/>
      <c r="L15" s="1340">
        <f t="shared" si="0"/>
        <v>375435</v>
      </c>
      <c r="M15" s="1343">
        <v>618881</v>
      </c>
    </row>
    <row r="16" spans="2:14" ht="20.100000000000001" customHeight="1" x14ac:dyDescent="0.2">
      <c r="B16" s="1337" t="s">
        <v>2168</v>
      </c>
      <c r="C16" s="1341" t="s">
        <v>2169</v>
      </c>
      <c r="D16" s="1342" t="s">
        <v>2171</v>
      </c>
      <c r="E16" s="1343"/>
      <c r="F16" s="1343">
        <v>236411</v>
      </c>
      <c r="G16" s="1343"/>
      <c r="H16" s="1343"/>
      <c r="I16" s="1343">
        <v>236411</v>
      </c>
      <c r="J16" s="1343"/>
      <c r="K16" s="1343"/>
      <c r="L16" s="1340" t="s">
        <v>2167</v>
      </c>
      <c r="M16" s="1343">
        <v>804244</v>
      </c>
    </row>
    <row r="17" spans="2:14" ht="20.100000000000001" customHeight="1" x14ac:dyDescent="0.2">
      <c r="B17" s="1337" t="s">
        <v>2172</v>
      </c>
      <c r="C17" s="1341" t="s">
        <v>2173</v>
      </c>
      <c r="D17" s="1342" t="s">
        <v>2174</v>
      </c>
      <c r="E17" s="1343">
        <v>258067</v>
      </c>
      <c r="F17" s="1343">
        <v>70780</v>
      </c>
      <c r="G17" s="1343">
        <v>258067</v>
      </c>
      <c r="H17" s="1343"/>
      <c r="I17" s="1343">
        <v>70780</v>
      </c>
      <c r="J17" s="1343"/>
      <c r="K17" s="1343"/>
      <c r="L17" s="1340">
        <f t="shared" si="0"/>
        <v>328847</v>
      </c>
      <c r="M17" s="1343">
        <v>397580</v>
      </c>
    </row>
    <row r="18" spans="2:14" ht="20.100000000000001" customHeight="1" x14ac:dyDescent="0.2">
      <c r="B18" s="1337" t="s">
        <v>2172</v>
      </c>
      <c r="C18" s="1341" t="s">
        <v>2173</v>
      </c>
      <c r="D18" s="1342" t="s">
        <v>2239</v>
      </c>
      <c r="E18" s="1343"/>
      <c r="F18" s="1343">
        <v>193107</v>
      </c>
      <c r="G18" s="1343"/>
      <c r="H18" s="1343"/>
      <c r="I18" s="1343">
        <v>193107</v>
      </c>
      <c r="J18" s="1343"/>
      <c r="K18" s="1343"/>
      <c r="L18" s="1340" t="s">
        <v>2167</v>
      </c>
      <c r="M18" s="1343">
        <v>327373</v>
      </c>
    </row>
    <row r="19" spans="2:14" ht="20.100000000000001" customHeight="1" x14ac:dyDescent="0.2">
      <c r="B19" s="1337" t="s">
        <v>2175</v>
      </c>
      <c r="C19" s="1341" t="s">
        <v>2173</v>
      </c>
      <c r="D19" s="1342" t="s">
        <v>2176</v>
      </c>
      <c r="E19" s="1343">
        <v>24920</v>
      </c>
      <c r="F19" s="1343">
        <v>13648</v>
      </c>
      <c r="G19" s="1343">
        <v>24920</v>
      </c>
      <c r="H19" s="1343"/>
      <c r="I19" s="1343">
        <v>13648</v>
      </c>
      <c r="J19" s="1343"/>
      <c r="K19" s="1343"/>
      <c r="L19" s="1340">
        <f t="shared" si="0"/>
        <v>38568</v>
      </c>
      <c r="M19" s="1343">
        <v>44668</v>
      </c>
    </row>
    <row r="20" spans="2:14" ht="20.100000000000001" customHeight="1" x14ac:dyDescent="0.2">
      <c r="B20" s="1337" t="s">
        <v>2175</v>
      </c>
      <c r="C20" s="1341" t="s">
        <v>2173</v>
      </c>
      <c r="D20" s="1342" t="s">
        <v>2177</v>
      </c>
      <c r="E20" s="1343"/>
      <c r="F20" s="1343">
        <v>5889</v>
      </c>
      <c r="G20" s="1343"/>
      <c r="H20" s="1343"/>
      <c r="I20" s="1343">
        <v>5889</v>
      </c>
      <c r="J20" s="1343"/>
      <c r="K20" s="1343"/>
      <c r="L20" s="1340" t="s">
        <v>2167</v>
      </c>
      <c r="M20" s="1343">
        <v>6100</v>
      </c>
    </row>
    <row r="21" spans="2:14" ht="20.100000000000001" customHeight="1" x14ac:dyDescent="0.2">
      <c r="B21" s="1337" t="s">
        <v>2178</v>
      </c>
      <c r="C21" s="1341" t="s">
        <v>2179</v>
      </c>
      <c r="D21" s="1342" t="s">
        <v>2180</v>
      </c>
      <c r="E21" s="1343">
        <v>101675</v>
      </c>
      <c r="F21" s="1343"/>
      <c r="G21" s="1343">
        <v>101675</v>
      </c>
      <c r="H21" s="1343"/>
      <c r="I21" s="1343"/>
      <c r="J21" s="1343"/>
      <c r="K21" s="1343"/>
      <c r="L21" s="1340">
        <f t="shared" si="0"/>
        <v>101675</v>
      </c>
      <c r="M21" s="1343">
        <v>101675</v>
      </c>
    </row>
    <row r="22" spans="2:14" ht="20.100000000000001" customHeight="1" x14ac:dyDescent="0.2">
      <c r="B22" s="1337" t="s">
        <v>2178</v>
      </c>
      <c r="C22" s="1341" t="s">
        <v>2179</v>
      </c>
      <c r="D22" s="1342" t="s">
        <v>2181</v>
      </c>
      <c r="E22" s="1343"/>
      <c r="F22" s="1343">
        <v>93366</v>
      </c>
      <c r="G22" s="1343"/>
      <c r="H22" s="1343"/>
      <c r="I22" s="1343">
        <v>93366</v>
      </c>
      <c r="J22" s="1343"/>
      <c r="K22" s="1343"/>
      <c r="L22" s="1340">
        <f t="shared" si="0"/>
        <v>93366</v>
      </c>
      <c r="M22" s="1343">
        <v>93366</v>
      </c>
    </row>
    <row r="23" spans="2:14" ht="20.100000000000001" customHeight="1" x14ac:dyDescent="0.2">
      <c r="B23" s="1337" t="s">
        <v>2186</v>
      </c>
      <c r="C23" s="1341" t="s">
        <v>2183</v>
      </c>
      <c r="D23" s="1342" t="s">
        <v>2184</v>
      </c>
      <c r="E23" s="1343"/>
      <c r="F23" s="1343">
        <v>66893</v>
      </c>
      <c r="G23" s="1343"/>
      <c r="H23" s="1343"/>
      <c r="I23" s="1343">
        <v>66893</v>
      </c>
      <c r="J23" s="1343"/>
      <c r="K23" s="1343"/>
      <c r="L23" s="1340">
        <f t="shared" si="0"/>
        <v>66893</v>
      </c>
      <c r="M23" s="1343" t="s">
        <v>2185</v>
      </c>
    </row>
    <row r="24" spans="2:14" ht="20.100000000000001" customHeight="1" x14ac:dyDescent="0.2">
      <c r="B24" s="1337" t="s">
        <v>2187</v>
      </c>
      <c r="C24" s="1341" t="s">
        <v>2183</v>
      </c>
      <c r="D24" s="1342" t="s">
        <v>2188</v>
      </c>
      <c r="E24" s="1343">
        <v>3343159</v>
      </c>
      <c r="F24" s="1343">
        <v>2047</v>
      </c>
      <c r="G24" s="1343">
        <v>3343159</v>
      </c>
      <c r="H24" s="1343"/>
      <c r="I24" s="1343">
        <v>2047</v>
      </c>
      <c r="J24" s="1343"/>
      <c r="K24" s="1343"/>
      <c r="L24" s="1340">
        <f t="shared" si="0"/>
        <v>3345206</v>
      </c>
      <c r="M24" s="1343">
        <v>3442175</v>
      </c>
    </row>
    <row r="25" spans="2:14" ht="20.100000000000001" customHeight="1" x14ac:dyDescent="0.2">
      <c r="B25" s="1337" t="s">
        <v>2187</v>
      </c>
      <c r="C25" s="1341" t="s">
        <v>2183</v>
      </c>
      <c r="D25" s="1342" t="s">
        <v>2189</v>
      </c>
      <c r="E25" s="1343"/>
      <c r="F25" s="1343">
        <v>3329540</v>
      </c>
      <c r="G25" s="1343"/>
      <c r="H25" s="1343"/>
      <c r="I25" s="1343">
        <v>3329540</v>
      </c>
      <c r="J25" s="1343"/>
      <c r="K25" s="1343"/>
      <c r="L25" s="1340" t="s">
        <v>2167</v>
      </c>
      <c r="M25" s="1343">
        <v>3329540</v>
      </c>
    </row>
    <row r="26" spans="2:14" ht="20.100000000000001" customHeight="1" x14ac:dyDescent="0.2">
      <c r="B26" s="1337" t="s">
        <v>2190</v>
      </c>
      <c r="C26" s="1341" t="s">
        <v>2191</v>
      </c>
      <c r="D26" s="1342" t="s">
        <v>2192</v>
      </c>
      <c r="E26" s="1343">
        <v>818903</v>
      </c>
      <c r="F26" s="1343">
        <v>74176</v>
      </c>
      <c r="G26" s="1343">
        <v>818903</v>
      </c>
      <c r="H26" s="1343"/>
      <c r="I26" s="1343">
        <v>74176</v>
      </c>
      <c r="J26" s="1343"/>
      <c r="K26" s="1343"/>
      <c r="L26" s="1340">
        <f t="shared" si="0"/>
        <v>893079</v>
      </c>
      <c r="M26" s="1343">
        <v>896682</v>
      </c>
    </row>
    <row r="27" spans="2:14" ht="20.100000000000001" customHeight="1" x14ac:dyDescent="0.2">
      <c r="B27" s="1337" t="s">
        <v>2190</v>
      </c>
      <c r="C27" s="1341" t="s">
        <v>2191</v>
      </c>
      <c r="D27" s="1342" t="s">
        <v>2193</v>
      </c>
      <c r="E27" s="1343"/>
      <c r="F27" s="1343">
        <v>794039</v>
      </c>
      <c r="G27" s="1343"/>
      <c r="H27" s="1343"/>
      <c r="I27" s="1343">
        <v>794039</v>
      </c>
      <c r="J27" s="1343"/>
      <c r="K27" s="1343">
        <v>102642</v>
      </c>
      <c r="L27" s="1340">
        <f t="shared" si="0"/>
        <v>896681</v>
      </c>
      <c r="M27" s="1343">
        <v>896681</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L2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1229</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8" t="s">
        <v>1730</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330</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33420</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1389</v>
      </c>
      <c r="B70" s="2101"/>
      <c r="C70" s="2101"/>
      <c r="D70" s="2101"/>
      <c r="E70" s="2102"/>
      <c r="F70" s="2102"/>
      <c r="G70" s="2102"/>
      <c r="H70" s="2102"/>
      <c r="I70" s="210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861"/>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1386</v>
      </c>
      <c r="B83" s="2103"/>
      <c r="C83" s="2103"/>
      <c r="D83" s="210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v>713335</v>
      </c>
      <c r="G88" s="276">
        <v>1213714</v>
      </c>
      <c r="H88" s="276">
        <v>618552</v>
      </c>
      <c r="I88" s="276"/>
      <c r="J88" s="277">
        <f>SUM(E88:I88)</f>
        <v>2545601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2545601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5"/>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t="s">
        <v>2081</v>
      </c>
      <c r="D114" s="209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1396</v>
      </c>
      <c r="D117" s="2096"/>
      <c r="E117" s="2097"/>
      <c r="F117" s="2097"/>
      <c r="G117" s="2097"/>
      <c r="H117" s="209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J20" sqref="J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Valley View PCSD 365</v>
      </c>
      <c r="C1" s="2476"/>
      <c r="D1" s="2476"/>
      <c r="E1" s="2476"/>
      <c r="F1" s="2476"/>
      <c r="G1" s="2476"/>
      <c r="H1" s="2476"/>
      <c r="I1" s="2476"/>
      <c r="J1" s="2476"/>
      <c r="K1" s="2476"/>
      <c r="L1" s="2476"/>
      <c r="M1" s="2476"/>
    </row>
    <row r="2" spans="2:14" ht="15" x14ac:dyDescent="0.2">
      <c r="B2" s="2465" t="str">
        <f>'Single Audit Cover'!E7</f>
        <v>56099365U26</v>
      </c>
      <c r="C2" s="2465"/>
      <c r="D2" s="2465"/>
      <c r="E2" s="2465"/>
      <c r="F2" s="2465"/>
      <c r="G2" s="2465"/>
      <c r="H2" s="2465"/>
      <c r="I2" s="2465"/>
      <c r="J2" s="2465"/>
      <c r="K2" s="2465"/>
      <c r="L2" s="2465"/>
      <c r="M2" s="2465"/>
      <c r="N2" s="1302"/>
    </row>
    <row r="3" spans="2:14" ht="15" x14ac:dyDescent="0.2">
      <c r="B3" s="2477" t="s">
        <v>1280</v>
      </c>
      <c r="C3" s="2477"/>
      <c r="D3" s="2477"/>
      <c r="E3" s="2477"/>
      <c r="F3" s="2477"/>
      <c r="G3" s="2477"/>
      <c r="H3" s="2477"/>
      <c r="I3" s="2477"/>
      <c r="J3" s="2477"/>
      <c r="K3" s="2477"/>
      <c r="L3" s="2477"/>
      <c r="M3" s="2477"/>
      <c r="N3" s="1302"/>
    </row>
    <row r="4" spans="2:14" ht="15" x14ac:dyDescent="0.2">
      <c r="B4" s="2478" t="str">
        <f>'Single Audit Cover'!A4</f>
        <v>Year Ending June 30, 2018</v>
      </c>
      <c r="C4" s="2478"/>
      <c r="D4" s="2478"/>
      <c r="E4" s="2478"/>
      <c r="F4" s="2478"/>
      <c r="G4" s="2478"/>
      <c r="H4" s="2478"/>
      <c r="I4" s="2478"/>
      <c r="J4" s="2478"/>
      <c r="K4" s="2478"/>
      <c r="L4" s="2478"/>
      <c r="M4" s="247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1947</v>
      </c>
      <c r="K8" s="1319" t="s">
        <v>1322</v>
      </c>
      <c r="L8" s="1320" t="s">
        <v>1318</v>
      </c>
      <c r="M8" s="1321" t="s">
        <v>30</v>
      </c>
    </row>
    <row r="9" spans="2:14" ht="14.25" x14ac:dyDescent="0.2">
      <c r="B9" s="1325" t="s">
        <v>1320</v>
      </c>
      <c r="C9" s="1313" t="s">
        <v>1835</v>
      </c>
      <c r="D9" s="1314" t="s">
        <v>1836</v>
      </c>
      <c r="E9" s="1322" t="s">
        <v>1662</v>
      </c>
      <c r="F9" s="1323" t="s">
        <v>1947</v>
      </c>
      <c r="G9" s="1324" t="s">
        <v>1662</v>
      </c>
      <c r="H9" s="1317" t="s">
        <v>1663</v>
      </c>
      <c r="I9" s="1319" t="s">
        <v>1947</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66" t="s">
        <v>2194</v>
      </c>
      <c r="C11" s="1338"/>
      <c r="D11" s="1339"/>
      <c r="E11" s="1340"/>
      <c r="F11" s="1340"/>
      <c r="G11" s="1340"/>
      <c r="H11" s="1340"/>
      <c r="I11" s="1340"/>
      <c r="J11" s="1340"/>
      <c r="K11" s="1340"/>
      <c r="L11" s="1340"/>
      <c r="M11" s="1340"/>
    </row>
    <row r="12" spans="2:14" ht="20.100000000000001" customHeight="1" x14ac:dyDescent="0.2">
      <c r="B12" s="1337" t="s">
        <v>2195</v>
      </c>
      <c r="C12" s="1341" t="s">
        <v>2196</v>
      </c>
      <c r="D12" s="1342" t="s">
        <v>2197</v>
      </c>
      <c r="E12" s="1343">
        <v>114451</v>
      </c>
      <c r="F12" s="1343"/>
      <c r="G12" s="1343">
        <v>114451</v>
      </c>
      <c r="H12" s="1343"/>
      <c r="I12" s="1343"/>
      <c r="J12" s="1343"/>
      <c r="K12" s="1343"/>
      <c r="L12" s="1340">
        <f t="shared" ref="L12:L13" si="0">+G12+I12+K12</f>
        <v>114451</v>
      </c>
      <c r="M12" s="1343" t="s">
        <v>2185</v>
      </c>
    </row>
    <row r="13" spans="2:14" ht="20.100000000000001" customHeight="1" x14ac:dyDescent="0.2">
      <c r="B13" s="1337" t="s">
        <v>2195</v>
      </c>
      <c r="C13" s="1341" t="s">
        <v>2196</v>
      </c>
      <c r="D13" s="1342" t="s">
        <v>2198</v>
      </c>
      <c r="E13" s="1343"/>
      <c r="F13" s="1343">
        <v>113833</v>
      </c>
      <c r="G13" s="1343"/>
      <c r="H13" s="1343"/>
      <c r="I13" s="1343">
        <v>113833</v>
      </c>
      <c r="J13" s="1343"/>
      <c r="K13" s="1343"/>
      <c r="L13" s="1340">
        <f t="shared" si="0"/>
        <v>113833</v>
      </c>
      <c r="M13" s="1343" t="s">
        <v>2185</v>
      </c>
    </row>
    <row r="14" spans="2:14" ht="20.100000000000001" customHeight="1" x14ac:dyDescent="0.2">
      <c r="B14" s="1966" t="s">
        <v>2199</v>
      </c>
      <c r="C14" s="1341"/>
      <c r="D14" s="1342"/>
      <c r="E14" s="1343"/>
      <c r="F14" s="1343"/>
      <c r="G14" s="1343"/>
      <c r="H14" s="1343"/>
      <c r="I14" s="1343"/>
      <c r="J14" s="1343"/>
      <c r="K14" s="1343"/>
      <c r="L14" s="1340"/>
      <c r="M14" s="1343"/>
    </row>
    <row r="15" spans="2:14" ht="20.100000000000001" customHeight="1" x14ac:dyDescent="0.2">
      <c r="B15" s="1337" t="s">
        <v>2200</v>
      </c>
      <c r="C15" s="1341">
        <v>84.126000000000005</v>
      </c>
      <c r="D15" s="1342" t="s">
        <v>2201</v>
      </c>
      <c r="E15" s="1343">
        <v>74222</v>
      </c>
      <c r="F15" s="1343"/>
      <c r="G15" s="1343">
        <v>74222</v>
      </c>
      <c r="H15" s="1343"/>
      <c r="I15" s="1343"/>
      <c r="J15" s="1343"/>
      <c r="K15" s="1343"/>
      <c r="L15" s="1340">
        <f>+G15+I15+K15</f>
        <v>74222</v>
      </c>
      <c r="M15" s="1343" t="s">
        <v>2185</v>
      </c>
    </row>
    <row r="16" spans="2:14" ht="20.100000000000001" customHeight="1" x14ac:dyDescent="0.2">
      <c r="B16" s="1337" t="s">
        <v>2200</v>
      </c>
      <c r="C16" s="1341">
        <v>84.126000000000005</v>
      </c>
      <c r="D16" s="1342" t="s">
        <v>2202</v>
      </c>
      <c r="E16" s="1343"/>
      <c r="F16" s="1343">
        <v>84343</v>
      </c>
      <c r="G16" s="1343"/>
      <c r="H16" s="1343"/>
      <c r="I16" s="1343">
        <v>84343</v>
      </c>
      <c r="J16" s="1343"/>
      <c r="K16" s="1343"/>
      <c r="L16" s="1340">
        <f>+G16+I16+K16</f>
        <v>84343</v>
      </c>
      <c r="M16" s="1343" t="s">
        <v>2185</v>
      </c>
    </row>
    <row r="17" spans="2:14" ht="20.100000000000001" customHeight="1" x14ac:dyDescent="0.2">
      <c r="B17" s="1966" t="s">
        <v>2215</v>
      </c>
      <c r="C17" s="1341"/>
      <c r="D17" s="1342"/>
      <c r="E17" s="1343"/>
      <c r="F17" s="1343"/>
      <c r="G17" s="1343"/>
      <c r="H17" s="1343"/>
      <c r="I17" s="1343"/>
      <c r="J17" s="1343"/>
      <c r="K17" s="1343"/>
      <c r="L17" s="1340"/>
      <c r="M17" s="1343"/>
    </row>
    <row r="18" spans="2:14" ht="20.100000000000001" customHeight="1" x14ac:dyDescent="0.2">
      <c r="B18" s="1337" t="s">
        <v>2216</v>
      </c>
      <c r="C18" s="1341" t="s">
        <v>2217</v>
      </c>
      <c r="D18" s="1342" t="s">
        <v>2212</v>
      </c>
      <c r="E18" s="1343"/>
      <c r="F18" s="1343">
        <v>8000</v>
      </c>
      <c r="G18" s="1343"/>
      <c r="H18" s="1343"/>
      <c r="I18" s="1343">
        <v>8000</v>
      </c>
      <c r="J18" s="1343"/>
      <c r="K18" s="1343"/>
      <c r="L18" s="1340">
        <f>+G18+I18+K18</f>
        <v>8000</v>
      </c>
      <c r="M18" s="1343" t="s">
        <v>2185</v>
      </c>
    </row>
    <row r="19" spans="2:14" ht="20.100000000000001" customHeight="1" x14ac:dyDescent="0.2">
      <c r="B19" s="1337" t="s">
        <v>2216</v>
      </c>
      <c r="C19" s="1341" t="s">
        <v>2217</v>
      </c>
      <c r="D19" s="1342" t="s">
        <v>2213</v>
      </c>
      <c r="E19" s="1343"/>
      <c r="F19" s="1343">
        <v>1566</v>
      </c>
      <c r="G19" s="1343"/>
      <c r="H19" s="1343"/>
      <c r="I19" s="1343">
        <v>1566</v>
      </c>
      <c r="J19" s="1343"/>
      <c r="K19" s="1343"/>
      <c r="L19" s="1340">
        <v>1566</v>
      </c>
      <c r="M19" s="1343" t="s">
        <v>2185</v>
      </c>
    </row>
    <row r="20" spans="2:14" ht="20.100000000000001" customHeight="1" x14ac:dyDescent="0.2">
      <c r="B20" s="1965" t="s">
        <v>2203</v>
      </c>
      <c r="C20" s="1341"/>
      <c r="D20" s="1342"/>
      <c r="E20" s="1343"/>
      <c r="F20" s="1967">
        <v>9276989</v>
      </c>
      <c r="G20" s="1343"/>
      <c r="H20" s="1343"/>
      <c r="I20" s="1967">
        <v>9276989</v>
      </c>
      <c r="J20" s="1343"/>
      <c r="K20" s="1343"/>
      <c r="L20" s="1340"/>
      <c r="M20" s="1343"/>
    </row>
    <row r="21" spans="2:14" ht="20.100000000000001" customHeight="1" x14ac:dyDescent="0.2">
      <c r="C21" s="1341"/>
      <c r="D21" s="1342"/>
      <c r="E21" s="1343"/>
      <c r="F21" s="1343"/>
      <c r="G21" s="1343"/>
      <c r="H21" s="1343"/>
      <c r="I21" s="1343"/>
      <c r="J21" s="1343"/>
      <c r="K21" s="1343"/>
      <c r="L21" s="1340"/>
      <c r="M21" s="1343"/>
    </row>
    <row r="22" spans="2:14" ht="20.100000000000001" customHeight="1" x14ac:dyDescent="0.2">
      <c r="B22" s="1965" t="s">
        <v>2204</v>
      </c>
      <c r="C22" s="1341"/>
      <c r="D22" s="1342"/>
      <c r="E22" s="1343"/>
      <c r="F22" s="1343"/>
      <c r="G22" s="1343"/>
      <c r="H22" s="1343"/>
      <c r="I22" s="1343"/>
      <c r="J22" s="1343"/>
      <c r="K22" s="1343"/>
      <c r="L22" s="1340"/>
      <c r="M22" s="1343"/>
    </row>
    <row r="23" spans="2:14" ht="20.100000000000001" customHeight="1" x14ac:dyDescent="0.2">
      <c r="B23" s="1966" t="s">
        <v>2205</v>
      </c>
      <c r="C23" s="1341"/>
      <c r="D23" s="1342"/>
      <c r="E23" s="1343"/>
      <c r="F23" s="1343"/>
      <c r="G23" s="1343"/>
      <c r="H23" s="1343"/>
      <c r="I23" s="1343"/>
      <c r="J23" s="1343"/>
      <c r="K23" s="1343"/>
      <c r="L23" s="1340"/>
      <c r="M23" s="1343"/>
    </row>
    <row r="24" spans="2:14" ht="20.100000000000001" customHeight="1" x14ac:dyDescent="0.2">
      <c r="B24" s="1337" t="s">
        <v>2206</v>
      </c>
      <c r="C24" s="1341">
        <v>93.778000000000006</v>
      </c>
      <c r="D24" s="1342" t="s">
        <v>2207</v>
      </c>
      <c r="E24" s="1343">
        <v>256845</v>
      </c>
      <c r="F24" s="1343"/>
      <c r="G24" s="1343">
        <v>256845</v>
      </c>
      <c r="H24" s="1343"/>
      <c r="I24" s="1343"/>
      <c r="J24" s="1343"/>
      <c r="K24" s="1343"/>
      <c r="L24" s="1340">
        <f t="shared" ref="L24:L25" si="1">+G24+I24+K24</f>
        <v>256845</v>
      </c>
      <c r="M24" s="1343" t="s">
        <v>2185</v>
      </c>
    </row>
    <row r="25" spans="2:14" ht="20.100000000000001" customHeight="1" x14ac:dyDescent="0.2">
      <c r="B25" s="1337" t="s">
        <v>2206</v>
      </c>
      <c r="C25" s="1341">
        <v>93.778000000000006</v>
      </c>
      <c r="D25" s="1342" t="s">
        <v>2208</v>
      </c>
      <c r="E25" s="1343"/>
      <c r="F25" s="1343">
        <v>124048</v>
      </c>
      <c r="G25" s="1343"/>
      <c r="H25" s="1343"/>
      <c r="I25" s="1343">
        <v>124048</v>
      </c>
      <c r="J25" s="1343"/>
      <c r="K25" s="1343"/>
      <c r="L25" s="1340">
        <f t="shared" si="1"/>
        <v>124048</v>
      </c>
      <c r="M25" s="1343" t="s">
        <v>2185</v>
      </c>
    </row>
    <row r="26" spans="2:14" ht="20.100000000000001" customHeight="1" x14ac:dyDescent="0.2">
      <c r="B26" s="1965"/>
      <c r="C26" s="1341"/>
      <c r="D26" s="1342"/>
      <c r="E26" s="1343"/>
      <c r="F26" s="1967"/>
      <c r="G26" s="1343"/>
      <c r="H26" s="1343"/>
      <c r="I26" s="1967"/>
      <c r="J26" s="1343"/>
      <c r="K26" s="1343"/>
      <c r="L26" s="1340"/>
      <c r="M26" s="1343"/>
    </row>
    <row r="27" spans="2:14" ht="20.100000000000001" customHeight="1" x14ac:dyDescent="0.2">
      <c r="B27" s="1965" t="s">
        <v>2209</v>
      </c>
      <c r="C27" s="1341"/>
      <c r="D27" s="1342"/>
      <c r="E27" s="1343"/>
      <c r="F27" s="1967">
        <f>SUM(F25:F26)</f>
        <v>124048</v>
      </c>
      <c r="G27" s="1343"/>
      <c r="H27" s="1343"/>
      <c r="I27" s="1967">
        <f>SUM(I25:I26)</f>
        <v>124048</v>
      </c>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2:L14 K15:L18 F27:I27 L24:L25"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I25" sqref="I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Valley View PCSD 365</v>
      </c>
      <c r="C1" s="2476"/>
      <c r="D1" s="2476"/>
      <c r="E1" s="2476"/>
      <c r="F1" s="2476"/>
      <c r="G1" s="2476"/>
      <c r="H1" s="2476"/>
      <c r="I1" s="2476"/>
      <c r="J1" s="2476"/>
      <c r="K1" s="2476"/>
      <c r="L1" s="2476"/>
      <c r="M1" s="2476"/>
    </row>
    <row r="2" spans="2:14" ht="15" x14ac:dyDescent="0.2">
      <c r="B2" s="2465" t="str">
        <f>'Single Audit Cover'!E7</f>
        <v>56099365U26</v>
      </c>
      <c r="C2" s="2465"/>
      <c r="D2" s="2465"/>
      <c r="E2" s="2465"/>
      <c r="F2" s="2465"/>
      <c r="G2" s="2465"/>
      <c r="H2" s="2465"/>
      <c r="I2" s="2465"/>
      <c r="J2" s="2465"/>
      <c r="K2" s="2465"/>
      <c r="L2" s="2465"/>
      <c r="M2" s="2465"/>
      <c r="N2" s="1302"/>
    </row>
    <row r="3" spans="2:14" ht="15" x14ac:dyDescent="0.2">
      <c r="B3" s="2477" t="s">
        <v>1280</v>
      </c>
      <c r="C3" s="2477"/>
      <c r="D3" s="2477"/>
      <c r="E3" s="2477"/>
      <c r="F3" s="2477"/>
      <c r="G3" s="2477"/>
      <c r="H3" s="2477"/>
      <c r="I3" s="2477"/>
      <c r="J3" s="2477"/>
      <c r="K3" s="2477"/>
      <c r="L3" s="2477"/>
      <c r="M3" s="2477"/>
      <c r="N3" s="1302"/>
    </row>
    <row r="4" spans="2:14" ht="15" x14ac:dyDescent="0.2">
      <c r="B4" s="2478" t="str">
        <f>'Single Audit Cover'!A4</f>
        <v>Year Ending June 30, 2018</v>
      </c>
      <c r="C4" s="2478"/>
      <c r="D4" s="2478"/>
      <c r="E4" s="2478"/>
      <c r="F4" s="2478"/>
      <c r="G4" s="2478"/>
      <c r="H4" s="2478"/>
      <c r="I4" s="2478"/>
      <c r="J4" s="2478"/>
      <c r="K4" s="2478"/>
      <c r="L4" s="2478"/>
      <c r="M4" s="247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1947</v>
      </c>
      <c r="K8" s="1319" t="s">
        <v>1322</v>
      </c>
      <c r="L8" s="1320" t="s">
        <v>1318</v>
      </c>
      <c r="M8" s="1321" t="s">
        <v>30</v>
      </c>
    </row>
    <row r="9" spans="2:14" ht="14.25" x14ac:dyDescent="0.2">
      <c r="B9" s="1325" t="s">
        <v>1320</v>
      </c>
      <c r="C9" s="1313" t="s">
        <v>1835</v>
      </c>
      <c r="D9" s="1314" t="s">
        <v>1836</v>
      </c>
      <c r="E9" s="1322" t="s">
        <v>1662</v>
      </c>
      <c r="F9" s="1323" t="s">
        <v>1947</v>
      </c>
      <c r="G9" s="1324" t="s">
        <v>1662</v>
      </c>
      <c r="H9" s="1317" t="s">
        <v>1663</v>
      </c>
      <c r="I9" s="1319" t="s">
        <v>1947</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65" t="s">
        <v>2210</v>
      </c>
      <c r="C11" s="1338"/>
      <c r="D11" s="1339"/>
      <c r="E11" s="1340"/>
      <c r="F11" s="1340"/>
      <c r="G11" s="1340"/>
      <c r="H11" s="1340"/>
      <c r="I11" s="1340"/>
      <c r="J11" s="1340"/>
      <c r="K11" s="1340"/>
      <c r="L11" s="1340"/>
      <c r="M11" s="1340"/>
    </row>
    <row r="12" spans="2:14" ht="20.100000000000001" customHeight="1" x14ac:dyDescent="0.2">
      <c r="B12" s="1337" t="s">
        <v>2211</v>
      </c>
      <c r="C12" s="1341">
        <v>12.356999999999999</v>
      </c>
      <c r="D12" s="1342" t="s">
        <v>2212</v>
      </c>
      <c r="E12" s="1343">
        <v>153976</v>
      </c>
      <c r="F12" s="1343"/>
      <c r="G12" s="1343">
        <v>153976</v>
      </c>
      <c r="H12" s="1343"/>
      <c r="I12" s="1343"/>
      <c r="J12" s="1343"/>
      <c r="K12" s="1343"/>
      <c r="L12" s="1340">
        <f t="shared" ref="L12:L26" si="0">+G12+I12+K12</f>
        <v>153976</v>
      </c>
      <c r="M12" s="1343" t="s">
        <v>2185</v>
      </c>
    </row>
    <row r="13" spans="2:14" ht="20.100000000000001" customHeight="1" x14ac:dyDescent="0.2">
      <c r="B13" s="1337" t="s">
        <v>2211</v>
      </c>
      <c r="C13" s="1341">
        <v>12.356999999999999</v>
      </c>
      <c r="D13" s="1342" t="s">
        <v>2213</v>
      </c>
      <c r="E13" s="1343"/>
      <c r="F13" s="1343">
        <v>149228</v>
      </c>
      <c r="G13" s="1343"/>
      <c r="H13" s="1343"/>
      <c r="I13" s="1343">
        <v>149228</v>
      </c>
      <c r="J13" s="1343"/>
      <c r="K13" s="1343"/>
      <c r="L13" s="1340">
        <f t="shared" si="0"/>
        <v>149228</v>
      </c>
      <c r="M13" s="1343" t="s">
        <v>2185</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965" t="s">
        <v>2214</v>
      </c>
      <c r="C15" s="1341"/>
      <c r="D15" s="1342"/>
      <c r="E15" s="1967"/>
      <c r="F15" s="1967">
        <f>SUM(F13:F14)</f>
        <v>149228</v>
      </c>
      <c r="G15" s="1967"/>
      <c r="H15" s="1967"/>
      <c r="I15" s="1967">
        <f>SUM(I13:I14)</f>
        <v>149228</v>
      </c>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965" t="s">
        <v>2161</v>
      </c>
      <c r="C17" s="1341"/>
      <c r="D17" s="1342"/>
      <c r="E17" s="1343"/>
      <c r="F17" s="1343"/>
      <c r="G17" s="1343"/>
      <c r="H17" s="1343"/>
      <c r="I17" s="1343"/>
      <c r="J17" s="1343"/>
      <c r="K17" s="1343"/>
      <c r="L17" s="1340"/>
      <c r="M17" s="1343"/>
    </row>
    <row r="18" spans="2:14" ht="20.100000000000001" customHeight="1" x14ac:dyDescent="0.2">
      <c r="B18" s="1337" t="s">
        <v>2218</v>
      </c>
      <c r="C18" s="1341" t="s">
        <v>2219</v>
      </c>
      <c r="D18" s="1342" t="s">
        <v>2213</v>
      </c>
      <c r="E18" s="1343"/>
      <c r="F18" s="1343">
        <v>2653</v>
      </c>
      <c r="G18" s="1343"/>
      <c r="H18" s="1343"/>
      <c r="I18" s="1343">
        <v>2653</v>
      </c>
      <c r="J18" s="1343"/>
      <c r="K18" s="1343"/>
      <c r="L18" s="1340">
        <f t="shared" si="0"/>
        <v>2653</v>
      </c>
      <c r="M18" s="1343" t="s">
        <v>2185</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965" t="s">
        <v>2203</v>
      </c>
      <c r="C20" s="1341"/>
      <c r="D20" s="1342"/>
      <c r="E20" s="1343"/>
      <c r="F20" s="1967">
        <f>SUM(F18:F19)</f>
        <v>2653</v>
      </c>
      <c r="G20" s="1967"/>
      <c r="H20" s="1967"/>
      <c r="I20" s="1967">
        <f>SUM(I18:I19)</f>
        <v>2653</v>
      </c>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965" t="s">
        <v>2220</v>
      </c>
      <c r="C22" s="1341"/>
      <c r="D22" s="1342"/>
      <c r="E22" s="1343"/>
      <c r="F22" s="1343"/>
      <c r="G22" s="1343"/>
      <c r="H22" s="1343"/>
      <c r="I22" s="1343"/>
      <c r="J22" s="1343"/>
      <c r="K22" s="1343"/>
      <c r="L22" s="1340"/>
      <c r="M22" s="1343"/>
    </row>
    <row r="23" spans="2:14" ht="20.100000000000001" customHeight="1" x14ac:dyDescent="0.2">
      <c r="B23" s="1966" t="s">
        <v>2162</v>
      </c>
      <c r="C23" s="1341"/>
      <c r="D23" s="1342"/>
      <c r="E23" s="1343"/>
      <c r="F23" s="1343"/>
      <c r="G23" s="1343"/>
      <c r="H23" s="1343"/>
      <c r="I23" s="1343"/>
      <c r="J23" s="1343"/>
      <c r="K23" s="1343"/>
      <c r="L23" s="1340"/>
      <c r="M23" s="1343"/>
    </row>
    <row r="24" spans="2:14" ht="20.100000000000001" customHeight="1" x14ac:dyDescent="0.2">
      <c r="B24" s="1337" t="s">
        <v>2221</v>
      </c>
      <c r="C24" s="1341">
        <v>10.555</v>
      </c>
      <c r="D24" s="1342" t="s">
        <v>2222</v>
      </c>
      <c r="E24" s="1343">
        <v>3676759</v>
      </c>
      <c r="F24" s="1343">
        <v>881780</v>
      </c>
      <c r="G24" s="1343">
        <v>3676759</v>
      </c>
      <c r="H24" s="1343"/>
      <c r="I24" s="1343">
        <v>881780</v>
      </c>
      <c r="J24" s="1343"/>
      <c r="K24" s="1343"/>
      <c r="L24" s="1340">
        <f t="shared" si="0"/>
        <v>4558539</v>
      </c>
      <c r="M24" s="1343" t="s">
        <v>2185</v>
      </c>
    </row>
    <row r="25" spans="2:14" ht="20.100000000000001" customHeight="1" x14ac:dyDescent="0.2">
      <c r="B25" s="1337" t="s">
        <v>2221</v>
      </c>
      <c r="C25" s="1341">
        <v>10.555</v>
      </c>
      <c r="D25" s="1342" t="s">
        <v>2223</v>
      </c>
      <c r="E25" s="1343"/>
      <c r="F25" s="1343">
        <v>3809121</v>
      </c>
      <c r="G25" s="1343"/>
      <c r="H25" s="1343"/>
      <c r="I25" s="1343">
        <v>3809121</v>
      </c>
      <c r="J25" s="1343"/>
      <c r="K25" s="1343"/>
      <c r="L25" s="1340" t="s">
        <v>2227</v>
      </c>
      <c r="M25" s="1343" t="s">
        <v>2185</v>
      </c>
    </row>
    <row r="26" spans="2:14" ht="20.100000000000001" customHeight="1" x14ac:dyDescent="0.2">
      <c r="B26" s="1337" t="s">
        <v>2224</v>
      </c>
      <c r="C26" s="1341">
        <v>10.555999999999999</v>
      </c>
      <c r="D26" s="1342" t="s">
        <v>2225</v>
      </c>
      <c r="E26" s="1343">
        <v>3628</v>
      </c>
      <c r="F26" s="1343">
        <v>745</v>
      </c>
      <c r="G26" s="1343">
        <v>3628</v>
      </c>
      <c r="H26" s="1343"/>
      <c r="I26" s="1343">
        <v>745</v>
      </c>
      <c r="J26" s="1343"/>
      <c r="K26" s="1343"/>
      <c r="L26" s="1340">
        <f t="shared" si="0"/>
        <v>4373</v>
      </c>
      <c r="M26" s="1343" t="s">
        <v>2185</v>
      </c>
    </row>
    <row r="27" spans="2:14" ht="20.100000000000001" customHeight="1" x14ac:dyDescent="0.2">
      <c r="B27" s="1337" t="s">
        <v>2224</v>
      </c>
      <c r="C27" s="1341">
        <v>10.555999999999999</v>
      </c>
      <c r="D27" s="1342" t="s">
        <v>2226</v>
      </c>
      <c r="E27" s="1343"/>
      <c r="F27" s="1343">
        <v>6410</v>
      </c>
      <c r="G27" s="1343"/>
      <c r="H27" s="1343"/>
      <c r="I27" s="1343">
        <v>6410</v>
      </c>
      <c r="J27" s="1343"/>
      <c r="K27" s="1343"/>
      <c r="L27" s="1340" t="s">
        <v>2227</v>
      </c>
      <c r="M27" s="1343" t="s">
        <v>2185</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H15:I15 F15 L12:L13 L18 F20:I20 L24:L27"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1" sqref="I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0" t="str">
        <f>'Single Audit Cover'!A7</f>
        <v>Valley View PCSD 365</v>
      </c>
      <c r="C1" s="2476"/>
      <c r="D1" s="2476"/>
      <c r="E1" s="2476"/>
      <c r="F1" s="2476"/>
      <c r="G1" s="2476"/>
      <c r="H1" s="2476"/>
      <c r="I1" s="2476"/>
      <c r="J1" s="2476"/>
      <c r="K1" s="2476"/>
      <c r="L1" s="2476"/>
      <c r="M1" s="2476"/>
    </row>
    <row r="2" spans="2:14" ht="15" x14ac:dyDescent="0.2">
      <c r="B2" s="2465" t="str">
        <f>'Single Audit Cover'!E7</f>
        <v>56099365U26</v>
      </c>
      <c r="C2" s="2465"/>
      <c r="D2" s="2465"/>
      <c r="E2" s="2465"/>
      <c r="F2" s="2465"/>
      <c r="G2" s="2465"/>
      <c r="H2" s="2465"/>
      <c r="I2" s="2465"/>
      <c r="J2" s="2465"/>
      <c r="K2" s="2465"/>
      <c r="L2" s="2465"/>
      <c r="M2" s="2465"/>
      <c r="N2" s="1302"/>
    </row>
    <row r="3" spans="2:14" ht="15" x14ac:dyDescent="0.2">
      <c r="B3" s="2477" t="s">
        <v>1280</v>
      </c>
      <c r="C3" s="2477"/>
      <c r="D3" s="2477"/>
      <c r="E3" s="2477"/>
      <c r="F3" s="2477"/>
      <c r="G3" s="2477"/>
      <c r="H3" s="2477"/>
      <c r="I3" s="2477"/>
      <c r="J3" s="2477"/>
      <c r="K3" s="2477"/>
      <c r="L3" s="2477"/>
      <c r="M3" s="2477"/>
      <c r="N3" s="1302"/>
    </row>
    <row r="4" spans="2:14" ht="15" x14ac:dyDescent="0.2">
      <c r="B4" s="2478" t="str">
        <f>'Single Audit Cover'!A4</f>
        <v>Year Ending June 30, 2018</v>
      </c>
      <c r="C4" s="2478"/>
      <c r="D4" s="2478"/>
      <c r="E4" s="2478"/>
      <c r="F4" s="2478"/>
      <c r="G4" s="2478"/>
      <c r="H4" s="2478"/>
      <c r="I4" s="2478"/>
      <c r="J4" s="2478"/>
      <c r="K4" s="2478"/>
      <c r="L4" s="2478"/>
      <c r="M4" s="247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1947</v>
      </c>
      <c r="K8" s="1319" t="s">
        <v>1322</v>
      </c>
      <c r="L8" s="1320" t="s">
        <v>1318</v>
      </c>
      <c r="M8" s="1321" t="s">
        <v>30</v>
      </c>
    </row>
    <row r="9" spans="2:14" ht="14.25" x14ac:dyDescent="0.2">
      <c r="B9" s="1325" t="s">
        <v>1320</v>
      </c>
      <c r="C9" s="1313" t="s">
        <v>1835</v>
      </c>
      <c r="D9" s="1314" t="s">
        <v>1836</v>
      </c>
      <c r="E9" s="1322" t="s">
        <v>1662</v>
      </c>
      <c r="F9" s="1323" t="s">
        <v>1947</v>
      </c>
      <c r="G9" s="1324" t="s">
        <v>1662</v>
      </c>
      <c r="H9" s="1317" t="s">
        <v>1663</v>
      </c>
      <c r="I9" s="1319" t="s">
        <v>1947</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2228</v>
      </c>
      <c r="C11" s="1338">
        <v>10.553000000000001</v>
      </c>
      <c r="D11" s="1339" t="s">
        <v>2229</v>
      </c>
      <c r="E11" s="1340">
        <v>1089993</v>
      </c>
      <c r="F11" s="1340">
        <v>228908</v>
      </c>
      <c r="G11" s="1340">
        <v>1089993</v>
      </c>
      <c r="H11" s="1340"/>
      <c r="I11" s="1340">
        <v>228908</v>
      </c>
      <c r="J11" s="1340"/>
      <c r="K11" s="1340"/>
      <c r="L11" s="1340">
        <f>+G11+I11+K11</f>
        <v>1318901</v>
      </c>
      <c r="M11" s="1340" t="s">
        <v>2185</v>
      </c>
    </row>
    <row r="12" spans="2:14" ht="20.100000000000001" customHeight="1" x14ac:dyDescent="0.2">
      <c r="B12" s="1337" t="s">
        <v>2228</v>
      </c>
      <c r="C12" s="1341">
        <v>10.553000000000001</v>
      </c>
      <c r="D12" s="1342" t="s">
        <v>2230</v>
      </c>
      <c r="E12" s="1343"/>
      <c r="F12" s="1343">
        <v>1139108</v>
      </c>
      <c r="G12" s="1343"/>
      <c r="H12" s="1343"/>
      <c r="I12" s="1343">
        <v>1139108</v>
      </c>
      <c r="J12" s="1343"/>
      <c r="K12" s="1343"/>
      <c r="L12" s="1340" t="s">
        <v>2227</v>
      </c>
      <c r="M12" s="1343" t="s">
        <v>2185</v>
      </c>
    </row>
    <row r="13" spans="2:14" ht="20.100000000000001" customHeight="1" x14ac:dyDescent="0.2">
      <c r="B13" s="1337" t="s">
        <v>2231</v>
      </c>
      <c r="C13" s="1341">
        <v>10.558999999999999</v>
      </c>
      <c r="D13" s="1342" t="s">
        <v>2232</v>
      </c>
      <c r="E13" s="1343">
        <v>68409</v>
      </c>
      <c r="F13" s="1343">
        <v>63748</v>
      </c>
      <c r="G13" s="1343">
        <v>68409</v>
      </c>
      <c r="H13" s="1343"/>
      <c r="I13" s="1343">
        <v>63748</v>
      </c>
      <c r="J13" s="1343"/>
      <c r="K13" s="1343"/>
      <c r="L13" s="1340">
        <f t="shared" ref="L13:L16" si="0">+G13+I13+K13</f>
        <v>132157</v>
      </c>
      <c r="M13" s="1343" t="s">
        <v>2185</v>
      </c>
    </row>
    <row r="14" spans="2:14" ht="20.100000000000001" customHeight="1" x14ac:dyDescent="0.2">
      <c r="B14" s="1337" t="s">
        <v>2231</v>
      </c>
      <c r="C14" s="1341">
        <v>10.558999999999999</v>
      </c>
      <c r="D14" s="1342" t="s">
        <v>2233</v>
      </c>
      <c r="E14" s="1343"/>
      <c r="F14" s="1343">
        <v>68970</v>
      </c>
      <c r="G14" s="1343"/>
      <c r="H14" s="1343"/>
      <c r="I14" s="1343">
        <v>68970</v>
      </c>
      <c r="J14" s="1343"/>
      <c r="K14" s="1343"/>
      <c r="L14" s="1340" t="s">
        <v>2227</v>
      </c>
      <c r="M14" s="1343" t="s">
        <v>2185</v>
      </c>
    </row>
    <row r="15" spans="2:14" ht="20.100000000000001" customHeight="1" x14ac:dyDescent="0.2">
      <c r="B15" s="1337" t="s">
        <v>2235</v>
      </c>
      <c r="C15" s="1341">
        <v>10.555</v>
      </c>
      <c r="D15" s="1342" t="s">
        <v>2236</v>
      </c>
      <c r="E15" s="1343"/>
      <c r="F15" s="1343">
        <v>376342</v>
      </c>
      <c r="G15" s="1343"/>
      <c r="H15" s="1343"/>
      <c r="I15" s="1343">
        <v>376342</v>
      </c>
      <c r="J15" s="1343"/>
      <c r="K15" s="1343"/>
      <c r="L15" s="1340">
        <f t="shared" si="0"/>
        <v>376342</v>
      </c>
      <c r="M15" s="1343" t="s">
        <v>2185</v>
      </c>
    </row>
    <row r="16" spans="2:14" ht="20.100000000000001" customHeight="1" x14ac:dyDescent="0.2">
      <c r="B16" s="1337" t="s">
        <v>2234</v>
      </c>
      <c r="C16" s="1341">
        <v>10.555</v>
      </c>
      <c r="D16" s="1342" t="s">
        <v>2236</v>
      </c>
      <c r="E16" s="1343"/>
      <c r="F16" s="1343">
        <v>313846</v>
      </c>
      <c r="G16" s="1343"/>
      <c r="H16" s="1343"/>
      <c r="I16" s="1343">
        <v>313846</v>
      </c>
      <c r="J16" s="1343"/>
      <c r="K16" s="1343"/>
      <c r="L16" s="1340">
        <f t="shared" si="0"/>
        <v>313846</v>
      </c>
      <c r="M16" s="1343" t="s">
        <v>2185</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965" t="s">
        <v>2237</v>
      </c>
      <c r="C18" s="1341"/>
      <c r="D18" s="1342"/>
      <c r="E18" s="1343"/>
      <c r="F18" s="1967">
        <v>6888978</v>
      </c>
      <c r="G18" s="1343"/>
      <c r="H18" s="1343"/>
      <c r="I18" s="1967">
        <v>6888978</v>
      </c>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968" t="s">
        <v>2238</v>
      </c>
      <c r="C21" s="1341"/>
      <c r="D21" s="1342"/>
      <c r="E21" s="1343"/>
      <c r="F21" s="1969">
        <v>16441896</v>
      </c>
      <c r="G21" s="1343"/>
      <c r="H21" s="1343"/>
      <c r="I21" s="1969">
        <v>16441896</v>
      </c>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13 L15:L16"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G52" sqref="G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Valley View PCSD 365</v>
      </c>
      <c r="C1" s="2484"/>
      <c r="D1" s="2484"/>
      <c r="E1" s="2484"/>
      <c r="F1" s="2484"/>
      <c r="G1" s="2484"/>
      <c r="H1" s="2484"/>
      <c r="I1" s="2484"/>
      <c r="J1" s="1422"/>
    </row>
    <row r="2" spans="2:10" s="317" customFormat="1" ht="12.75" customHeight="1" x14ac:dyDescent="0.2">
      <c r="B2" s="2485" t="str">
        <f>'Single Audit Cover'!E7</f>
        <v>56099365U26</v>
      </c>
      <c r="C2" s="2486"/>
      <c r="D2" s="2486"/>
      <c r="E2" s="2486"/>
      <c r="F2" s="2486"/>
      <c r="G2" s="2486"/>
      <c r="H2" s="2486"/>
      <c r="I2" s="2486"/>
      <c r="J2" s="1422"/>
    </row>
    <row r="3" spans="2:10" s="317" customFormat="1" ht="12.75" customHeight="1" x14ac:dyDescent="0.2">
      <c r="B3" s="2487" t="s">
        <v>1346</v>
      </c>
      <c r="C3" s="2488"/>
      <c r="D3" s="2488"/>
      <c r="E3" s="2488"/>
      <c r="F3" s="2488"/>
      <c r="G3" s="2488"/>
      <c r="H3" s="2488"/>
      <c r="I3" s="2488"/>
      <c r="J3" s="1423"/>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7" t="s">
        <v>1345</v>
      </c>
      <c r="C7" s="2488"/>
      <c r="D7" s="2488"/>
      <c r="E7" s="2488"/>
      <c r="F7" s="2488"/>
      <c r="G7" s="2488"/>
      <c r="H7" s="2488"/>
      <c r="I7" s="2488"/>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9" t="s">
        <v>2241</v>
      </c>
      <c r="D11" s="2489"/>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2074</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2074</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2074</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2074</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0" t="s">
        <v>2241</v>
      </c>
      <c r="E29" s="2490"/>
      <c r="F29" s="2490"/>
      <c r="G29" s="2490"/>
      <c r="H29" s="2490"/>
      <c r="I29" s="249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1" t="s">
        <v>1851</v>
      </c>
      <c r="D37" s="2492"/>
      <c r="E37" s="2492"/>
      <c r="F37" s="2493"/>
      <c r="G37" s="2491" t="s">
        <v>1673</v>
      </c>
      <c r="H37" s="2492"/>
      <c r="I37" s="2493"/>
    </row>
    <row r="38" spans="2:9" ht="16.5" customHeight="1" x14ac:dyDescent="0.2">
      <c r="B38" s="1444" t="s">
        <v>2164</v>
      </c>
      <c r="C38" s="2479" t="s">
        <v>2242</v>
      </c>
      <c r="D38" s="2480"/>
      <c r="E38" s="2480"/>
      <c r="F38" s="2481"/>
      <c r="G38" s="2494">
        <v>4121937</v>
      </c>
      <c r="H38" s="2495"/>
      <c r="I38" s="2496"/>
    </row>
    <row r="39" spans="2:9" ht="16.5" customHeight="1" x14ac:dyDescent="0.2">
      <c r="B39" s="1444" t="s">
        <v>2179</v>
      </c>
      <c r="C39" s="2479" t="s">
        <v>2243</v>
      </c>
      <c r="D39" s="2480"/>
      <c r="E39" s="2480"/>
      <c r="F39" s="2481"/>
      <c r="G39" s="2482">
        <v>93366</v>
      </c>
      <c r="H39" s="2482"/>
      <c r="I39" s="2482"/>
    </row>
    <row r="40" spans="2:9" ht="16.5" customHeight="1" x14ac:dyDescent="0.2">
      <c r="B40" s="1444" t="s">
        <v>2183</v>
      </c>
      <c r="C40" s="2479" t="s">
        <v>2244</v>
      </c>
      <c r="D40" s="2480"/>
      <c r="E40" s="2480"/>
      <c r="F40" s="2481"/>
      <c r="G40" s="2482">
        <v>3331587</v>
      </c>
      <c r="H40" s="2482"/>
      <c r="I40" s="2482"/>
    </row>
    <row r="41" spans="2:9" ht="16.5" customHeight="1" x14ac:dyDescent="0.2">
      <c r="B41" s="1444" t="s">
        <v>2183</v>
      </c>
      <c r="C41" s="2479" t="s">
        <v>2182</v>
      </c>
      <c r="D41" s="2480"/>
      <c r="E41" s="2480"/>
      <c r="F41" s="2481"/>
      <c r="G41" s="2482">
        <v>66893</v>
      </c>
      <c r="H41" s="2482"/>
      <c r="I41" s="2482"/>
    </row>
    <row r="42" spans="2:9" ht="16.5" customHeight="1" x14ac:dyDescent="0.2">
      <c r="B42" s="1444"/>
      <c r="C42" s="2479"/>
      <c r="D42" s="2480"/>
      <c r="E42" s="2480"/>
      <c r="F42" s="2481"/>
      <c r="G42" s="2482"/>
      <c r="H42" s="2482"/>
      <c r="I42" s="2482"/>
    </row>
    <row r="43" spans="2:9" ht="16.5" customHeight="1" x14ac:dyDescent="0.2">
      <c r="B43" s="1444"/>
      <c r="C43" s="2497" t="s">
        <v>1674</v>
      </c>
      <c r="D43" s="2498"/>
      <c r="E43" s="2498"/>
      <c r="F43" s="2499"/>
      <c r="G43" s="2500">
        <f>SUM(G38:I42)</f>
        <v>7613783</v>
      </c>
      <c r="H43" s="2500"/>
      <c r="I43" s="2500"/>
    </row>
    <row r="44" spans="2:9" ht="12.75" customHeight="1" x14ac:dyDescent="0.2"/>
    <row r="45" spans="2:9" ht="12.75" customHeight="1" x14ac:dyDescent="0.2">
      <c r="B45" s="1435" t="s">
        <v>1949</v>
      </c>
      <c r="D45" s="2501">
        <v>16441896</v>
      </c>
      <c r="E45" s="2502"/>
    </row>
    <row r="46" spans="2:9" ht="5.25" customHeight="1" x14ac:dyDescent="0.2">
      <c r="B46" s="1445"/>
      <c r="D46" s="1446"/>
      <c r="E46" s="1447"/>
    </row>
    <row r="47" spans="2:9" ht="12.75" customHeight="1" x14ac:dyDescent="0.2">
      <c r="B47" s="1300" t="s">
        <v>1675</v>
      </c>
      <c r="C47" s="1300"/>
      <c r="D47" s="1448">
        <f>+G43/D45</f>
        <v>0.46307208122469573</v>
      </c>
      <c r="E47" s="1449"/>
      <c r="F47" s="1450"/>
      <c r="I47" s="1451"/>
    </row>
    <row r="48" spans="2:9" ht="9.9499999999999993" customHeight="1" x14ac:dyDescent="0.2"/>
    <row r="49" spans="1:9" x14ac:dyDescent="0.2">
      <c r="B49" s="1368" t="s">
        <v>1334</v>
      </c>
      <c r="C49" s="1282"/>
      <c r="D49" s="1282"/>
      <c r="E49" s="2503">
        <v>750000</v>
      </c>
      <c r="F49" s="2503"/>
      <c r="G49" s="2503"/>
      <c r="H49" s="322"/>
    </row>
    <row r="51" spans="1:9" ht="13.5" customHeight="1" x14ac:dyDescent="0.2">
      <c r="B51" s="1368" t="s">
        <v>1333</v>
      </c>
      <c r="C51" s="1282"/>
      <c r="E51" s="1438"/>
      <c r="F51" s="1300" t="s">
        <v>939</v>
      </c>
      <c r="G51" s="1438" t="s">
        <v>2245</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Valley View PCSD 365</v>
      </c>
      <c r="C1" s="2483"/>
      <c r="D1" s="2483"/>
      <c r="E1" s="2483"/>
      <c r="F1" s="2483"/>
      <c r="G1" s="2483"/>
      <c r="H1" s="2483"/>
      <c r="I1" s="2483"/>
      <c r="J1" s="2483"/>
      <c r="K1" s="2483"/>
      <c r="L1" s="1374"/>
      <c r="M1" s="1374"/>
    </row>
    <row r="2" spans="1:13" ht="12" customHeight="1" x14ac:dyDescent="0.2">
      <c r="B2" s="2485" t="str">
        <f>'Single Audit Cover'!E7</f>
        <v>56099365U26</v>
      </c>
      <c r="C2" s="2485"/>
      <c r="D2" s="2485"/>
      <c r="E2" s="2485"/>
      <c r="F2" s="2485"/>
      <c r="G2" s="2485"/>
      <c r="H2" s="2485"/>
      <c r="I2" s="2485"/>
      <c r="J2" s="2485"/>
      <c r="K2" s="2485"/>
      <c r="L2" s="1375"/>
      <c r="M2" s="1376"/>
    </row>
    <row r="3" spans="1:13" ht="10.35" customHeight="1" x14ac:dyDescent="0.2">
      <c r="B3" s="2506" t="s">
        <v>1346</v>
      </c>
      <c r="C3" s="2506"/>
      <c r="D3" s="2506"/>
      <c r="E3" s="2506"/>
      <c r="F3" s="2506"/>
      <c r="G3" s="2506"/>
      <c r="H3" s="2506"/>
      <c r="I3" s="2506"/>
      <c r="J3" s="2506"/>
      <c r="K3" s="2506"/>
      <c r="L3" s="1377"/>
      <c r="M3" s="1377"/>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7" t="s">
        <v>1362</v>
      </c>
      <c r="C7" s="2507"/>
      <c r="D7" s="2508"/>
      <c r="E7" s="2508"/>
      <c r="F7" s="2508"/>
      <c r="G7" s="2508"/>
      <c r="H7" s="2508"/>
      <c r="I7" s="2508"/>
      <c r="J7" s="2508"/>
      <c r="K7" s="250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2246</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5"/>
      <c r="C14" s="2505"/>
      <c r="D14" s="2505"/>
      <c r="E14" s="2505"/>
      <c r="F14" s="2505"/>
      <c r="G14" s="2505"/>
      <c r="H14" s="2505"/>
      <c r="I14" s="2505"/>
      <c r="J14" s="2505"/>
      <c r="K14" s="250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5"/>
      <c r="C17" s="2505"/>
      <c r="D17" s="2505"/>
      <c r="E17" s="2505"/>
      <c r="F17" s="2505"/>
      <c r="G17" s="2505"/>
      <c r="H17" s="2505"/>
      <c r="I17" s="2505"/>
      <c r="J17" s="2505"/>
      <c r="K17" s="2505"/>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9"/>
      <c r="C20" s="2509"/>
      <c r="D20" s="2505"/>
      <c r="E20" s="2505"/>
      <c r="F20" s="2505"/>
      <c r="G20" s="2505"/>
      <c r="H20" s="2505"/>
      <c r="I20" s="2505"/>
      <c r="J20" s="2505"/>
      <c r="K20" s="2505"/>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5"/>
      <c r="C23" s="2505"/>
      <c r="D23" s="2505"/>
      <c r="E23" s="2505"/>
      <c r="F23" s="2505"/>
      <c r="G23" s="2505"/>
      <c r="H23" s="2505"/>
      <c r="I23" s="2505"/>
      <c r="J23" s="2505"/>
      <c r="K23" s="2505"/>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5"/>
      <c r="C26" s="2505"/>
      <c r="D26" s="2505"/>
      <c r="E26" s="2505"/>
      <c r="F26" s="2505"/>
      <c r="G26" s="2505"/>
      <c r="H26" s="2505"/>
      <c r="I26" s="2505"/>
      <c r="J26" s="2505"/>
      <c r="K26" s="2505"/>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04"/>
      <c r="C29" s="2504"/>
      <c r="D29" s="2505"/>
      <c r="E29" s="2505"/>
      <c r="F29" s="2505"/>
      <c r="G29" s="2505"/>
      <c r="H29" s="2505"/>
      <c r="I29" s="2505"/>
      <c r="J29" s="2505"/>
      <c r="K29" s="250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4"/>
      <c r="C32" s="2504"/>
      <c r="D32" s="2505"/>
      <c r="E32" s="2505"/>
      <c r="F32" s="2505"/>
      <c r="G32" s="2505"/>
      <c r="H32" s="2505"/>
      <c r="I32" s="2505"/>
      <c r="J32" s="2505"/>
      <c r="K32" s="250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1347</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3" sqref="B23:K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Valley View PCSD 365</v>
      </c>
      <c r="C1" s="2510"/>
      <c r="D1" s="2510"/>
      <c r="E1" s="2510"/>
      <c r="F1" s="2510"/>
      <c r="G1" s="2510"/>
      <c r="H1" s="2510"/>
      <c r="I1" s="2510"/>
      <c r="J1" s="2510"/>
      <c r="K1" s="2510"/>
      <c r="L1" s="1465"/>
    </row>
    <row r="2" spans="1:12" ht="12.75" customHeight="1" x14ac:dyDescent="0.2">
      <c r="B2" s="2511" t="str">
        <f>'Single Audit Cover'!E7</f>
        <v>56099365U26</v>
      </c>
      <c r="C2" s="2511"/>
      <c r="D2" s="2511"/>
      <c r="E2" s="2511"/>
      <c r="F2" s="2511"/>
      <c r="G2" s="2511"/>
      <c r="H2" s="2511"/>
      <c r="I2" s="2511"/>
      <c r="J2" s="2511"/>
      <c r="K2" s="2511"/>
      <c r="L2" s="1466"/>
    </row>
    <row r="3" spans="1:12" ht="12.75" customHeight="1" x14ac:dyDescent="0.2">
      <c r="B3" s="2506" t="s">
        <v>1346</v>
      </c>
      <c r="C3" s="2506"/>
      <c r="D3" s="2506"/>
      <c r="E3" s="2506"/>
      <c r="F3" s="2506"/>
      <c r="G3" s="2506"/>
      <c r="H3" s="2506"/>
      <c r="I3" s="2506"/>
      <c r="J3" s="2506"/>
      <c r="K3" s="2506"/>
      <c r="L3" s="1377"/>
    </row>
    <row r="4" spans="1:12" ht="12.75" customHeight="1" x14ac:dyDescent="0.2">
      <c r="B4" s="2506" t="str">
        <f>'Single Audit Cover'!A4</f>
        <v>Year Ending June 30, 2018</v>
      </c>
      <c r="C4" s="2506"/>
      <c r="D4" s="2506"/>
      <c r="E4" s="2506"/>
      <c r="F4" s="2506"/>
      <c r="G4" s="2506"/>
      <c r="H4" s="2506"/>
      <c r="I4" s="2506"/>
      <c r="J4" s="2506"/>
      <c r="K4" s="2506"/>
      <c r="L4" s="1377"/>
    </row>
    <row r="5" spans="1:12" ht="5.25" customHeight="1" x14ac:dyDescent="0.2">
      <c r="B5" s="1260" t="s">
        <v>1230</v>
      </c>
      <c r="C5" s="1260"/>
      <c r="L5" s="322"/>
    </row>
    <row r="6" spans="1:12" ht="30.75" customHeight="1" x14ac:dyDescent="0.2">
      <c r="A6" s="322"/>
      <c r="B6" s="2512" t="s">
        <v>1374</v>
      </c>
      <c r="C6" s="2512"/>
      <c r="D6" s="2512"/>
      <c r="E6" s="2512"/>
      <c r="F6" s="2512"/>
      <c r="G6" s="2512"/>
      <c r="H6" s="2512"/>
      <c r="I6" s="2512"/>
      <c r="J6" s="2512"/>
      <c r="K6" s="2512"/>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2246</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0"/>
      <c r="G12" s="2490"/>
      <c r="H12" s="2490"/>
      <c r="I12" s="2490"/>
      <c r="J12" s="2490"/>
      <c r="K12" s="249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13"/>
      <c r="E14" s="2513"/>
      <c r="F14" s="2513"/>
      <c r="H14" s="1475" t="s">
        <v>1369</v>
      </c>
      <c r="I14" s="2514"/>
      <c r="J14" s="2514"/>
      <c r="K14" s="251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14"/>
      <c r="E16" s="2514"/>
      <c r="F16" s="2514"/>
      <c r="G16" s="2514"/>
      <c r="H16" s="2514"/>
      <c r="I16" s="2514"/>
      <c r="J16" s="2514"/>
      <c r="K16" s="2514"/>
      <c r="L16" s="322"/>
    </row>
    <row r="17" spans="2:12" ht="13.5" customHeight="1" x14ac:dyDescent="0.2">
      <c r="B17" s="1387" t="s">
        <v>1367</v>
      </c>
      <c r="C17" s="1387"/>
      <c r="D17" s="2515"/>
      <c r="E17" s="2515"/>
      <c r="F17" s="2515"/>
      <c r="G17" s="2515"/>
      <c r="H17" s="2515"/>
      <c r="I17" s="2515"/>
      <c r="J17" s="2515"/>
      <c r="K17" s="251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05"/>
      <c r="C20" s="2505"/>
      <c r="D20" s="2505"/>
      <c r="E20" s="2505"/>
      <c r="F20" s="2505"/>
      <c r="G20" s="2505"/>
      <c r="H20" s="2505"/>
      <c r="I20" s="2505"/>
      <c r="J20" s="2505"/>
      <c r="K20" s="250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22" sqref="D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3" t="str">
        <f>'Single Audit Cover'!A7</f>
        <v>Valley View PCSD 365</v>
      </c>
      <c r="C1" s="2483"/>
      <c r="D1" s="2483"/>
      <c r="E1" s="1491"/>
    </row>
    <row r="2" spans="2:5" s="1282" customFormat="1" ht="12.75" customHeight="1" x14ac:dyDescent="0.2">
      <c r="B2" s="2485" t="str">
        <f>'Single Audit Cover'!E7</f>
        <v>56099365U26</v>
      </c>
      <c r="C2" s="2485"/>
      <c r="D2" s="2485"/>
      <c r="E2" s="1492"/>
    </row>
    <row r="3" spans="2:5" ht="12.75" customHeight="1" x14ac:dyDescent="0.2">
      <c r="B3" s="2506" t="s">
        <v>1866</v>
      </c>
      <c r="C3" s="2506"/>
      <c r="D3" s="2506"/>
      <c r="E3" s="1274"/>
    </row>
    <row r="4" spans="2:5" s="1282" customFormat="1" ht="12.75" customHeight="1" x14ac:dyDescent="0.2">
      <c r="B4" s="2516" t="str">
        <f>'Single Audit Cover'!A4</f>
        <v>Year Ending June 30, 2018</v>
      </c>
      <c r="C4" s="2516"/>
      <c r="D4" s="2516"/>
      <c r="E4" s="1493"/>
    </row>
    <row r="5" spans="2:5" s="1282" customFormat="1" ht="40.15" customHeight="1" x14ac:dyDescent="0.2">
      <c r="B5" s="1494" t="s">
        <v>1867</v>
      </c>
      <c r="C5" s="328"/>
      <c r="D5" s="328"/>
      <c r="E5" s="328"/>
    </row>
    <row r="6" spans="2:5" s="1282" customFormat="1" ht="13.5" customHeight="1" x14ac:dyDescent="0.2">
      <c r="B6" s="1495" t="s">
        <v>1381</v>
      </c>
      <c r="C6" s="1495" t="s">
        <v>1380</v>
      </c>
      <c r="D6" s="1495" t="s">
        <v>1868</v>
      </c>
    </row>
    <row r="7" spans="2:5" ht="13.5" customHeight="1" x14ac:dyDescent="0.2">
      <c r="B7" s="1496" t="s">
        <v>2246</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1869</v>
      </c>
    </row>
    <row r="46" spans="2:5" ht="12.2" customHeight="1" x14ac:dyDescent="0.2">
      <c r="B46" s="1505" t="s">
        <v>1870</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403</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2451150733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3.9199999999999999E-2</v>
      </c>
      <c r="E10" s="356" t="s">
        <v>1061</v>
      </c>
      <c r="F10" s="355">
        <v>7.1040000000000001E-3</v>
      </c>
      <c r="G10" s="356" t="s">
        <v>1061</v>
      </c>
      <c r="H10" s="355">
        <v>2.48E-3</v>
      </c>
      <c r="I10" s="356" t="s">
        <v>1062</v>
      </c>
      <c r="J10" s="1754">
        <f>ROUND(D10+F10+H10,5)</f>
        <v>4.8779999999999997E-2</v>
      </c>
      <c r="K10" s="222"/>
      <c r="L10" s="355">
        <v>3.1000000000000001E-5</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234941517</v>
      </c>
      <c r="E16" s="356"/>
      <c r="F16" s="1755">
        <f>SUM('Acct Summary 7-8'!C17,'Acct Summary 7-8'!D17,'Acct Summary 7-8'!F17)</f>
        <v>224580128</v>
      </c>
      <c r="G16" s="356"/>
      <c r="H16" s="1755">
        <f>SUM(D16-F16)</f>
        <v>10361389</v>
      </c>
      <c r="I16" s="222"/>
      <c r="J16" s="1755">
        <f>SUM('Acct Summary 7-8'!C81,'Acct Summary 7-8'!D81,'Acct Summary 7-8'!F81,'Acct Summary 7-8'!I81)</f>
        <v>66443359</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338258801.15400004</v>
      </c>
      <c r="I31" s="368"/>
      <c r="J31" s="222"/>
      <c r="K31" s="222"/>
      <c r="L31" s="222"/>
      <c r="M31" s="222"/>
    </row>
    <row r="32" spans="1:13" ht="13.35" customHeight="1" x14ac:dyDescent="0.2">
      <c r="B32" s="369" t="s">
        <v>2074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317592532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5" zoomScale="110" zoomScaleNormal="110" workbookViewId="0">
      <selection activeCell="D69" sqref="D6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576</v>
      </c>
      <c r="B2" s="2133"/>
      <c r="C2" s="2133"/>
      <c r="D2" s="2133"/>
      <c r="E2" s="2133"/>
      <c r="F2" s="2133"/>
      <c r="G2" s="2133"/>
      <c r="H2" s="2133"/>
      <c r="I2" s="2133"/>
      <c r="J2" s="2133"/>
      <c r="K2" s="2133"/>
      <c r="L2" s="2133"/>
      <c r="M2" s="2133"/>
      <c r="N2" s="2133"/>
      <c r="O2" s="2133"/>
      <c r="P2" s="2133"/>
      <c r="Q2" s="2133"/>
      <c r="R2" s="2133"/>
    </row>
    <row r="3" spans="1:18" ht="12.75" x14ac:dyDescent="0.2">
      <c r="A3" s="2134" t="s">
        <v>1479</v>
      </c>
      <c r="B3" s="2134"/>
      <c r="C3" s="2134"/>
      <c r="D3" s="2134"/>
      <c r="E3" s="2134"/>
      <c r="F3" s="2134"/>
      <c r="G3" s="2134"/>
      <c r="H3" s="2134"/>
      <c r="I3" s="2134"/>
      <c r="J3" s="2134"/>
      <c r="K3" s="2134"/>
      <c r="L3" s="2134"/>
      <c r="M3" s="2134"/>
      <c r="N3" s="2134"/>
      <c r="O3" s="2134"/>
      <c r="P3" s="2134"/>
      <c r="Q3" s="2134"/>
      <c r="R3" s="2134"/>
    </row>
    <row r="4" spans="1:18" x14ac:dyDescent="0.2">
      <c r="A4" s="2135" t="s">
        <v>1634</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Valley View PCSD 365</v>
      </c>
      <c r="E7" s="391"/>
      <c r="G7" s="252"/>
      <c r="H7" s="387"/>
      <c r="I7" s="387"/>
      <c r="J7" s="387"/>
      <c r="K7" s="387"/>
      <c r="L7" s="329"/>
      <c r="M7" s="329"/>
      <c r="N7" s="329"/>
      <c r="O7" s="329"/>
      <c r="P7" s="329"/>
    </row>
    <row r="8" spans="1:18" ht="12.75" x14ac:dyDescent="0.2">
      <c r="A8" s="329"/>
      <c r="B8" s="329"/>
      <c r="C8" s="389" t="s">
        <v>1186</v>
      </c>
      <c r="D8" s="392" t="str">
        <f>COVER!A13</f>
        <v>56099365U26</v>
      </c>
      <c r="E8" s="393"/>
      <c r="G8" s="329"/>
      <c r="H8" s="329"/>
      <c r="I8" s="329"/>
      <c r="J8" s="329"/>
      <c r="K8" s="329"/>
      <c r="L8" s="329"/>
      <c r="M8" s="329"/>
      <c r="N8" s="329"/>
      <c r="O8" s="329"/>
      <c r="P8" s="329"/>
    </row>
    <row r="9" spans="1:18" ht="12.75" x14ac:dyDescent="0.2">
      <c r="A9" s="329"/>
      <c r="B9" s="329"/>
      <c r="C9" s="389" t="s">
        <v>736</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66443359</v>
      </c>
      <c r="I12" s="404"/>
      <c r="J12" s="404"/>
      <c r="K12" s="405">
        <f>TRUNC((H12/H13*100000),5)/100000</f>
        <v>0.28617495129999998</v>
      </c>
      <c r="L12" s="406"/>
      <c r="M12" s="360" t="s">
        <v>1205</v>
      </c>
      <c r="N12" s="360"/>
      <c r="O12" s="407">
        <v>0.35</v>
      </c>
      <c r="P12" s="218"/>
      <c r="Q12" s="218"/>
    </row>
    <row r="13" spans="1:18" s="408" customFormat="1" ht="12.75" x14ac:dyDescent="0.2">
      <c r="A13" s="218"/>
      <c r="B13" s="401"/>
      <c r="C13" s="2131" t="s">
        <v>1390</v>
      </c>
      <c r="D13" s="2132"/>
      <c r="E13" s="218"/>
      <c r="F13" s="409" t="s">
        <v>825</v>
      </c>
      <c r="G13" s="402"/>
      <c r="H13" s="403">
        <f>SUM('Acct Summary 7-8'!C8+'Acct Summary 7-8'!D8+'Acct Summary 7-8'!F8+'Acct Summary 7-8'!I8)+H14</f>
        <v>232177410</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-2764107</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224580128</v>
      </c>
      <c r="I17" s="404"/>
      <c r="J17" s="416"/>
      <c r="K17" s="405">
        <f>TRUNC((H17/H18*100000),5)/100000</f>
        <v>0.96727811709999989</v>
      </c>
      <c r="L17" s="406"/>
      <c r="M17" s="417" t="s">
        <v>1232</v>
      </c>
      <c r="O17" s="418" t="str">
        <f>IF(AND(O16="2", J20 &gt; 2),"1",IF(AND(O16 = "1", J20 &gt; 2),"2",IF(AND(O16="1", J20 &gt;1),"1","0")))</f>
        <v>0</v>
      </c>
      <c r="P17" s="218"/>
    </row>
    <row r="18" spans="1:18" s="408" customFormat="1" ht="11.25" x14ac:dyDescent="0.2">
      <c r="A18" s="218"/>
      <c r="B18" s="401"/>
      <c r="C18" s="2131" t="s">
        <v>1383</v>
      </c>
      <c r="D18" s="2132"/>
      <c r="E18" s="218"/>
      <c r="F18" s="419" t="s">
        <v>826</v>
      </c>
      <c r="G18" s="402"/>
      <c r="H18" s="403">
        <f>SUM('Acct Summary 7-8'!C8+'Acct Summary 7-8'!D8+'Acct Summary 7-8'!F8+'Acct Summary 7-8'!I8)+H19</f>
        <v>232177410</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-2764107</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28" t="s">
        <v>1478</v>
      </c>
      <c r="D24" s="2128"/>
      <c r="E24" s="218"/>
      <c r="F24" s="218" t="s">
        <v>464</v>
      </c>
      <c r="G24" s="402"/>
      <c r="H24" s="403">
        <f>SUM('Assets-Liab 5-6'!C4+'Assets-Liab 5-6'!D4+'Assets-Liab 5-6'!F4+'Assets-Liab 5-6'!I4+'Assets-Liab 5-6'!C5+'Assets-Liab 5-6'!D5+'Assets-Liab 5-6'!F5+'Assets-Liab 5-6'!I5)</f>
        <v>75873376</v>
      </c>
      <c r="I24" s="422"/>
      <c r="J24" s="422"/>
      <c r="K24" s="423">
        <f>TRUNC(((H24/H25*100000)/100000),2)</f>
        <v>121.62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623833.68888999999</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101632062.84238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317592532</v>
      </c>
      <c r="I32" s="420"/>
      <c r="J32" s="420"/>
      <c r="K32" s="423">
        <f>TRUNC(100-((((H32/H33*100))*100)/100),2)</f>
        <v>6.1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338258801.15400004</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D25" sqref="D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8" t="s">
        <v>1029</v>
      </c>
      <c r="B3" s="2139"/>
      <c r="C3" s="1581"/>
      <c r="D3" s="1582"/>
      <c r="E3" s="1582"/>
      <c r="F3" s="1582"/>
      <c r="G3" s="1582"/>
      <c r="H3" s="1582"/>
      <c r="I3" s="1582"/>
      <c r="J3" s="1582"/>
      <c r="K3" s="1582"/>
      <c r="L3" s="1582"/>
      <c r="M3" s="1583"/>
      <c r="N3" s="1584"/>
    </row>
    <row r="4" spans="1:14" ht="13.5" customHeight="1" x14ac:dyDescent="0.2">
      <c r="A4" s="463" t="s">
        <v>1749</v>
      </c>
      <c r="B4" s="464"/>
      <c r="C4" s="465">
        <f>41090035+8595699</f>
        <v>49685734</v>
      </c>
      <c r="D4" s="466">
        <v>4358834</v>
      </c>
      <c r="E4" s="466">
        <v>15808006</v>
      </c>
      <c r="F4" s="466">
        <v>2239509</v>
      </c>
      <c r="G4" s="466">
        <v>2914245</v>
      </c>
      <c r="H4" s="466">
        <v>3980221</v>
      </c>
      <c r="I4" s="466">
        <v>19589299</v>
      </c>
      <c r="J4" s="467">
        <v>1088019</v>
      </c>
      <c r="K4" s="466">
        <v>7748</v>
      </c>
      <c r="L4" s="466">
        <v>1109315</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v>55292796</v>
      </c>
      <c r="D6" s="466">
        <v>8361042</v>
      </c>
      <c r="E6" s="466">
        <v>15289713</v>
      </c>
      <c r="F6" s="466">
        <v>2918810</v>
      </c>
      <c r="G6" s="471">
        <v>2643370</v>
      </c>
      <c r="H6" s="471"/>
      <c r="I6" s="466">
        <v>36445</v>
      </c>
      <c r="J6" s="474">
        <v>681443</v>
      </c>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f>1460379+4118203+717213</f>
        <v>6295795</v>
      </c>
      <c r="D8" s="467">
        <v>47800</v>
      </c>
      <c r="E8" s="467"/>
      <c r="F8" s="467">
        <v>7675000</v>
      </c>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v>191813</v>
      </c>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v>56608</v>
      </c>
      <c r="D12" s="466">
        <v>2294</v>
      </c>
      <c r="E12" s="466">
        <v>29495</v>
      </c>
      <c r="F12" s="466">
        <v>523</v>
      </c>
      <c r="G12" s="466">
        <v>2567</v>
      </c>
      <c r="H12" s="466">
        <v>18198</v>
      </c>
      <c r="I12" s="466">
        <v>13531</v>
      </c>
      <c r="J12" s="467">
        <v>418</v>
      </c>
      <c r="K12" s="466"/>
      <c r="L12" s="466"/>
      <c r="M12" s="469"/>
      <c r="N12" s="469"/>
    </row>
    <row r="13" spans="1:14" ht="13.5" customHeight="1" thickBot="1" x14ac:dyDescent="0.25">
      <c r="A13" s="1758" t="s">
        <v>664</v>
      </c>
      <c r="B13" s="1731"/>
      <c r="C13" s="1759">
        <f>SUM(C4:C12)</f>
        <v>111522746</v>
      </c>
      <c r="D13" s="1759">
        <f t="shared" ref="D13:L13" si="0">SUM(D4:D12)</f>
        <v>12769970</v>
      </c>
      <c r="E13" s="1759">
        <f t="shared" si="0"/>
        <v>31127214</v>
      </c>
      <c r="F13" s="1759">
        <f t="shared" si="0"/>
        <v>12833842</v>
      </c>
      <c r="G13" s="1759">
        <f t="shared" si="0"/>
        <v>5560182</v>
      </c>
      <c r="H13" s="1759">
        <f t="shared" si="0"/>
        <v>3998419</v>
      </c>
      <c r="I13" s="1759">
        <f t="shared" si="0"/>
        <v>19639275</v>
      </c>
      <c r="J13" s="1759">
        <f t="shared" si="0"/>
        <v>1769880</v>
      </c>
      <c r="K13" s="1759">
        <f t="shared" si="0"/>
        <v>7748</v>
      </c>
      <c r="L13" s="1759">
        <f t="shared" si="0"/>
        <v>1109315</v>
      </c>
      <c r="M13" s="468"/>
      <c r="N13" s="469"/>
    </row>
    <row r="14" spans="1:14" ht="18" customHeight="1" thickTop="1" x14ac:dyDescent="0.2">
      <c r="A14" s="2140" t="s">
        <v>149</v>
      </c>
      <c r="B14" s="2141"/>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17041154</v>
      </c>
      <c r="N16" s="484"/>
    </row>
    <row r="17" spans="1:14" s="485" customFormat="1" ht="12.75" customHeight="1" x14ac:dyDescent="0.2">
      <c r="A17" s="482" t="s">
        <v>1469</v>
      </c>
      <c r="B17" s="483">
        <v>230</v>
      </c>
      <c r="C17" s="477"/>
      <c r="D17" s="477"/>
      <c r="E17" s="477"/>
      <c r="F17" s="477"/>
      <c r="G17" s="477"/>
      <c r="H17" s="477"/>
      <c r="I17" s="477"/>
      <c r="J17" s="477"/>
      <c r="K17" s="477"/>
      <c r="L17" s="477"/>
      <c r="M17" s="467">
        <v>380442138</v>
      </c>
      <c r="N17" s="484"/>
    </row>
    <row r="18" spans="1:14" s="485" customFormat="1" ht="12.75" customHeight="1" x14ac:dyDescent="0.2">
      <c r="A18" s="482" t="s">
        <v>1470</v>
      </c>
      <c r="B18" s="483">
        <v>240</v>
      </c>
      <c r="C18" s="477"/>
      <c r="D18" s="477"/>
      <c r="E18" s="477"/>
      <c r="F18" s="477"/>
      <c r="G18" s="477"/>
      <c r="H18" s="477"/>
      <c r="I18" s="477"/>
      <c r="J18" s="477"/>
      <c r="K18" s="477"/>
      <c r="L18" s="477"/>
      <c r="M18" s="467">
        <v>20052163</v>
      </c>
      <c r="N18" s="484"/>
    </row>
    <row r="19" spans="1:14" s="485" customFormat="1" ht="12.75" customHeight="1" x14ac:dyDescent="0.2">
      <c r="A19" s="482" t="s">
        <v>1471</v>
      </c>
      <c r="B19" s="483">
        <v>250</v>
      </c>
      <c r="C19" s="477"/>
      <c r="D19" s="477"/>
      <c r="E19" s="477"/>
      <c r="F19" s="477"/>
      <c r="G19" s="477"/>
      <c r="H19" s="477"/>
      <c r="I19" s="477"/>
      <c r="J19" s="477"/>
      <c r="K19" s="477"/>
      <c r="L19" s="477"/>
      <c r="M19" s="467">
        <f>1615325+23010816+672747+1525615</f>
        <v>26824503</v>
      </c>
      <c r="N19" s="484"/>
    </row>
    <row r="20" spans="1:14" s="485" customFormat="1" ht="12.75" customHeight="1" x14ac:dyDescent="0.2">
      <c r="A20" s="482" t="s">
        <v>1472</v>
      </c>
      <c r="B20" s="483">
        <v>260</v>
      </c>
      <c r="C20" s="477"/>
      <c r="D20" s="477"/>
      <c r="E20" s="477"/>
      <c r="F20" s="477"/>
      <c r="G20" s="477"/>
      <c r="H20" s="477"/>
      <c r="I20" s="477"/>
      <c r="J20" s="477"/>
      <c r="K20" s="477"/>
      <c r="L20" s="477"/>
      <c r="M20" s="467">
        <v>6161296</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15524193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302068339</v>
      </c>
    </row>
    <row r="23" spans="1:14" ht="13.5" customHeight="1" thickBot="1" x14ac:dyDescent="0.25">
      <c r="A23" s="1758" t="s">
        <v>663</v>
      </c>
      <c r="B23" s="1763"/>
      <c r="C23" s="468"/>
      <c r="D23" s="468"/>
      <c r="E23" s="468"/>
      <c r="F23" s="468"/>
      <c r="G23" s="468"/>
      <c r="H23" s="468"/>
      <c r="I23" s="468"/>
      <c r="J23" s="468"/>
      <c r="K23" s="468"/>
      <c r="L23" s="468"/>
      <c r="M23" s="1710">
        <f>SUM(M15:M22)</f>
        <v>450521254</v>
      </c>
      <c r="N23" s="1710">
        <f>SUM(N21:N22)</f>
        <v>317592532</v>
      </c>
    </row>
    <row r="24" spans="1:14" ht="18" customHeight="1" thickTop="1" x14ac:dyDescent="0.2">
      <c r="A24" s="2142" t="s">
        <v>618</v>
      </c>
      <c r="B24" s="2143"/>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f>3029723+82778</f>
        <v>3112501</v>
      </c>
      <c r="D27" s="467">
        <v>963967</v>
      </c>
      <c r="E27" s="467"/>
      <c r="F27" s="467">
        <v>348023</v>
      </c>
      <c r="G27" s="467"/>
      <c r="H27" s="467">
        <v>1107661</v>
      </c>
      <c r="I27" s="467"/>
      <c r="J27" s="467">
        <v>135114</v>
      </c>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f>3352834+4031661+51469</f>
        <v>7435964</v>
      </c>
      <c r="D30" s="474">
        <v>90570</v>
      </c>
      <c r="E30" s="467"/>
      <c r="F30" s="467">
        <v>137827</v>
      </c>
      <c r="G30" s="467"/>
      <c r="H30" s="467"/>
      <c r="I30" s="467"/>
      <c r="J30" s="467">
        <v>100000</v>
      </c>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f>58921546+88847</f>
        <v>59010393</v>
      </c>
      <c r="D32" s="492">
        <v>8532358</v>
      </c>
      <c r="E32" s="474">
        <v>15603021</v>
      </c>
      <c r="F32" s="474">
        <v>10653638</v>
      </c>
      <c r="G32" s="474">
        <v>2697589</v>
      </c>
      <c r="H32" s="474"/>
      <c r="I32" s="474">
        <v>37233</v>
      </c>
      <c r="J32" s="474">
        <v>695416</v>
      </c>
      <c r="K32" s="479"/>
      <c r="L32" s="468"/>
      <c r="M32" s="468"/>
      <c r="N32" s="468"/>
    </row>
    <row r="33" spans="1:14" ht="13.5" customHeight="1" x14ac:dyDescent="0.2">
      <c r="A33" s="493" t="s">
        <v>320</v>
      </c>
      <c r="B33" s="491">
        <v>493</v>
      </c>
      <c r="C33" s="467"/>
      <c r="D33" s="467"/>
      <c r="E33" s="467"/>
      <c r="F33" s="467"/>
      <c r="G33" s="467"/>
      <c r="H33" s="467"/>
      <c r="I33" s="467"/>
      <c r="J33" s="467"/>
      <c r="K33" s="467"/>
      <c r="L33" s="467">
        <v>1109315</v>
      </c>
      <c r="M33" s="468"/>
      <c r="N33" s="469"/>
    </row>
    <row r="34" spans="1:14" ht="13.5" customHeight="1" thickBot="1" x14ac:dyDescent="0.25">
      <c r="A34" s="1760" t="s">
        <v>674</v>
      </c>
      <c r="B34" s="1761"/>
      <c r="C34" s="1762">
        <f>SUM(C25:C33)</f>
        <v>69558858</v>
      </c>
      <c r="D34" s="1762">
        <f t="shared" ref="D34:K34" si="1">SUM(D25:D33)</f>
        <v>9586895</v>
      </c>
      <c r="E34" s="1762">
        <f t="shared" si="1"/>
        <v>15603021</v>
      </c>
      <c r="F34" s="1762">
        <f t="shared" si="1"/>
        <v>11139488</v>
      </c>
      <c r="G34" s="1762">
        <f t="shared" si="1"/>
        <v>2697589</v>
      </c>
      <c r="H34" s="1762">
        <f t="shared" si="1"/>
        <v>1107661</v>
      </c>
      <c r="I34" s="1762">
        <f t="shared" si="1"/>
        <v>37233</v>
      </c>
      <c r="J34" s="1762">
        <f t="shared" si="1"/>
        <v>930530</v>
      </c>
      <c r="K34" s="1762">
        <f t="shared" si="1"/>
        <v>0</v>
      </c>
      <c r="L34" s="1743">
        <f>SUM(L33)</f>
        <v>1109315</v>
      </c>
      <c r="M34" s="468"/>
      <c r="N34" s="480"/>
    </row>
    <row r="35" spans="1:14" ht="18" customHeight="1" thickTop="1" x14ac:dyDescent="0.2">
      <c r="A35" s="2144" t="s">
        <v>549</v>
      </c>
      <c r="B35" s="214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317592532</v>
      </c>
    </row>
    <row r="37" spans="1:14" ht="13.5" thickBot="1" x14ac:dyDescent="0.25">
      <c r="A37" s="1758" t="s">
        <v>673</v>
      </c>
      <c r="B37" s="1763"/>
      <c r="C37" s="477"/>
      <c r="D37" s="477"/>
      <c r="E37" s="477"/>
      <c r="F37" s="477"/>
      <c r="G37" s="477"/>
      <c r="H37" s="477"/>
      <c r="I37" s="477"/>
      <c r="J37" s="477"/>
      <c r="K37" s="477"/>
      <c r="L37" s="480"/>
      <c r="M37" s="468"/>
      <c r="N37" s="1710">
        <f>SUM(N36:N36)</f>
        <v>317592532</v>
      </c>
    </row>
    <row r="38" spans="1:14" s="329" customFormat="1" ht="13.5" customHeight="1" thickTop="1" x14ac:dyDescent="0.2">
      <c r="A38" s="496" t="s">
        <v>439</v>
      </c>
      <c r="B38" s="483">
        <v>714</v>
      </c>
      <c r="C38" s="466">
        <v>9281631</v>
      </c>
      <c r="D38" s="466"/>
      <c r="E38" s="466"/>
      <c r="F38" s="466"/>
      <c r="G38" s="466"/>
      <c r="H38" s="466"/>
      <c r="I38" s="466"/>
      <c r="J38" s="467"/>
      <c r="K38" s="466"/>
      <c r="L38" s="481"/>
      <c r="M38" s="497"/>
      <c r="N38" s="497"/>
    </row>
    <row r="39" spans="1:14" s="329" customFormat="1" ht="13.5" customHeight="1" x14ac:dyDescent="0.2">
      <c r="A39" s="496" t="s">
        <v>359</v>
      </c>
      <c r="B39" s="483">
        <v>730</v>
      </c>
      <c r="C39" s="466">
        <f>32706024+10099886-818255-9281631-23767</f>
        <v>32682257</v>
      </c>
      <c r="D39" s="466">
        <v>3183075</v>
      </c>
      <c r="E39" s="466">
        <v>15524193</v>
      </c>
      <c r="F39" s="466">
        <v>1694354</v>
      </c>
      <c r="G39" s="466">
        <v>2862593</v>
      </c>
      <c r="H39" s="466">
        <v>2890758</v>
      </c>
      <c r="I39" s="466">
        <v>19602042</v>
      </c>
      <c r="J39" s="467">
        <v>839350</v>
      </c>
      <c r="K39" s="466">
        <v>7748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450521254</v>
      </c>
      <c r="N40" s="497"/>
    </row>
    <row r="41" spans="1:14" ht="13.5" customHeight="1" thickBot="1" x14ac:dyDescent="0.25">
      <c r="A41" s="1758" t="s">
        <v>675</v>
      </c>
      <c r="B41" s="1728"/>
      <c r="C41" s="1710">
        <f>(SUM(C34,C37,C38,C39))</f>
        <v>111522746</v>
      </c>
      <c r="D41" s="1710">
        <f t="shared" ref="D41:L41" si="2">SUM(D34,D37,D38:D39)</f>
        <v>12769970</v>
      </c>
      <c r="E41" s="1710">
        <f t="shared" si="2"/>
        <v>31127214</v>
      </c>
      <c r="F41" s="1710">
        <f t="shared" si="2"/>
        <v>12833842</v>
      </c>
      <c r="G41" s="1710">
        <f t="shared" si="2"/>
        <v>5560182</v>
      </c>
      <c r="H41" s="1710">
        <f t="shared" si="2"/>
        <v>3998419</v>
      </c>
      <c r="I41" s="1710">
        <f t="shared" si="2"/>
        <v>19639275</v>
      </c>
      <c r="J41" s="1710">
        <f t="shared" si="2"/>
        <v>1769880</v>
      </c>
      <c r="K41" s="1710">
        <f t="shared" si="2"/>
        <v>7748</v>
      </c>
      <c r="L41" s="1710">
        <f t="shared" si="2"/>
        <v>1109315</v>
      </c>
      <c r="M41" s="1710">
        <f>SUM(M40)</f>
        <v>450521254</v>
      </c>
      <c r="N41" s="1710">
        <f>SUM(N37)</f>
        <v>317592532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E86" sqref="E8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6" t="s">
        <v>1236</v>
      </c>
      <c r="B3" s="2167"/>
      <c r="C3" s="1595"/>
      <c r="D3" s="1596"/>
      <c r="E3" s="1596"/>
      <c r="F3" s="1596"/>
      <c r="G3" s="1596"/>
      <c r="H3" s="1596"/>
      <c r="I3" s="1596"/>
      <c r="J3" s="1596"/>
      <c r="K3" s="1597"/>
      <c r="L3" s="506"/>
    </row>
    <row r="4" spans="1:13" ht="15.75" customHeight="1" x14ac:dyDescent="0.2">
      <c r="A4" s="1952" t="s">
        <v>1578</v>
      </c>
      <c r="B4" s="1953">
        <v>1000</v>
      </c>
      <c r="C4" s="1764">
        <f>'Revenues 9-14'!C109</f>
        <v>133216207</v>
      </c>
      <c r="D4" s="1764">
        <f>'Revenues 9-14'!D109</f>
        <v>17480234</v>
      </c>
      <c r="E4" s="1764">
        <f>'Revenues 9-14'!E109</f>
        <v>31083519</v>
      </c>
      <c r="F4" s="1764">
        <f>'Revenues 9-14'!F109</f>
        <v>6663691</v>
      </c>
      <c r="G4" s="1764">
        <f>'Revenues 9-14'!G109</f>
        <v>7374124</v>
      </c>
      <c r="H4" s="1764">
        <f>'Revenues 9-14'!H109</f>
        <v>146190</v>
      </c>
      <c r="I4" s="1764">
        <f>'Revenues 9-14'!I109</f>
        <v>119784</v>
      </c>
      <c r="J4" s="1764">
        <f>'Revenues 9-14'!J109</f>
        <v>2517749</v>
      </c>
      <c r="K4" s="1764">
        <f>'Revenues 9-14'!K109</f>
        <v>3631</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52369854</v>
      </c>
      <c r="D6" s="1765">
        <f>'Revenues 9-14'!D173</f>
        <v>425800</v>
      </c>
      <c r="E6" s="1765">
        <f>'Revenues 9-14'!E173</f>
        <v>0</v>
      </c>
      <c r="F6" s="1765">
        <f>'Revenues 9-14'!F173</f>
        <v>7441594</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17224353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202810414</v>
      </c>
      <c r="D8" s="1710">
        <f t="shared" ref="D8:K8" si="0">SUM(D4:D7)</f>
        <v>17906034</v>
      </c>
      <c r="E8" s="1710">
        <f t="shared" si="0"/>
        <v>31083519</v>
      </c>
      <c r="F8" s="1710">
        <f t="shared" si="0"/>
        <v>14105285</v>
      </c>
      <c r="G8" s="1710">
        <f t="shared" si="0"/>
        <v>7374124</v>
      </c>
      <c r="H8" s="1710">
        <f t="shared" si="0"/>
        <v>146190</v>
      </c>
      <c r="I8" s="1710">
        <f t="shared" si="0"/>
        <v>119784</v>
      </c>
      <c r="J8" s="1710">
        <f t="shared" si="0"/>
        <v>2517749</v>
      </c>
      <c r="K8" s="1710">
        <f t="shared" si="0"/>
        <v>3631</v>
      </c>
      <c r="L8" s="347"/>
    </row>
    <row r="9" spans="1:13" ht="15.75" thickTop="1" x14ac:dyDescent="0.2">
      <c r="A9" s="514" t="s">
        <v>1751</v>
      </c>
      <c r="B9" s="515">
        <v>3998</v>
      </c>
      <c r="C9" s="481">
        <v>80804456</v>
      </c>
      <c r="D9" s="516"/>
      <c r="E9" s="481"/>
      <c r="F9" s="481"/>
      <c r="G9" s="517"/>
      <c r="H9" s="481"/>
      <c r="I9" s="509" t="s">
        <v>1230</v>
      </c>
      <c r="J9" s="478"/>
      <c r="K9" s="481"/>
      <c r="L9" s="347"/>
    </row>
    <row r="10" spans="1:13" s="519" customFormat="1" ht="13.5" thickBot="1" x14ac:dyDescent="0.25">
      <c r="A10" s="1758" t="s">
        <v>1234</v>
      </c>
      <c r="B10" s="1731"/>
      <c r="C10" s="1710">
        <f>SUM(C8:C9)</f>
        <v>283614870</v>
      </c>
      <c r="D10" s="1710">
        <f t="shared" ref="D10:K10" si="1">SUM(D8:D9)</f>
        <v>17906034</v>
      </c>
      <c r="E10" s="1710">
        <f t="shared" si="1"/>
        <v>31083519</v>
      </c>
      <c r="F10" s="1710">
        <f t="shared" si="1"/>
        <v>14105285</v>
      </c>
      <c r="G10" s="1710">
        <f t="shared" si="1"/>
        <v>7374124</v>
      </c>
      <c r="H10" s="1710">
        <f t="shared" si="1"/>
        <v>146190</v>
      </c>
      <c r="I10" s="1710">
        <f t="shared" si="1"/>
        <v>119784</v>
      </c>
      <c r="J10" s="1710">
        <f t="shared" si="1"/>
        <v>2517749</v>
      </c>
      <c r="K10" s="1710">
        <f t="shared" si="1"/>
        <v>3631</v>
      </c>
      <c r="L10" s="518"/>
    </row>
    <row r="11" spans="1:13" s="519" customFormat="1" ht="16.7" customHeight="1" thickTop="1" x14ac:dyDescent="0.2">
      <c r="A11" s="2140" t="s">
        <v>1237</v>
      </c>
      <c r="B11" s="2141"/>
      <c r="C11" s="1592"/>
      <c r="D11" s="1593"/>
      <c r="E11" s="1593"/>
      <c r="F11" s="1593"/>
      <c r="G11" s="1593"/>
      <c r="H11" s="1593"/>
      <c r="I11" s="1593"/>
      <c r="J11" s="1593"/>
      <c r="K11" s="1594"/>
      <c r="L11" s="518"/>
    </row>
    <row r="12" spans="1:13" ht="15.75" customHeight="1" x14ac:dyDescent="0.2">
      <c r="A12" s="1598" t="s">
        <v>475</v>
      </c>
      <c r="B12" s="1600">
        <v>1000</v>
      </c>
      <c r="C12" s="1764">
        <f>'Expenditures 15-22'!K33</f>
        <v>134682615</v>
      </c>
      <c r="D12" s="520" t="s">
        <v>1230</v>
      </c>
      <c r="E12" s="468" t="s">
        <v>1230</v>
      </c>
      <c r="F12" s="468" t="s">
        <v>1230</v>
      </c>
      <c r="G12" s="1764">
        <f>'Expenditures 15-22'!K229</f>
        <v>2402160</v>
      </c>
      <c r="H12" s="521"/>
      <c r="I12" s="468" t="s">
        <v>1230</v>
      </c>
      <c r="J12" s="468" t="s">
        <v>1230</v>
      </c>
      <c r="K12" s="521" t="s">
        <v>1230</v>
      </c>
      <c r="L12" s="347"/>
    </row>
    <row r="13" spans="1:13" ht="15.75" customHeight="1" x14ac:dyDescent="0.2">
      <c r="A13" s="1598" t="s">
        <v>476</v>
      </c>
      <c r="B13" s="1600">
        <v>2000</v>
      </c>
      <c r="C13" s="1765">
        <f>'Expenditures 15-22'!K74</f>
        <v>57163022</v>
      </c>
      <c r="D13" s="1765">
        <f>'Expenditures 15-22'!K129</f>
        <v>18669752</v>
      </c>
      <c r="E13" s="469" t="s">
        <v>1230</v>
      </c>
      <c r="F13" s="1765">
        <f>'Expenditures 15-22'!K184</f>
        <v>13735284</v>
      </c>
      <c r="G13" s="1765">
        <f>'Expenditures 15-22'!K279</f>
        <v>4497462</v>
      </c>
      <c r="H13" s="1765">
        <f>'Expenditures 15-22'!K303</f>
        <v>9906757</v>
      </c>
      <c r="I13" s="468" t="s">
        <v>1230</v>
      </c>
      <c r="J13" s="1765">
        <f>'Expenditures 15-22'!K330</f>
        <v>2590529</v>
      </c>
      <c r="K13" s="1769">
        <f>'Expenditures 15-22'!K352</f>
        <v>0</v>
      </c>
      <c r="L13" s="347"/>
    </row>
    <row r="14" spans="1:13" ht="15.75" customHeight="1" x14ac:dyDescent="0.2">
      <c r="A14" s="1598" t="s">
        <v>468</v>
      </c>
      <c r="B14" s="1600">
        <v>3000</v>
      </c>
      <c r="C14" s="1765">
        <f>'Expenditures 15-22'!K75</f>
        <v>329455</v>
      </c>
      <c r="D14" s="1765">
        <f>'Expenditures 15-22'!K130</f>
        <v>0</v>
      </c>
      <c r="E14" s="520" t="s">
        <v>1230</v>
      </c>
      <c r="F14" s="1765">
        <f>'Expenditures 15-22'!K185</f>
        <v>0</v>
      </c>
      <c r="G14" s="1765">
        <f>'Expenditures 15-22'!K280</f>
        <v>674</v>
      </c>
      <c r="H14" s="512"/>
      <c r="I14" s="468" t="s">
        <v>1230</v>
      </c>
      <c r="J14" s="468" t="s">
        <v>1230</v>
      </c>
      <c r="K14" s="512" t="s">
        <v>1230</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33179053</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192175092</v>
      </c>
      <c r="D17" s="1710">
        <f t="shared" si="2"/>
        <v>18669752</v>
      </c>
      <c r="E17" s="1710">
        <f t="shared" si="2"/>
        <v>33179053</v>
      </c>
      <c r="F17" s="1710">
        <f t="shared" si="2"/>
        <v>13735284</v>
      </c>
      <c r="G17" s="1710">
        <f t="shared" si="2"/>
        <v>6900296</v>
      </c>
      <c r="H17" s="1710">
        <f t="shared" si="2"/>
        <v>9906757</v>
      </c>
      <c r="I17" s="468"/>
      <c r="J17" s="1710">
        <f>SUM(J12:J16)</f>
        <v>2590529</v>
      </c>
      <c r="K17" s="1710">
        <f>SUM(K12:K16)</f>
        <v>0</v>
      </c>
      <c r="L17" s="347"/>
    </row>
    <row r="18" spans="1:12" ht="15" customHeight="1" thickTop="1" x14ac:dyDescent="0.2">
      <c r="A18" s="1766" t="s">
        <v>1752</v>
      </c>
      <c r="B18" s="1767">
        <v>4180</v>
      </c>
      <c r="C18" s="1764">
        <f t="shared" ref="C18:H18" si="3">C9</f>
        <v>80804456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272979548</v>
      </c>
      <c r="D19" s="1710">
        <f t="shared" si="4"/>
        <v>18669752</v>
      </c>
      <c r="E19" s="1710">
        <f t="shared" si="4"/>
        <v>33179053</v>
      </c>
      <c r="F19" s="1710">
        <f t="shared" si="4"/>
        <v>13735284</v>
      </c>
      <c r="G19" s="1710">
        <f t="shared" si="4"/>
        <v>6900296</v>
      </c>
      <c r="H19" s="1710">
        <f t="shared" si="4"/>
        <v>9906757</v>
      </c>
      <c r="I19" s="468"/>
      <c r="J19" s="1710">
        <f>SUM(J17:J18)</f>
        <v>2590529</v>
      </c>
      <c r="K19" s="1710">
        <f>SUM(K17:K18)</f>
        <v>0</v>
      </c>
      <c r="L19" s="347"/>
    </row>
    <row r="20" spans="1:12" ht="16.5" thickTop="1" thickBot="1" x14ac:dyDescent="0.25">
      <c r="A20" s="2156" t="s">
        <v>1753</v>
      </c>
      <c r="B20" s="2157"/>
      <c r="C20" s="1768">
        <f>C8-C17</f>
        <v>10635322</v>
      </c>
      <c r="D20" s="1768">
        <f t="shared" ref="D20:K20" si="5">D8-D17</f>
        <v>-763718</v>
      </c>
      <c r="E20" s="1768">
        <f t="shared" si="5"/>
        <v>-2095534</v>
      </c>
      <c r="F20" s="1768">
        <f t="shared" si="5"/>
        <v>370001</v>
      </c>
      <c r="G20" s="1768">
        <f t="shared" si="5"/>
        <v>473828</v>
      </c>
      <c r="H20" s="1768">
        <f t="shared" si="5"/>
        <v>-9760567</v>
      </c>
      <c r="I20" s="1768">
        <f t="shared" si="5"/>
        <v>119784</v>
      </c>
      <c r="J20" s="1768">
        <f t="shared" si="5"/>
        <v>-72780</v>
      </c>
      <c r="K20" s="1768">
        <f t="shared" si="5"/>
        <v>3631</v>
      </c>
      <c r="L20" s="347"/>
    </row>
    <row r="21" spans="1:12" ht="16.7" customHeight="1" thickTop="1" x14ac:dyDescent="0.2">
      <c r="A21" s="2168" t="s">
        <v>615</v>
      </c>
      <c r="B21" s="2169"/>
      <c r="C21" s="1592"/>
      <c r="D21" s="1593"/>
      <c r="E21" s="1593"/>
      <c r="F21" s="1593"/>
      <c r="G21" s="1593"/>
      <c r="H21" s="1593"/>
      <c r="I21" s="1593"/>
      <c r="J21" s="1593"/>
      <c r="K21" s="1594"/>
      <c r="L21" s="524"/>
    </row>
    <row r="22" spans="1:12" ht="15.75" customHeight="1" collapsed="1" x14ac:dyDescent="0.2">
      <c r="A22" s="2164" t="s">
        <v>616</v>
      </c>
      <c r="B22" s="2165"/>
      <c r="C22" s="477"/>
      <c r="D22" s="477"/>
      <c r="E22" s="477"/>
      <c r="F22" s="477"/>
      <c r="G22" s="477"/>
      <c r="H22" s="477"/>
      <c r="I22" s="477"/>
      <c r="J22" s="477"/>
      <c r="K22" s="477"/>
      <c r="L22" s="347"/>
    </row>
    <row r="23" spans="1:12" s="485" customFormat="1" ht="15.75" customHeight="1" x14ac:dyDescent="0.2">
      <c r="A23" s="2160" t="s">
        <v>310</v>
      </c>
      <c r="B23" s="2161"/>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2" t="s">
        <v>1037</v>
      </c>
      <c r="B32" s="2163"/>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v>11131</v>
      </c>
      <c r="E36" s="467"/>
      <c r="F36" s="467"/>
      <c r="G36" s="467"/>
      <c r="H36" s="467"/>
      <c r="I36" s="475"/>
      <c r="J36" s="467"/>
      <c r="K36" s="467"/>
      <c r="L36" s="524"/>
    </row>
    <row r="37" spans="1:12" s="485" customFormat="1" x14ac:dyDescent="0.2">
      <c r="A37" s="1511" t="s">
        <v>460</v>
      </c>
      <c r="B37" s="525">
        <v>7400</v>
      </c>
      <c r="C37" s="475"/>
      <c r="D37" s="475"/>
      <c r="E37" s="1765">
        <f>SUM(C54:D57,H54:H57)</f>
        <v>2667843</v>
      </c>
      <c r="F37" s="475"/>
      <c r="G37" s="475"/>
      <c r="H37" s="475"/>
      <c r="I37" s="477"/>
      <c r="J37" s="475"/>
      <c r="K37" s="475"/>
      <c r="L37" s="524"/>
    </row>
    <row r="38" spans="1:12" s="485" customFormat="1" x14ac:dyDescent="0.2">
      <c r="A38" s="1511" t="s">
        <v>461</v>
      </c>
      <c r="B38" s="525">
        <v>7500</v>
      </c>
      <c r="C38" s="477"/>
      <c r="D38" s="477"/>
      <c r="E38" s="1765">
        <f>SUM(C58:D61,H58:H61)</f>
        <v>96264</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29784</v>
      </c>
      <c r="F43" s="467"/>
      <c r="G43" s="467"/>
      <c r="H43" s="467">
        <v>6971768</v>
      </c>
      <c r="I43" s="467"/>
      <c r="J43" s="467"/>
      <c r="K43" s="467"/>
      <c r="L43" s="524"/>
    </row>
    <row r="44" spans="1:12" s="485" customFormat="1" ht="13.5" customHeight="1" thickBot="1" x14ac:dyDescent="0.25">
      <c r="A44" s="2170" t="s">
        <v>391</v>
      </c>
      <c r="B44" s="2171"/>
      <c r="C44" s="1725">
        <f>SUM(C24:C43)</f>
        <v>0</v>
      </c>
      <c r="D44" s="1725">
        <f t="shared" ref="D44:K44" si="6">SUM(D24:D43)</f>
        <v>11131</v>
      </c>
      <c r="E44" s="1725">
        <f t="shared" si="6"/>
        <v>2793891</v>
      </c>
      <c r="F44" s="1725">
        <f t="shared" si="6"/>
        <v>0</v>
      </c>
      <c r="G44" s="1725">
        <f t="shared" si="6"/>
        <v>0</v>
      </c>
      <c r="H44" s="1725">
        <f t="shared" si="6"/>
        <v>6971768</v>
      </c>
      <c r="I44" s="1725">
        <f t="shared" si="6"/>
        <v>0</v>
      </c>
      <c r="J44" s="1725">
        <f t="shared" si="6"/>
        <v>0</v>
      </c>
      <c r="K44" s="1725">
        <f t="shared" si="6"/>
        <v>0</v>
      </c>
      <c r="L44" s="524"/>
    </row>
    <row r="45" spans="1:12" ht="15.75" customHeight="1" thickTop="1" x14ac:dyDescent="0.2">
      <c r="A45" s="2164" t="s">
        <v>110</v>
      </c>
      <c r="B45" s="2165"/>
      <c r="C45" s="528"/>
      <c r="D45" s="528"/>
      <c r="E45" s="528"/>
      <c r="F45" s="528"/>
      <c r="G45" s="528"/>
      <c r="H45" s="528"/>
      <c r="I45" s="528"/>
      <c r="J45" s="528"/>
      <c r="K45" s="528"/>
      <c r="L45" s="347"/>
    </row>
    <row r="46" spans="1:12" s="485" customFormat="1" ht="15.75" customHeight="1" x14ac:dyDescent="0.2">
      <c r="A46" s="2172" t="s">
        <v>111</v>
      </c>
      <c r="B46" s="2173"/>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v>2344580</v>
      </c>
      <c r="D56" s="531">
        <v>323263</v>
      </c>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v>89158</v>
      </c>
      <c r="D60" s="531">
        <v>7106</v>
      </c>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v>29784</v>
      </c>
      <c r="I75" s="530"/>
      <c r="J75" s="530"/>
      <c r="K75" s="532"/>
      <c r="L75" s="524"/>
    </row>
    <row r="76" spans="1:12" s="485" customFormat="1" ht="14.25" thickTop="1" thickBot="1" x14ac:dyDescent="0.25">
      <c r="A76" s="2146" t="s">
        <v>459</v>
      </c>
      <c r="B76" s="2147"/>
      <c r="C76" s="1725">
        <f t="shared" ref="C76:K76" si="7">SUM(C47:C75)</f>
        <v>2433738</v>
      </c>
      <c r="D76" s="1725">
        <f t="shared" si="7"/>
        <v>330369</v>
      </c>
      <c r="E76" s="1725">
        <f t="shared" si="7"/>
        <v>0</v>
      </c>
      <c r="F76" s="1725">
        <f t="shared" si="7"/>
        <v>0</v>
      </c>
      <c r="G76" s="1725">
        <f t="shared" si="7"/>
        <v>0</v>
      </c>
      <c r="H76" s="1725">
        <f t="shared" si="7"/>
        <v>29784</v>
      </c>
      <c r="I76" s="1725">
        <f t="shared" si="7"/>
        <v>0</v>
      </c>
      <c r="J76" s="1725">
        <f t="shared" si="7"/>
        <v>0</v>
      </c>
      <c r="K76" s="1725">
        <f t="shared" si="7"/>
        <v>0</v>
      </c>
      <c r="L76" s="524"/>
    </row>
    <row r="77" spans="1:12" ht="14.25" thickTop="1" thickBot="1" x14ac:dyDescent="0.25">
      <c r="A77" s="2148" t="s">
        <v>1238</v>
      </c>
      <c r="B77" s="2149"/>
      <c r="C77" s="1725">
        <f t="shared" ref="C77:K77" si="8">C44-C76</f>
        <v>-2433738</v>
      </c>
      <c r="D77" s="1725">
        <f t="shared" si="8"/>
        <v>-319238</v>
      </c>
      <c r="E77" s="1725">
        <f t="shared" si="8"/>
        <v>2793891</v>
      </c>
      <c r="F77" s="1725">
        <f t="shared" si="8"/>
        <v>0</v>
      </c>
      <c r="G77" s="1725">
        <f t="shared" si="8"/>
        <v>0</v>
      </c>
      <c r="H77" s="1725">
        <f t="shared" si="8"/>
        <v>6941984</v>
      </c>
      <c r="I77" s="1725">
        <f t="shared" si="8"/>
        <v>0</v>
      </c>
      <c r="J77" s="1725">
        <f t="shared" si="8"/>
        <v>0</v>
      </c>
      <c r="K77" s="1725">
        <f t="shared" si="8"/>
        <v>0</v>
      </c>
      <c r="L77" s="347"/>
    </row>
    <row r="78" spans="1:12" ht="21.75" customHeight="1" thickTop="1" thickBot="1" x14ac:dyDescent="0.25">
      <c r="A78" s="2152" t="s">
        <v>617</v>
      </c>
      <c r="B78" s="2153"/>
      <c r="C78" s="1724">
        <f t="shared" ref="C78:K78" si="9">C20+C77</f>
        <v>8201584</v>
      </c>
      <c r="D78" s="1724">
        <f t="shared" si="9"/>
        <v>-1082956</v>
      </c>
      <c r="E78" s="1724">
        <f t="shared" si="9"/>
        <v>698357</v>
      </c>
      <c r="F78" s="1724">
        <f t="shared" si="9"/>
        <v>370001</v>
      </c>
      <c r="G78" s="1724">
        <f t="shared" si="9"/>
        <v>473828</v>
      </c>
      <c r="H78" s="1724">
        <f t="shared" si="9"/>
        <v>-2818583</v>
      </c>
      <c r="I78" s="1724">
        <f t="shared" si="9"/>
        <v>119784</v>
      </c>
      <c r="J78" s="1724">
        <f t="shared" si="9"/>
        <v>-72780</v>
      </c>
      <c r="K78" s="1724">
        <f t="shared" si="9"/>
        <v>3631</v>
      </c>
      <c r="L78" s="533"/>
    </row>
    <row r="79" spans="1:12" ht="13.5" thickTop="1" x14ac:dyDescent="0.2">
      <c r="A79" s="1516" t="s">
        <v>2070</v>
      </c>
      <c r="B79" s="534"/>
      <c r="C79" s="478">
        <v>33762304</v>
      </c>
      <c r="D79" s="535">
        <v>4266031</v>
      </c>
      <c r="E79" s="535">
        <v>14825836</v>
      </c>
      <c r="F79" s="535">
        <v>1324353</v>
      </c>
      <c r="G79" s="535">
        <v>2388765</v>
      </c>
      <c r="H79" s="535">
        <v>5709341</v>
      </c>
      <c r="I79" s="535">
        <v>19482258</v>
      </c>
      <c r="J79" s="535">
        <v>912130</v>
      </c>
      <c r="K79" s="535">
        <v>4117</v>
      </c>
      <c r="L79" s="347"/>
    </row>
    <row r="80" spans="1:12" x14ac:dyDescent="0.2">
      <c r="A80" s="2158" t="s">
        <v>1895</v>
      </c>
      <c r="B80" s="2159"/>
      <c r="C80" s="467"/>
      <c r="D80" s="467"/>
      <c r="E80" s="467"/>
      <c r="F80" s="467"/>
      <c r="G80" s="467"/>
      <c r="H80" s="467"/>
      <c r="I80" s="467"/>
      <c r="J80" s="467"/>
      <c r="K80" s="467"/>
      <c r="L80" s="347"/>
    </row>
    <row r="81" spans="1:12" ht="13.5" thickBot="1" x14ac:dyDescent="0.25">
      <c r="A81" s="2150" t="s">
        <v>2071</v>
      </c>
      <c r="B81" s="2151"/>
      <c r="C81" s="1710">
        <f>(SUM(C78:C80))</f>
        <v>41963888</v>
      </c>
      <c r="D81" s="1710">
        <f>SUM(D78:D80)</f>
        <v>3183075</v>
      </c>
      <c r="E81" s="1710">
        <f t="shared" ref="E81:K81" si="10">SUM(E78:E80)</f>
        <v>15524193</v>
      </c>
      <c r="F81" s="1710">
        <f t="shared" si="10"/>
        <v>1694354</v>
      </c>
      <c r="G81" s="1710">
        <f t="shared" si="10"/>
        <v>2862593</v>
      </c>
      <c r="H81" s="1710">
        <f t="shared" si="10"/>
        <v>2890758</v>
      </c>
      <c r="I81" s="1710">
        <f t="shared" si="10"/>
        <v>19602042</v>
      </c>
      <c r="J81" s="1710">
        <f t="shared" si="10"/>
        <v>839350</v>
      </c>
      <c r="K81" s="1710">
        <f t="shared" si="10"/>
        <v>7748</v>
      </c>
      <c r="L81" s="347"/>
    </row>
    <row r="82" spans="1:12" ht="0.75" customHeight="1" thickTop="1" thickBot="1" x14ac:dyDescent="0.25">
      <c r="A82" s="536" t="s">
        <v>360</v>
      </c>
      <c r="B82" s="537"/>
      <c r="C82" s="538">
        <f>(C81-C79)</f>
        <v>8201584</v>
      </c>
      <c r="D82" s="538">
        <f t="shared" ref="D82:K82" si="11">(D81-D79)</f>
        <v>-1082956</v>
      </c>
      <c r="E82" s="538">
        <f t="shared" si="11"/>
        <v>698357</v>
      </c>
      <c r="F82" s="538">
        <f t="shared" si="11"/>
        <v>370001</v>
      </c>
      <c r="G82" s="538">
        <f t="shared" si="11"/>
        <v>473828</v>
      </c>
      <c r="H82" s="538">
        <f t="shared" si="11"/>
        <v>-2818583</v>
      </c>
      <c r="I82" s="538">
        <f t="shared" si="11"/>
        <v>119784</v>
      </c>
      <c r="J82" s="538">
        <f t="shared" si="11"/>
        <v>-72780</v>
      </c>
      <c r="K82" s="538">
        <f t="shared" si="11"/>
        <v>3631</v>
      </c>
    </row>
    <row r="83" spans="1:12" ht="14.25" hidden="1" thickTop="1" thickBot="1" x14ac:dyDescent="0.25">
      <c r="A83" s="539" t="s">
        <v>361</v>
      </c>
      <c r="B83" s="464"/>
      <c r="C83" s="540">
        <f>C82/C81</f>
        <v>0.19544385401085809</v>
      </c>
      <c r="D83" s="540">
        <f t="shared" ref="D83:K83" si="12">D82/D81</f>
        <v>-0.34022321183132664</v>
      </c>
      <c r="E83" s="540">
        <f t="shared" si="12"/>
        <v>4.4985075874797484E-2</v>
      </c>
      <c r="F83" s="540">
        <f t="shared" si="12"/>
        <v>0.21837290200276921</v>
      </c>
      <c r="G83" s="540">
        <f t="shared" si="12"/>
        <v>0.16552405458966749</v>
      </c>
      <c r="H83" s="540">
        <f t="shared" si="12"/>
        <v>-0.97503250012626441</v>
      </c>
      <c r="I83" s="540">
        <f t="shared" si="12"/>
        <v>6.1107919266778429E-3</v>
      </c>
      <c r="J83" s="540">
        <f t="shared" si="12"/>
        <v>-8.6709954131172925E-2</v>
      </c>
      <c r="K83" s="540">
        <f t="shared" si="12"/>
        <v>0.46863706763035623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4" t="s">
        <v>1902</v>
      </c>
      <c r="B1" s="452"/>
      <c r="C1" s="453" t="s">
        <v>444</v>
      </c>
      <c r="D1" s="453" t="s">
        <v>445</v>
      </c>
      <c r="E1" s="453" t="s">
        <v>446</v>
      </c>
      <c r="F1" s="453" t="s">
        <v>447</v>
      </c>
      <c r="G1" s="453" t="s">
        <v>448</v>
      </c>
      <c r="H1" s="453" t="s">
        <v>449</v>
      </c>
      <c r="I1" s="453" t="s">
        <v>450</v>
      </c>
      <c r="J1" s="453" t="s">
        <v>451</v>
      </c>
      <c r="K1" s="453" t="s">
        <v>779</v>
      </c>
    </row>
    <row r="2" spans="1:12" ht="36" x14ac:dyDescent="0.2">
      <c r="A2" s="215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93884641</v>
      </c>
      <c r="D5" s="481">
        <v>17001560</v>
      </c>
      <c r="E5" s="466">
        <v>30827095</v>
      </c>
      <c r="F5" s="548">
        <v>5935369</v>
      </c>
      <c r="G5" s="466">
        <v>2691251</v>
      </c>
      <c r="H5" s="466"/>
      <c r="I5" s="466">
        <v>37952</v>
      </c>
      <c r="J5" s="467">
        <v>1385943</v>
      </c>
      <c r="K5" s="466"/>
    </row>
    <row r="6" spans="1:12" ht="15" x14ac:dyDescent="0.2">
      <c r="A6" s="463" t="s">
        <v>1760</v>
      </c>
      <c r="B6" s="470">
        <v>1130</v>
      </c>
      <c r="C6" s="466"/>
      <c r="D6" s="466"/>
      <c r="E6" s="475"/>
      <c r="F6" s="475"/>
      <c r="G6" s="468"/>
      <c r="H6" s="468"/>
      <c r="I6" s="468"/>
      <c r="J6" s="468"/>
      <c r="K6" s="468"/>
    </row>
    <row r="7" spans="1:12" x14ac:dyDescent="0.2">
      <c r="A7" s="463" t="s">
        <v>112</v>
      </c>
      <c r="B7" s="549">
        <v>1140</v>
      </c>
      <c r="C7" s="466">
        <v>18405254</v>
      </c>
      <c r="D7" s="466"/>
      <c r="E7" s="468"/>
      <c r="F7" s="467"/>
      <c r="G7" s="467"/>
      <c r="H7" s="467"/>
      <c r="I7" s="468"/>
      <c r="J7" s="468"/>
      <c r="K7" s="468"/>
    </row>
    <row r="8" spans="1:12" x14ac:dyDescent="0.2">
      <c r="A8" s="463" t="s">
        <v>432</v>
      </c>
      <c r="B8" s="470">
        <v>1150</v>
      </c>
      <c r="C8" s="475"/>
      <c r="D8" s="475"/>
      <c r="E8" s="477"/>
      <c r="F8" s="477"/>
      <c r="G8" s="481">
        <v>2681750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112289895</v>
      </c>
      <c r="D12" s="1729">
        <f t="shared" si="0"/>
        <v>17001560</v>
      </c>
      <c r="E12" s="1729">
        <f t="shared" si="0"/>
        <v>30827095</v>
      </c>
      <c r="F12" s="1729">
        <f t="shared" si="0"/>
        <v>5935369</v>
      </c>
      <c r="G12" s="1729">
        <f t="shared" si="0"/>
        <v>5373001</v>
      </c>
      <c r="H12" s="1729">
        <f t="shared" si="0"/>
        <v>0</v>
      </c>
      <c r="I12" s="1729">
        <f t="shared" si="0"/>
        <v>37952</v>
      </c>
      <c r="J12" s="1729">
        <f t="shared" si="0"/>
        <v>1385943</v>
      </c>
      <c r="K12" s="1710">
        <f t="shared" si="0"/>
        <v>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5696951</v>
      </c>
      <c r="D16" s="466"/>
      <c r="E16" s="466"/>
      <c r="F16" s="466"/>
      <c r="G16" s="466">
        <v>1942221</v>
      </c>
      <c r="H16" s="466"/>
      <c r="I16" s="466"/>
      <c r="J16" s="467">
        <v>931817</v>
      </c>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5696951</v>
      </c>
      <c r="D18" s="1732">
        <f t="shared" ref="D18:K18" si="1">SUM(D14:D17)</f>
        <v>0</v>
      </c>
      <c r="E18" s="1732">
        <f t="shared" si="1"/>
        <v>0</v>
      </c>
      <c r="F18" s="1732">
        <f t="shared" si="1"/>
        <v>0</v>
      </c>
      <c r="G18" s="1732">
        <f t="shared" si="1"/>
        <v>1942221</v>
      </c>
      <c r="H18" s="1732">
        <f t="shared" si="1"/>
        <v>0</v>
      </c>
      <c r="I18" s="1732">
        <f t="shared" si="1"/>
        <v>0</v>
      </c>
      <c r="J18" s="1732">
        <f t="shared" si="1"/>
        <v>931817</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82278</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f>46584+45933+700</f>
        <v>93217</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175495</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v>62977</v>
      </c>
      <c r="G43" s="468"/>
      <c r="H43" s="468"/>
      <c r="I43" s="468"/>
      <c r="J43" s="468"/>
      <c r="K43" s="468"/>
    </row>
    <row r="44" spans="1:11" ht="12.75" customHeight="1" x14ac:dyDescent="0.2">
      <c r="A44" s="463" t="s">
        <v>401</v>
      </c>
      <c r="B44" s="470">
        <v>1413</v>
      </c>
      <c r="C44" s="468"/>
      <c r="D44" s="468"/>
      <c r="E44" s="468"/>
      <c r="F44" s="466">
        <v>214398</v>
      </c>
      <c r="G44" s="468"/>
      <c r="H44" s="468"/>
      <c r="I44" s="468"/>
      <c r="J44" s="468"/>
      <c r="K44" s="468"/>
    </row>
    <row r="45" spans="1:11" ht="12.75" customHeight="1" x14ac:dyDescent="0.2">
      <c r="A45" s="463" t="s">
        <v>258</v>
      </c>
      <c r="B45" s="470">
        <v>1415</v>
      </c>
      <c r="C45" s="468"/>
      <c r="D45" s="468"/>
      <c r="E45" s="468"/>
      <c r="F45" s="466">
        <v>383877</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661252</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f>571296+11161+18037</f>
        <v>600494</v>
      </c>
      <c r="D65" s="466">
        <v>30251</v>
      </c>
      <c r="E65" s="466">
        <v>148758</v>
      </c>
      <c r="F65" s="467">
        <v>6922</v>
      </c>
      <c r="G65" s="466">
        <v>38603</v>
      </c>
      <c r="H65" s="466">
        <v>70486</v>
      </c>
      <c r="I65" s="466">
        <v>78087</v>
      </c>
      <c r="J65" s="467">
        <v>9081</v>
      </c>
      <c r="K65" s="466"/>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600494</v>
      </c>
      <c r="D67" s="1710">
        <f t="shared" ref="D67:K67" si="2">SUM(D65:D66)</f>
        <v>30251</v>
      </c>
      <c r="E67" s="1710">
        <f t="shared" si="2"/>
        <v>148758</v>
      </c>
      <c r="F67" s="1710">
        <f t="shared" si="2"/>
        <v>6922</v>
      </c>
      <c r="G67" s="1710">
        <f t="shared" si="2"/>
        <v>38603</v>
      </c>
      <c r="H67" s="1710">
        <f t="shared" si="2"/>
        <v>70486</v>
      </c>
      <c r="I67" s="1710">
        <f t="shared" si="2"/>
        <v>78087</v>
      </c>
      <c r="J67" s="1710">
        <f t="shared" si="2"/>
        <v>9081</v>
      </c>
      <c r="K67" s="1710">
        <f t="shared" si="2"/>
        <v>0</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1728511</v>
      </c>
      <c r="D69" s="468"/>
      <c r="E69" s="468"/>
      <c r="F69" s="468"/>
      <c r="G69" s="468"/>
      <c r="H69" s="468"/>
      <c r="I69" s="468"/>
      <c r="J69" s="468"/>
      <c r="K69" s="468"/>
    </row>
    <row r="70" spans="1:11" ht="12.75" customHeight="1" x14ac:dyDescent="0.2">
      <c r="A70" s="463" t="s">
        <v>1053</v>
      </c>
      <c r="B70" s="470">
        <v>1612</v>
      </c>
      <c r="C70" s="551">
        <v>200268</v>
      </c>
      <c r="D70" s="468"/>
      <c r="E70" s="468"/>
      <c r="F70" s="468"/>
      <c r="G70" s="468"/>
      <c r="H70" s="468"/>
      <c r="I70" s="468"/>
      <c r="J70" s="468"/>
      <c r="K70" s="468"/>
    </row>
    <row r="71" spans="1:11" ht="12.75" customHeight="1" x14ac:dyDescent="0.2">
      <c r="A71" s="463" t="s">
        <v>290</v>
      </c>
      <c r="B71" s="470">
        <v>1613</v>
      </c>
      <c r="C71" s="551">
        <v>167812</v>
      </c>
      <c r="D71" s="468"/>
      <c r="E71" s="468"/>
      <c r="F71" s="468"/>
      <c r="G71" s="468"/>
      <c r="H71" s="468"/>
      <c r="I71" s="468"/>
      <c r="J71" s="468"/>
      <c r="K71" s="468"/>
    </row>
    <row r="72" spans="1:11" ht="12.75" customHeight="1" x14ac:dyDescent="0.2">
      <c r="A72" s="463" t="s">
        <v>24</v>
      </c>
      <c r="B72" s="470">
        <v>1614</v>
      </c>
      <c r="C72" s="551">
        <v>10487</v>
      </c>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v>87920</v>
      </c>
      <c r="D74" s="468"/>
      <c r="E74" s="468"/>
      <c r="F74" s="468"/>
      <c r="G74" s="468"/>
      <c r="H74" s="468"/>
      <c r="I74" s="468"/>
      <c r="J74" s="468"/>
      <c r="K74" s="468"/>
    </row>
    <row r="75" spans="1:11" ht="12.75" customHeight="1" thickBot="1" x14ac:dyDescent="0.25">
      <c r="A75" s="1730" t="s">
        <v>568</v>
      </c>
      <c r="B75" s="1731"/>
      <c r="C75" s="1710">
        <f>SUM(C69:C74)</f>
        <v>2194998</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f>2225143+168772</f>
        <v>2393915</v>
      </c>
      <c r="D79" s="466">
        <v>38226</v>
      </c>
      <c r="E79" s="468"/>
      <c r="F79" s="468"/>
      <c r="G79" s="468"/>
      <c r="H79" s="468"/>
      <c r="I79" s="468"/>
      <c r="J79" s="468"/>
      <c r="K79" s="468"/>
    </row>
    <row r="80" spans="1:11" ht="12.75" customHeight="1" x14ac:dyDescent="0.2">
      <c r="A80" s="463" t="s">
        <v>571</v>
      </c>
      <c r="B80" s="470">
        <v>1730</v>
      </c>
      <c r="C80" s="551">
        <v>6121</v>
      </c>
      <c r="D80" s="466"/>
      <c r="E80" s="468"/>
      <c r="F80" s="468"/>
      <c r="G80" s="468"/>
      <c r="H80" s="468"/>
      <c r="I80" s="468"/>
      <c r="J80" s="468"/>
      <c r="K80" s="468"/>
    </row>
    <row r="81" spans="1:11" ht="12.75" customHeight="1" x14ac:dyDescent="0.2">
      <c r="A81" s="463" t="s">
        <v>26</v>
      </c>
      <c r="B81" s="470">
        <v>1790</v>
      </c>
      <c r="C81" s="551">
        <v>52350</v>
      </c>
      <c r="D81" s="466"/>
      <c r="E81" s="468"/>
      <c r="F81" s="468"/>
      <c r="G81" s="468"/>
      <c r="H81" s="468"/>
      <c r="I81" s="468"/>
      <c r="J81" s="468"/>
      <c r="K81" s="468"/>
    </row>
    <row r="82" spans="1:11" ht="12.75" customHeight="1" thickBot="1" x14ac:dyDescent="0.25">
      <c r="A82" s="1730" t="s">
        <v>259</v>
      </c>
      <c r="B82" s="1731"/>
      <c r="C82" s="1729">
        <f>SUM(C77:C81)</f>
        <v>2452386</v>
      </c>
      <c r="D82" s="1710">
        <f>SUM(D77:D81)</f>
        <v>38226</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480612</v>
      </c>
      <c r="D84" s="468"/>
      <c r="E84" s="468"/>
      <c r="F84" s="468"/>
      <c r="G84" s="468"/>
      <c r="H84" s="468"/>
      <c r="I84" s="468"/>
      <c r="J84" s="468"/>
      <c r="K84" s="468"/>
    </row>
    <row r="85" spans="1:11" ht="12.75" customHeight="1" x14ac:dyDescent="0.2">
      <c r="A85" s="463" t="s">
        <v>573</v>
      </c>
      <c r="B85" s="470">
        <v>1812</v>
      </c>
      <c r="C85" s="551">
        <v>1930</v>
      </c>
      <c r="D85" s="468"/>
      <c r="E85" s="468"/>
      <c r="F85" s="468"/>
      <c r="G85" s="468"/>
      <c r="H85" s="468"/>
      <c r="I85" s="468"/>
      <c r="J85" s="468"/>
      <c r="K85" s="468"/>
    </row>
    <row r="86" spans="1:11" ht="12.75" customHeight="1" x14ac:dyDescent="0.2">
      <c r="A86" s="463" t="s">
        <v>1055</v>
      </c>
      <c r="B86" s="470">
        <v>1813</v>
      </c>
      <c r="C86" s="551">
        <v>2975</v>
      </c>
      <c r="D86" s="468"/>
      <c r="E86" s="468"/>
      <c r="F86" s="468"/>
      <c r="G86" s="468"/>
      <c r="H86" s="468"/>
      <c r="I86" s="468"/>
      <c r="J86" s="468"/>
      <c r="K86" s="468"/>
    </row>
    <row r="87" spans="1:11" ht="12.75" customHeight="1" x14ac:dyDescent="0.2">
      <c r="A87" s="463" t="s">
        <v>79</v>
      </c>
      <c r="B87" s="470">
        <v>1819</v>
      </c>
      <c r="C87" s="551">
        <v>15913</v>
      </c>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501430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v>11681</v>
      </c>
      <c r="D95" s="551">
        <v>188854</v>
      </c>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v>50704</v>
      </c>
      <c r="I97" s="467"/>
      <c r="J97" s="467"/>
      <c r="K97" s="467"/>
    </row>
    <row r="98" spans="1:12" ht="12.75" customHeight="1" x14ac:dyDescent="0.2">
      <c r="A98" s="463" t="s">
        <v>198</v>
      </c>
      <c r="B98" s="470">
        <v>1940</v>
      </c>
      <c r="C98" s="489">
        <v>560</v>
      </c>
      <c r="D98" s="466"/>
      <c r="E98" s="512"/>
      <c r="F98" s="466"/>
      <c r="G98" s="512"/>
      <c r="H98" s="512"/>
      <c r="I98" s="510"/>
      <c r="J98" s="512"/>
      <c r="K98" s="512"/>
    </row>
    <row r="99" spans="1:12" ht="12.75" customHeight="1" x14ac:dyDescent="0.2">
      <c r="A99" s="463" t="s">
        <v>874</v>
      </c>
      <c r="B99" s="470">
        <v>1950</v>
      </c>
      <c r="C99" s="489">
        <v>41439</v>
      </c>
      <c r="D99" s="466">
        <v>2390</v>
      </c>
      <c r="E99" s="466"/>
      <c r="F99" s="466"/>
      <c r="G99" s="466">
        <v>65</v>
      </c>
      <c r="H99" s="466">
        <v>25000</v>
      </c>
      <c r="I99" s="468"/>
      <c r="J99" s="467"/>
      <c r="K99" s="466"/>
    </row>
    <row r="100" spans="1:12" ht="12.75" customHeight="1" x14ac:dyDescent="0.2">
      <c r="A100" s="463" t="s">
        <v>263</v>
      </c>
      <c r="B100" s="470">
        <v>1960</v>
      </c>
      <c r="C100" s="489">
        <v>382333</v>
      </c>
      <c r="D100" s="489">
        <v>58760</v>
      </c>
      <c r="E100" s="489">
        <v>99203</v>
      </c>
      <c r="F100" s="489">
        <v>21067</v>
      </c>
      <c r="G100" s="489">
        <v>18129</v>
      </c>
      <c r="H100" s="489"/>
      <c r="I100" s="467">
        <v>3745</v>
      </c>
      <c r="J100" s="489">
        <v>4333</v>
      </c>
      <c r="K100" s="467">
        <v>3424</v>
      </c>
    </row>
    <row r="101" spans="1:12" ht="12.75" customHeight="1" x14ac:dyDescent="0.2">
      <c r="A101" s="463" t="s">
        <v>264</v>
      </c>
      <c r="B101" s="470">
        <v>1970</v>
      </c>
      <c r="C101" s="489">
        <v>41304</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v>121309</v>
      </c>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f>8695950+9982</f>
        <v>8705932</v>
      </c>
      <c r="D107" s="466">
        <v>160193</v>
      </c>
      <c r="E107" s="466">
        <v>8463</v>
      </c>
      <c r="F107" s="466">
        <v>39081</v>
      </c>
      <c r="G107" s="466">
        <v>2105</v>
      </c>
      <c r="H107" s="466"/>
      <c r="I107" s="466"/>
      <c r="J107" s="467">
        <v>186575</v>
      </c>
      <c r="K107" s="466">
        <v>207</v>
      </c>
    </row>
    <row r="108" spans="1:12" ht="12.75" customHeight="1" thickBot="1" x14ac:dyDescent="0.25">
      <c r="A108" s="1730" t="s">
        <v>507</v>
      </c>
      <c r="B108" s="1734"/>
      <c r="C108" s="1729">
        <f>SUM(C95:C107)</f>
        <v>9304558</v>
      </c>
      <c r="D108" s="1729">
        <f t="shared" ref="D108:K108" si="3">SUM(D95:D107)</f>
        <v>410197</v>
      </c>
      <c r="E108" s="1729">
        <f t="shared" si="3"/>
        <v>107666</v>
      </c>
      <c r="F108" s="1729">
        <f t="shared" si="3"/>
        <v>60148</v>
      </c>
      <c r="G108" s="1729">
        <f t="shared" si="3"/>
        <v>20299</v>
      </c>
      <c r="H108" s="1729">
        <f t="shared" si="3"/>
        <v>75704</v>
      </c>
      <c r="I108" s="1729">
        <f t="shared" si="3"/>
        <v>3745</v>
      </c>
      <c r="J108" s="1729">
        <f t="shared" si="3"/>
        <v>190908</v>
      </c>
      <c r="K108" s="1710">
        <f t="shared" si="3"/>
        <v>3631</v>
      </c>
    </row>
    <row r="109" spans="1:12" ht="14.25" thickTop="1" thickBot="1" x14ac:dyDescent="0.25">
      <c r="A109" s="1735" t="s">
        <v>266</v>
      </c>
      <c r="B109" s="1736" t="s">
        <v>590</v>
      </c>
      <c r="C109" s="1737">
        <f t="shared" ref="C109:K109" si="4">SUM(C12,C18,C40,C63,C67,C75,C82,C93,C108,)</f>
        <v>133216207</v>
      </c>
      <c r="D109" s="1737">
        <f t="shared" si="4"/>
        <v>17480234</v>
      </c>
      <c r="E109" s="1737">
        <f t="shared" si="4"/>
        <v>31083519</v>
      </c>
      <c r="F109" s="1737">
        <f t="shared" si="4"/>
        <v>6663691</v>
      </c>
      <c r="G109" s="1737">
        <f t="shared" si="4"/>
        <v>7374124</v>
      </c>
      <c r="H109" s="1737">
        <f t="shared" si="4"/>
        <v>146190</v>
      </c>
      <c r="I109" s="1737">
        <f t="shared" si="4"/>
        <v>119784</v>
      </c>
      <c r="J109" s="1737">
        <f t="shared" si="4"/>
        <v>2517749</v>
      </c>
      <c r="K109" s="1724">
        <f t="shared" si="4"/>
        <v>3631</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45269921</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45269921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2505094</v>
      </c>
      <c r="D124" s="561"/>
      <c r="E124" s="468"/>
      <c r="F124" s="548"/>
      <c r="G124" s="468"/>
      <c r="H124" s="468"/>
      <c r="I124" s="468"/>
      <c r="J124" s="468"/>
      <c r="K124" s="468"/>
    </row>
    <row r="125" spans="1:11" ht="12.75" customHeight="1" x14ac:dyDescent="0.2">
      <c r="A125" s="463" t="s">
        <v>1520</v>
      </c>
      <c r="B125" s="562">
        <v>3105</v>
      </c>
      <c r="C125" s="466">
        <v>578808</v>
      </c>
      <c r="D125" s="561"/>
      <c r="E125" s="468"/>
      <c r="F125" s="466"/>
      <c r="G125" s="468"/>
      <c r="H125" s="468"/>
      <c r="I125" s="468"/>
      <c r="J125" s="468"/>
      <c r="K125" s="468"/>
    </row>
    <row r="126" spans="1:11" ht="12.75" customHeight="1" x14ac:dyDescent="0.2">
      <c r="A126" s="463" t="s">
        <v>921</v>
      </c>
      <c r="B126" s="562">
        <v>3110</v>
      </c>
      <c r="C126" s="551">
        <v>1065059</v>
      </c>
      <c r="D126" s="466"/>
      <c r="E126" s="468"/>
      <c r="F126" s="466"/>
      <c r="G126" s="468"/>
      <c r="H126" s="468"/>
      <c r="I126" s="468"/>
      <c r="J126" s="468"/>
      <c r="K126" s="468"/>
    </row>
    <row r="127" spans="1:11" ht="12.75" customHeight="1" x14ac:dyDescent="0.2">
      <c r="A127" s="463" t="s">
        <v>107</v>
      </c>
      <c r="B127" s="562">
        <v>3120</v>
      </c>
      <c r="C127" s="466">
        <v>895005</v>
      </c>
      <c r="D127" s="561"/>
      <c r="E127" s="468"/>
      <c r="F127" s="466"/>
      <c r="G127" s="468"/>
      <c r="H127" s="468"/>
      <c r="I127" s="468"/>
      <c r="J127" s="468"/>
      <c r="K127" s="468"/>
    </row>
    <row r="128" spans="1:11" ht="12.75" customHeight="1" x14ac:dyDescent="0.2">
      <c r="A128" s="463" t="s">
        <v>1521</v>
      </c>
      <c r="B128" s="562">
        <v>3130</v>
      </c>
      <c r="C128" s="466">
        <v>38163</v>
      </c>
      <c r="D128" s="561"/>
      <c r="E128" s="468"/>
      <c r="F128" s="466"/>
      <c r="G128" s="468"/>
      <c r="H128" s="468"/>
      <c r="I128" s="468"/>
      <c r="J128" s="468"/>
      <c r="K128" s="468"/>
    </row>
    <row r="129" spans="1:11" ht="12.75" customHeight="1" x14ac:dyDescent="0.2">
      <c r="A129" s="463" t="s">
        <v>139</v>
      </c>
      <c r="B129" s="562">
        <v>3145</v>
      </c>
      <c r="C129" s="466">
        <v>104954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5187083</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152655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152655</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1032436</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1032436</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58634</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132089</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2555708</v>
      </c>
      <c r="G151" s="467"/>
      <c r="H151" s="468"/>
      <c r="I151" s="468"/>
      <c r="J151" s="468"/>
      <c r="K151" s="468"/>
    </row>
    <row r="152" spans="1:11" ht="12.75" customHeight="1" x14ac:dyDescent="0.2">
      <c r="A152" s="463" t="s">
        <v>1116</v>
      </c>
      <c r="B152" s="562">
        <v>3510</v>
      </c>
      <c r="C152" s="551"/>
      <c r="D152" s="466"/>
      <c r="E152" s="561"/>
      <c r="F152" s="466">
        <v>4885886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7441594</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514028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f>23008</f>
        <v>23008</v>
      </c>
      <c r="D171" s="580">
        <v>425800</v>
      </c>
      <c r="E171" s="580"/>
      <c r="F171" s="580"/>
      <c r="G171" s="581"/>
      <c r="H171" s="582"/>
      <c r="I171" s="581"/>
      <c r="J171" s="581"/>
      <c r="K171" s="582"/>
    </row>
    <row r="172" spans="1:11" ht="12.75" customHeight="1" thickTop="1" thickBot="1" x14ac:dyDescent="0.25">
      <c r="A172" s="2174" t="s">
        <v>417</v>
      </c>
      <c r="B172" s="2175"/>
      <c r="C172" s="1744">
        <f t="shared" ref="C172:K172" si="6">SUM(C131,C140,C144,C145:C149,C154,C155:C170,C171)</f>
        <v>7099933</v>
      </c>
      <c r="D172" s="1744">
        <f t="shared" si="6"/>
        <v>425800</v>
      </c>
      <c r="E172" s="1744">
        <f t="shared" si="6"/>
        <v>0</v>
      </c>
      <c r="F172" s="1744">
        <f t="shared" si="6"/>
        <v>7441594</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52369854</v>
      </c>
      <c r="D173" s="1737">
        <f>SUM(D121,D172)</f>
        <v>425800</v>
      </c>
      <c r="E173" s="1737">
        <f>SUM(E121,E172)</f>
        <v>0</v>
      </c>
      <c r="F173" s="1737">
        <f t="shared" ref="F173:K173" si="7">SUM(F121,F172)</f>
        <v>7441594</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76" t="s">
        <v>1571</v>
      </c>
      <c r="B175" s="2177"/>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80" t="s">
        <v>1763</v>
      </c>
      <c r="B178" s="218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4" t="s">
        <v>1762</v>
      </c>
      <c r="B179" s="2185"/>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82" t="s">
        <v>817</v>
      </c>
      <c r="B184" s="218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8" t="s">
        <v>1903</v>
      </c>
      <c r="B185" s="2179"/>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4690901</v>
      </c>
      <c r="D194" s="468"/>
      <c r="E194" s="561"/>
      <c r="F194" s="468"/>
      <c r="G194" s="585"/>
      <c r="H194" s="468"/>
      <c r="I194" s="468"/>
      <c r="J194" s="468"/>
      <c r="K194" s="468"/>
    </row>
    <row r="195" spans="1:11" ht="12.75" customHeight="1" x14ac:dyDescent="0.2">
      <c r="A195" s="463" t="s">
        <v>1106</v>
      </c>
      <c r="B195" s="470">
        <v>4215</v>
      </c>
      <c r="C195" s="551">
        <v>7155</v>
      </c>
      <c r="D195" s="468"/>
      <c r="E195" s="561"/>
      <c r="F195" s="468"/>
      <c r="G195" s="585"/>
      <c r="H195" s="468"/>
      <c r="I195" s="468"/>
      <c r="J195" s="468"/>
      <c r="K195" s="468"/>
    </row>
    <row r="196" spans="1:11" ht="12.75" customHeight="1" x14ac:dyDescent="0.2">
      <c r="A196" s="463" t="s">
        <v>1118</v>
      </c>
      <c r="B196" s="470">
        <v>4220</v>
      </c>
      <c r="C196" s="551">
        <v>1368016</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v>132717</v>
      </c>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6198789</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4121937</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4121937</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93366</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3331587</v>
      </c>
      <c r="D220" s="466"/>
      <c r="E220" s="468"/>
      <c r="F220" s="466"/>
      <c r="G220" s="466"/>
      <c r="H220" s="468"/>
      <c r="I220" s="468"/>
      <c r="J220" s="468"/>
      <c r="K220" s="468"/>
    </row>
    <row r="221" spans="1:11" ht="12.75" customHeight="1" x14ac:dyDescent="0.2">
      <c r="A221" s="463" t="s">
        <v>1113</v>
      </c>
      <c r="B221" s="470">
        <v>4625</v>
      </c>
      <c r="C221" s="551">
        <v>66893</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3491846</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113833</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113833</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v>868215</v>
      </c>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v>19537</v>
      </c>
      <c r="D263" s="468"/>
      <c r="E263" s="468"/>
      <c r="F263" s="578"/>
      <c r="G263" s="573"/>
      <c r="H263" s="468"/>
      <c r="I263" s="468"/>
      <c r="J263" s="468"/>
      <c r="K263" s="468"/>
    </row>
    <row r="264" spans="1:11" ht="12.75" customHeight="1" thickTop="1" thickBot="1" x14ac:dyDescent="0.25">
      <c r="A264" s="463" t="s">
        <v>1531</v>
      </c>
      <c r="B264" s="470">
        <v>4909</v>
      </c>
      <c r="C264" s="576">
        <v>263887</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9566</v>
      </c>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303825</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124048</v>
      </c>
      <c r="D270" s="576"/>
      <c r="E270" s="468"/>
      <c r="F270" s="576"/>
      <c r="G270" s="576"/>
      <c r="H270" s="468"/>
      <c r="I270" s="468"/>
      <c r="J270" s="468"/>
      <c r="K270" s="468"/>
    </row>
    <row r="271" spans="1:11" ht="12.75" customHeight="1" thickTop="1" thickBot="1" x14ac:dyDescent="0.25">
      <c r="A271" s="463" t="s">
        <v>394</v>
      </c>
      <c r="B271" s="470">
        <v>4992</v>
      </c>
      <c r="C271" s="575">
        <v>1472646</v>
      </c>
      <c r="D271" s="576"/>
      <c r="E271" s="468"/>
      <c r="F271" s="576"/>
      <c r="G271" s="576"/>
      <c r="H271" s="468"/>
      <c r="I271" s="468"/>
      <c r="J271" s="468"/>
      <c r="K271" s="468"/>
    </row>
    <row r="272" spans="1:11" s="594" customFormat="1" ht="12.75" customHeight="1" thickTop="1" thickBot="1" x14ac:dyDescent="0.25">
      <c r="A272" s="563" t="s">
        <v>77</v>
      </c>
      <c r="B272" s="557">
        <v>4999</v>
      </c>
      <c r="C272" s="575">
        <f>84343+2653+149228</f>
        <v>236224</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17224353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17224353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202810414</v>
      </c>
      <c r="D275" s="1737">
        <f t="shared" si="12"/>
        <v>17906034</v>
      </c>
      <c r="E275" s="1737">
        <f t="shared" si="12"/>
        <v>31083519</v>
      </c>
      <c r="F275" s="1737">
        <f t="shared" si="12"/>
        <v>14105285</v>
      </c>
      <c r="G275" s="1737">
        <f t="shared" si="12"/>
        <v>7374124</v>
      </c>
      <c r="H275" s="1737">
        <f t="shared" si="12"/>
        <v>146190</v>
      </c>
      <c r="I275" s="1737">
        <f t="shared" si="12"/>
        <v>119784</v>
      </c>
      <c r="J275" s="1737">
        <f t="shared" si="12"/>
        <v>2517749</v>
      </c>
      <c r="K275" s="1724">
        <f t="shared" si="12"/>
        <v>3631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A47" sqref="A47"/>
      <selection pane="bottomLeft" activeCell="F47" sqref="F4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4"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8"/>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94" t="s">
        <v>314</v>
      </c>
      <c r="B3" s="2195"/>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f>26090311+14415199+21360538</f>
        <v>61866048</v>
      </c>
      <c r="D5" s="466">
        <f>4959693+2476712+3650584</f>
        <v>11086989</v>
      </c>
      <c r="E5" s="466">
        <f>542374+25986+241484</f>
        <v>809844</v>
      </c>
      <c r="F5" s="466">
        <f>244755+91022+499757</f>
        <v>835534</v>
      </c>
      <c r="G5" s="466">
        <v>15495</v>
      </c>
      <c r="H5" s="466">
        <v>20575</v>
      </c>
      <c r="I5" s="467">
        <f>101237+35034+51169</f>
        <v>187440</v>
      </c>
      <c r="J5" s="467">
        <v>46041</v>
      </c>
      <c r="K5" s="1693">
        <f>SUM(C5:J5)</f>
        <v>74867966</v>
      </c>
      <c r="L5" s="466">
        <f>33061525+16898507+25391826</f>
        <v>75351858</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2262727</v>
      </c>
      <c r="D7" s="467">
        <v>562361</v>
      </c>
      <c r="E7" s="467">
        <v>2970</v>
      </c>
      <c r="F7" s="467">
        <v>86220</v>
      </c>
      <c r="G7" s="467"/>
      <c r="H7" s="467"/>
      <c r="I7" s="467">
        <v>2882</v>
      </c>
      <c r="J7" s="467"/>
      <c r="K7" s="1693">
        <f t="shared" ref="K7:K32" si="0">SUM(C7:J7)</f>
        <v>2917160</v>
      </c>
      <c r="L7" s="466">
        <v>2000300</v>
      </c>
    </row>
    <row r="8" spans="1:14" x14ac:dyDescent="0.2">
      <c r="A8" s="1526" t="s">
        <v>166</v>
      </c>
      <c r="B8" s="615">
        <v>1200</v>
      </c>
      <c r="C8" s="466">
        <v>26805622</v>
      </c>
      <c r="D8" s="466">
        <v>6607436</v>
      </c>
      <c r="E8" s="466">
        <v>2592149</v>
      </c>
      <c r="F8" s="466">
        <v>112051</v>
      </c>
      <c r="G8" s="466"/>
      <c r="H8" s="466"/>
      <c r="I8" s="467"/>
      <c r="J8" s="467"/>
      <c r="K8" s="1693">
        <f t="shared" si="0"/>
        <v>36117258</v>
      </c>
      <c r="L8" s="466">
        <v>31316398</v>
      </c>
    </row>
    <row r="9" spans="1:14" x14ac:dyDescent="0.2">
      <c r="A9" s="1526" t="s">
        <v>744</v>
      </c>
      <c r="B9" s="615" t="s">
        <v>1024</v>
      </c>
      <c r="C9" s="467">
        <v>117629</v>
      </c>
      <c r="D9" s="467"/>
      <c r="E9" s="467">
        <v>3034</v>
      </c>
      <c r="F9" s="467">
        <v>7356</v>
      </c>
      <c r="G9" s="467"/>
      <c r="H9" s="467"/>
      <c r="I9" s="467"/>
      <c r="J9" s="467"/>
      <c r="K9" s="1693">
        <f t="shared" si="0"/>
        <v>128019</v>
      </c>
      <c r="L9" s="466">
        <v>5208800</v>
      </c>
    </row>
    <row r="10" spans="1:14" x14ac:dyDescent="0.2">
      <c r="A10" s="1526" t="s">
        <v>745</v>
      </c>
      <c r="B10" s="615">
        <v>1250</v>
      </c>
      <c r="C10" s="466">
        <v>169082</v>
      </c>
      <c r="D10" s="466">
        <v>10876</v>
      </c>
      <c r="E10" s="466">
        <v>1071107</v>
      </c>
      <c r="F10" s="466">
        <v>808050</v>
      </c>
      <c r="G10" s="466"/>
      <c r="H10" s="466"/>
      <c r="I10" s="467"/>
      <c r="J10" s="467"/>
      <c r="K10" s="1693">
        <f t="shared" si="0"/>
        <v>2059115</v>
      </c>
      <c r="L10" s="466">
        <v>3591748</v>
      </c>
    </row>
    <row r="11" spans="1:14" x14ac:dyDescent="0.2">
      <c r="A11" s="1526" t="s">
        <v>1191</v>
      </c>
      <c r="B11" s="615" t="s">
        <v>163</v>
      </c>
      <c r="C11" s="467"/>
      <c r="D11" s="467"/>
      <c r="E11" s="467"/>
      <c r="F11" s="467"/>
      <c r="G11" s="467"/>
      <c r="H11" s="467"/>
      <c r="I11" s="467"/>
      <c r="J11" s="467"/>
      <c r="K11" s="1693">
        <f t="shared" si="0"/>
        <v>0</v>
      </c>
      <c r="L11" s="466">
        <v>349700</v>
      </c>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c r="D13" s="466"/>
      <c r="E13" s="466">
        <v>60898</v>
      </c>
      <c r="F13" s="466">
        <v>29351</v>
      </c>
      <c r="G13" s="466">
        <v>23435</v>
      </c>
      <c r="H13" s="466"/>
      <c r="I13" s="467">
        <v>31274</v>
      </c>
      <c r="J13" s="467"/>
      <c r="K13" s="1693">
        <f t="shared" si="0"/>
        <v>144958</v>
      </c>
      <c r="L13" s="466">
        <v>158628</v>
      </c>
    </row>
    <row r="14" spans="1:14" x14ac:dyDescent="0.2">
      <c r="A14" s="1526" t="s">
        <v>1019</v>
      </c>
      <c r="B14" s="615">
        <v>1500</v>
      </c>
      <c r="C14" s="466">
        <v>2254082</v>
      </c>
      <c r="D14" s="466">
        <v>46918</v>
      </c>
      <c r="E14" s="466">
        <v>256816</v>
      </c>
      <c r="F14" s="466">
        <v>99320</v>
      </c>
      <c r="G14" s="466">
        <v>6270</v>
      </c>
      <c r="H14" s="466">
        <v>118099</v>
      </c>
      <c r="I14" s="467">
        <v>2868</v>
      </c>
      <c r="J14" s="467"/>
      <c r="K14" s="1693">
        <f t="shared" si="0"/>
        <v>2784373</v>
      </c>
      <c r="L14" s="466">
        <v>2821766</v>
      </c>
    </row>
    <row r="15" spans="1:14" x14ac:dyDescent="0.2">
      <c r="A15" s="1526" t="s">
        <v>1020</v>
      </c>
      <c r="B15" s="615">
        <v>1600</v>
      </c>
      <c r="C15" s="466">
        <v>475399</v>
      </c>
      <c r="D15" s="466">
        <v>4461</v>
      </c>
      <c r="E15" s="466">
        <v>10281</v>
      </c>
      <c r="F15" s="466">
        <v>4552</v>
      </c>
      <c r="G15" s="466"/>
      <c r="H15" s="466">
        <v>943</v>
      </c>
      <c r="I15" s="467"/>
      <c r="J15" s="467"/>
      <c r="K15" s="1693">
        <f t="shared" si="0"/>
        <v>495636</v>
      </c>
      <c r="L15" s="466">
        <v>817700</v>
      </c>
    </row>
    <row r="16" spans="1:14" x14ac:dyDescent="0.2">
      <c r="A16" s="1526" t="s">
        <v>1043</v>
      </c>
      <c r="B16" s="615" t="s">
        <v>443</v>
      </c>
      <c r="C16" s="466">
        <v>686734</v>
      </c>
      <c r="D16" s="466">
        <v>136097</v>
      </c>
      <c r="E16" s="466"/>
      <c r="F16" s="466"/>
      <c r="G16" s="466"/>
      <c r="H16" s="466"/>
      <c r="I16" s="467"/>
      <c r="J16" s="467"/>
      <c r="K16" s="1693">
        <f t="shared" si="0"/>
        <v>822831</v>
      </c>
      <c r="L16" s="466">
        <v>796600</v>
      </c>
    </row>
    <row r="17" spans="1:12" x14ac:dyDescent="0.2">
      <c r="A17" s="1526" t="s">
        <v>747</v>
      </c>
      <c r="B17" s="615" t="s">
        <v>164</v>
      </c>
      <c r="C17" s="467">
        <v>522644</v>
      </c>
      <c r="D17" s="467">
        <v>87006</v>
      </c>
      <c r="E17" s="467">
        <v>15898</v>
      </c>
      <c r="F17" s="467">
        <v>688</v>
      </c>
      <c r="G17" s="467">
        <v>99075</v>
      </c>
      <c r="H17" s="467"/>
      <c r="I17" s="467"/>
      <c r="J17" s="467"/>
      <c r="K17" s="1693">
        <f t="shared" si="0"/>
        <v>725311</v>
      </c>
      <c r="L17" s="466">
        <v>715950</v>
      </c>
    </row>
    <row r="18" spans="1:12" x14ac:dyDescent="0.2">
      <c r="A18" s="1526" t="s">
        <v>1147</v>
      </c>
      <c r="B18" s="615">
        <v>1800</v>
      </c>
      <c r="C18" s="466">
        <v>4901345</v>
      </c>
      <c r="D18" s="466">
        <v>1073102</v>
      </c>
      <c r="E18" s="466">
        <v>6181</v>
      </c>
      <c r="F18" s="466">
        <v>14675</v>
      </c>
      <c r="G18" s="466"/>
      <c r="H18" s="466">
        <v>150</v>
      </c>
      <c r="I18" s="467">
        <v>420</v>
      </c>
      <c r="J18" s="467"/>
      <c r="K18" s="1693">
        <f t="shared" si="0"/>
        <v>5995873</v>
      </c>
      <c r="L18" s="466">
        <v>6068500</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6423251</v>
      </c>
      <c r="I22" s="617"/>
      <c r="J22" s="477"/>
      <c r="K22" s="1693">
        <f t="shared" si="0"/>
        <v>6423251</v>
      </c>
      <c r="L22" s="471">
        <v>6500000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v>977340</v>
      </c>
      <c r="I27" s="617"/>
      <c r="J27" s="477"/>
      <c r="K27" s="1693">
        <f t="shared" si="0"/>
        <v>977340</v>
      </c>
      <c r="L27" s="471">
        <v>990000</v>
      </c>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v>223524</v>
      </c>
      <c r="I32" s="617"/>
      <c r="J32" s="480"/>
      <c r="K32" s="1693">
        <f t="shared" si="0"/>
        <v>223524</v>
      </c>
      <c r="L32" s="471">
        <v>220000</v>
      </c>
    </row>
    <row r="33" spans="1:14" ht="12.75" customHeight="1" thickBot="1" x14ac:dyDescent="0.25">
      <c r="A33" s="1690" t="s">
        <v>1766</v>
      </c>
      <c r="B33" s="1691" t="s">
        <v>590</v>
      </c>
      <c r="C33" s="1692">
        <f>SUM(C5:C32)</f>
        <v>100061312</v>
      </c>
      <c r="D33" s="1692">
        <f t="shared" ref="D33:L33" si="1">SUM(D5:D32)</f>
        <v>19615246</v>
      </c>
      <c r="E33" s="1692">
        <f t="shared" si="1"/>
        <v>4829178</v>
      </c>
      <c r="F33" s="1692">
        <f t="shared" si="1"/>
        <v>1997797</v>
      </c>
      <c r="G33" s="1692">
        <f t="shared" si="1"/>
        <v>144275</v>
      </c>
      <c r="H33" s="1692">
        <f t="shared" si="1"/>
        <v>7763882</v>
      </c>
      <c r="I33" s="1692">
        <f t="shared" si="1"/>
        <v>224884</v>
      </c>
      <c r="J33" s="1692">
        <f t="shared" si="1"/>
        <v>46041</v>
      </c>
      <c r="K33" s="1692">
        <f t="shared" si="1"/>
        <v>134682615</v>
      </c>
      <c r="L33" s="1692">
        <f t="shared" si="1"/>
        <v>136907948</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2549023</v>
      </c>
      <c r="D36" s="481">
        <v>497254</v>
      </c>
      <c r="E36" s="481">
        <v>16258</v>
      </c>
      <c r="F36" s="481">
        <v>4041</v>
      </c>
      <c r="G36" s="481"/>
      <c r="H36" s="481"/>
      <c r="I36" s="467">
        <v>3525</v>
      </c>
      <c r="J36" s="467"/>
      <c r="K36" s="1693">
        <f t="shared" ref="K36:K41" si="2">SUM(C36:J36)</f>
        <v>3070101</v>
      </c>
      <c r="L36" s="466">
        <v>3387594</v>
      </c>
    </row>
    <row r="37" spans="1:14" x14ac:dyDescent="0.2">
      <c r="A37" s="1526" t="s">
        <v>1150</v>
      </c>
      <c r="B37" s="615">
        <v>2120</v>
      </c>
      <c r="C37" s="466">
        <v>2443788</v>
      </c>
      <c r="D37" s="466">
        <v>293151</v>
      </c>
      <c r="E37" s="466">
        <v>21000</v>
      </c>
      <c r="F37" s="466"/>
      <c r="G37" s="466"/>
      <c r="H37" s="466"/>
      <c r="I37" s="467"/>
      <c r="J37" s="467"/>
      <c r="K37" s="1693">
        <f t="shared" si="2"/>
        <v>2757939</v>
      </c>
      <c r="L37" s="466">
        <v>2681400</v>
      </c>
    </row>
    <row r="38" spans="1:14" x14ac:dyDescent="0.2">
      <c r="A38" s="1526" t="s">
        <v>207</v>
      </c>
      <c r="B38" s="615">
        <v>2130</v>
      </c>
      <c r="C38" s="466">
        <v>1098735</v>
      </c>
      <c r="D38" s="466">
        <v>239165</v>
      </c>
      <c r="E38" s="466">
        <v>510552</v>
      </c>
      <c r="F38" s="466">
        <v>186979</v>
      </c>
      <c r="G38" s="466"/>
      <c r="H38" s="466"/>
      <c r="I38" s="467">
        <v>1614</v>
      </c>
      <c r="J38" s="467"/>
      <c r="K38" s="1693">
        <f t="shared" si="2"/>
        <v>2037045</v>
      </c>
      <c r="L38" s="466">
        <v>2229408</v>
      </c>
    </row>
    <row r="39" spans="1:14" x14ac:dyDescent="0.2">
      <c r="A39" s="1526" t="s">
        <v>208</v>
      </c>
      <c r="B39" s="615">
        <v>2140</v>
      </c>
      <c r="C39" s="466">
        <v>1775671</v>
      </c>
      <c r="D39" s="466">
        <v>253320</v>
      </c>
      <c r="E39" s="466"/>
      <c r="F39" s="466">
        <v>23906</v>
      </c>
      <c r="G39" s="466"/>
      <c r="H39" s="466"/>
      <c r="I39" s="467"/>
      <c r="J39" s="467"/>
      <c r="K39" s="1693">
        <f t="shared" si="2"/>
        <v>2052897</v>
      </c>
      <c r="L39" s="466">
        <v>2023000</v>
      </c>
    </row>
    <row r="40" spans="1:14" x14ac:dyDescent="0.2">
      <c r="A40" s="1526" t="s">
        <v>209</v>
      </c>
      <c r="B40" s="615">
        <v>2150</v>
      </c>
      <c r="C40" s="466">
        <v>2231542</v>
      </c>
      <c r="D40" s="466">
        <v>295535</v>
      </c>
      <c r="E40" s="466"/>
      <c r="F40" s="466">
        <v>14432</v>
      </c>
      <c r="G40" s="466"/>
      <c r="H40" s="466"/>
      <c r="I40" s="467"/>
      <c r="J40" s="467"/>
      <c r="K40" s="1693">
        <f t="shared" si="2"/>
        <v>2541509</v>
      </c>
      <c r="L40" s="466">
        <v>2178030</v>
      </c>
    </row>
    <row r="41" spans="1:14" x14ac:dyDescent="0.2">
      <c r="A41" s="1526" t="s">
        <v>1767</v>
      </c>
      <c r="B41" s="615">
        <v>2190</v>
      </c>
      <c r="C41" s="466">
        <v>463396</v>
      </c>
      <c r="D41" s="466">
        <v>74376</v>
      </c>
      <c r="E41" s="466">
        <v>1500</v>
      </c>
      <c r="F41" s="466"/>
      <c r="G41" s="466"/>
      <c r="H41" s="466"/>
      <c r="I41" s="467"/>
      <c r="J41" s="467"/>
      <c r="K41" s="1693">
        <f t="shared" si="2"/>
        <v>539272</v>
      </c>
      <c r="L41" s="466">
        <v>237300</v>
      </c>
    </row>
    <row r="42" spans="1:14" ht="12.75" customHeight="1" thickBot="1" x14ac:dyDescent="0.25">
      <c r="A42" s="1690" t="s">
        <v>580</v>
      </c>
      <c r="B42" s="1691" t="s">
        <v>739</v>
      </c>
      <c r="C42" s="1692">
        <f>SUM(C36:C41)</f>
        <v>10562155</v>
      </c>
      <c r="D42" s="1692">
        <f t="shared" ref="D42:L42" si="3">SUM(D36:D41)</f>
        <v>1652801</v>
      </c>
      <c r="E42" s="1692">
        <f t="shared" si="3"/>
        <v>549310</v>
      </c>
      <c r="F42" s="1692">
        <f t="shared" si="3"/>
        <v>229358</v>
      </c>
      <c r="G42" s="1692">
        <f t="shared" si="3"/>
        <v>0</v>
      </c>
      <c r="H42" s="1692">
        <f t="shared" si="3"/>
        <v>0</v>
      </c>
      <c r="I42" s="1692">
        <f t="shared" si="3"/>
        <v>5139</v>
      </c>
      <c r="J42" s="1692">
        <f t="shared" si="3"/>
        <v>0</v>
      </c>
      <c r="K42" s="1692">
        <f t="shared" si="3"/>
        <v>12998763</v>
      </c>
      <c r="L42" s="1692">
        <f t="shared" si="3"/>
        <v>12736732</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3200280</v>
      </c>
      <c r="D44" s="481">
        <v>454379</v>
      </c>
      <c r="E44" s="481">
        <v>1192614</v>
      </c>
      <c r="F44" s="481">
        <v>198777</v>
      </c>
      <c r="G44" s="481"/>
      <c r="H44" s="481">
        <v>4027</v>
      </c>
      <c r="I44" s="467">
        <v>441</v>
      </c>
      <c r="J44" s="467"/>
      <c r="K44" s="1694">
        <f>SUM(C44:J44)</f>
        <v>5050518</v>
      </c>
      <c r="L44" s="481">
        <v>6025188</v>
      </c>
    </row>
    <row r="45" spans="1:14" x14ac:dyDescent="0.2">
      <c r="A45" s="1526" t="s">
        <v>868</v>
      </c>
      <c r="B45" s="615">
        <v>2220</v>
      </c>
      <c r="C45" s="466">
        <v>1068170</v>
      </c>
      <c r="D45" s="466">
        <v>198573</v>
      </c>
      <c r="E45" s="466">
        <v>3696</v>
      </c>
      <c r="F45" s="466">
        <v>182544</v>
      </c>
      <c r="G45" s="466">
        <v>9850</v>
      </c>
      <c r="H45" s="466"/>
      <c r="I45" s="467">
        <v>2817</v>
      </c>
      <c r="J45" s="467"/>
      <c r="K45" s="1694">
        <f>SUM(C45:J45)</f>
        <v>1465650</v>
      </c>
      <c r="L45" s="466">
        <v>1626959</v>
      </c>
    </row>
    <row r="46" spans="1:14" x14ac:dyDescent="0.2">
      <c r="A46" s="1526" t="s">
        <v>869</v>
      </c>
      <c r="B46" s="615">
        <v>2230</v>
      </c>
      <c r="C46" s="466">
        <v>223233</v>
      </c>
      <c r="D46" s="466">
        <v>34850</v>
      </c>
      <c r="E46" s="466">
        <v>247438</v>
      </c>
      <c r="F46" s="466">
        <v>70910</v>
      </c>
      <c r="G46" s="466"/>
      <c r="H46" s="466"/>
      <c r="I46" s="467"/>
      <c r="J46" s="467"/>
      <c r="K46" s="1694">
        <f>SUM(C46:J46)</f>
        <v>576431</v>
      </c>
      <c r="L46" s="466">
        <v>647590</v>
      </c>
    </row>
    <row r="47" spans="1:14" ht="12.75" customHeight="1" thickBot="1" x14ac:dyDescent="0.25">
      <c r="A47" s="1690" t="s">
        <v>581</v>
      </c>
      <c r="B47" s="1691" t="s">
        <v>32</v>
      </c>
      <c r="C47" s="1692">
        <f>SUM(C44:C46)</f>
        <v>4491683</v>
      </c>
      <c r="D47" s="1692">
        <f t="shared" ref="D47:K47" si="4">SUM(D44:D46)</f>
        <v>687802</v>
      </c>
      <c r="E47" s="1692">
        <f t="shared" si="4"/>
        <v>1443748</v>
      </c>
      <c r="F47" s="1692">
        <f t="shared" si="4"/>
        <v>452231</v>
      </c>
      <c r="G47" s="1692">
        <f t="shared" si="4"/>
        <v>9850</v>
      </c>
      <c r="H47" s="1692">
        <f t="shared" si="4"/>
        <v>4027</v>
      </c>
      <c r="I47" s="1692">
        <f t="shared" si="4"/>
        <v>3258</v>
      </c>
      <c r="J47" s="1692">
        <f t="shared" si="4"/>
        <v>0</v>
      </c>
      <c r="K47" s="1692">
        <f t="shared" si="4"/>
        <v>7092599</v>
      </c>
      <c r="L47" s="1692">
        <f>SUM(L44:L46)</f>
        <v>8299737</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5000</v>
      </c>
      <c r="D49" s="481">
        <v>1662027</v>
      </c>
      <c r="E49" s="481">
        <v>542465</v>
      </c>
      <c r="F49" s="481">
        <v>1530</v>
      </c>
      <c r="G49" s="481"/>
      <c r="H49" s="481">
        <v>29512</v>
      </c>
      <c r="I49" s="467"/>
      <c r="J49" s="467">
        <v>5028</v>
      </c>
      <c r="K49" s="1694">
        <f>SUM(C49:J49)</f>
        <v>2245562</v>
      </c>
      <c r="L49" s="481">
        <v>2742513</v>
      </c>
    </row>
    <row r="50" spans="1:14" x14ac:dyDescent="0.2">
      <c r="A50" s="1526" t="s">
        <v>871</v>
      </c>
      <c r="B50" s="615">
        <v>2320</v>
      </c>
      <c r="C50" s="466">
        <v>327538</v>
      </c>
      <c r="D50" s="466">
        <v>42205</v>
      </c>
      <c r="E50" s="466">
        <v>147045</v>
      </c>
      <c r="F50" s="466">
        <v>13428</v>
      </c>
      <c r="G50" s="466">
        <v>10560</v>
      </c>
      <c r="H50" s="466"/>
      <c r="I50" s="467"/>
      <c r="J50" s="467"/>
      <c r="K50" s="1694">
        <f>SUM(C50:J50)</f>
        <v>540776</v>
      </c>
      <c r="L50" s="466">
        <v>538540</v>
      </c>
    </row>
    <row r="51" spans="1:14" x14ac:dyDescent="0.2">
      <c r="A51" s="1526" t="s">
        <v>44</v>
      </c>
      <c r="B51" s="615">
        <v>2330</v>
      </c>
      <c r="C51" s="466">
        <v>367905</v>
      </c>
      <c r="D51" s="466">
        <v>105810</v>
      </c>
      <c r="E51" s="466"/>
      <c r="F51" s="466">
        <v>9874</v>
      </c>
      <c r="G51" s="466"/>
      <c r="H51" s="466"/>
      <c r="I51" s="467"/>
      <c r="J51" s="467"/>
      <c r="K51" s="1694">
        <f>SUM(C51:J51)</f>
        <v>483589</v>
      </c>
      <c r="L51" s="466">
        <v>0</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700443</v>
      </c>
      <c r="D53" s="1692">
        <f t="shared" ref="D53:L53" si="5">SUM(D49:D52)</f>
        <v>1810042</v>
      </c>
      <c r="E53" s="1692">
        <f t="shared" si="5"/>
        <v>689510</v>
      </c>
      <c r="F53" s="1692">
        <f t="shared" si="5"/>
        <v>24832</v>
      </c>
      <c r="G53" s="1692">
        <f t="shared" si="5"/>
        <v>10560</v>
      </c>
      <c r="H53" s="1692">
        <f t="shared" si="5"/>
        <v>29512</v>
      </c>
      <c r="I53" s="1692">
        <f t="shared" si="5"/>
        <v>0</v>
      </c>
      <c r="J53" s="1692">
        <f t="shared" si="5"/>
        <v>5028</v>
      </c>
      <c r="K53" s="1692">
        <f t="shared" si="5"/>
        <v>3269927</v>
      </c>
      <c r="L53" s="1692">
        <f t="shared" si="5"/>
        <v>3281053</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9850128</v>
      </c>
      <c r="D55" s="481">
        <v>2298774</v>
      </c>
      <c r="E55" s="481">
        <v>292913</v>
      </c>
      <c r="F55" s="481">
        <v>73782</v>
      </c>
      <c r="G55" s="481"/>
      <c r="H55" s="481"/>
      <c r="I55" s="467"/>
      <c r="J55" s="467">
        <v>26863</v>
      </c>
      <c r="K55" s="1694">
        <f>SUM(C55:J55)</f>
        <v>12542460</v>
      </c>
      <c r="L55" s="481">
        <v>13116327</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9850128</v>
      </c>
      <c r="D57" s="1696">
        <f t="shared" ref="D57:K57" si="6">SUM(D55:D56)</f>
        <v>2298774</v>
      </c>
      <c r="E57" s="1696">
        <f t="shared" si="6"/>
        <v>292913</v>
      </c>
      <c r="F57" s="1696">
        <f t="shared" si="6"/>
        <v>73782</v>
      </c>
      <c r="G57" s="1696">
        <f t="shared" si="6"/>
        <v>0</v>
      </c>
      <c r="H57" s="1696">
        <f t="shared" si="6"/>
        <v>0</v>
      </c>
      <c r="I57" s="1696">
        <f t="shared" si="6"/>
        <v>0</v>
      </c>
      <c r="J57" s="1696">
        <f t="shared" si="6"/>
        <v>26863</v>
      </c>
      <c r="K57" s="1696">
        <f t="shared" si="6"/>
        <v>12542460</v>
      </c>
      <c r="L57" s="1692">
        <f>SUM(L55:L56)</f>
        <v>13116327</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379754</v>
      </c>
      <c r="D59" s="481">
        <v>40406</v>
      </c>
      <c r="E59" s="481">
        <v>75918</v>
      </c>
      <c r="F59" s="481">
        <v>1238</v>
      </c>
      <c r="G59" s="481"/>
      <c r="H59" s="481"/>
      <c r="I59" s="467"/>
      <c r="J59" s="467">
        <v>7329</v>
      </c>
      <c r="K59" s="1694">
        <f t="shared" ref="K59:K64" si="7">SUM(C59:J59)</f>
        <v>504645</v>
      </c>
      <c r="L59" s="481">
        <v>492750</v>
      </c>
      <c r="M59" s="610"/>
      <c r="N59" s="610"/>
    </row>
    <row r="60" spans="1:14" s="343" customFormat="1" x14ac:dyDescent="0.2">
      <c r="A60" s="1526" t="s">
        <v>482</v>
      </c>
      <c r="B60" s="615">
        <v>2520</v>
      </c>
      <c r="C60" s="466">
        <v>559068</v>
      </c>
      <c r="D60" s="466">
        <v>159588</v>
      </c>
      <c r="E60" s="466">
        <v>115661</v>
      </c>
      <c r="F60" s="466">
        <v>3878</v>
      </c>
      <c r="G60" s="466"/>
      <c r="H60" s="466">
        <v>2668</v>
      </c>
      <c r="I60" s="467"/>
      <c r="J60" s="467"/>
      <c r="K60" s="1694">
        <f t="shared" si="7"/>
        <v>840863</v>
      </c>
      <c r="L60" s="466">
        <v>829025</v>
      </c>
      <c r="M60" s="610"/>
      <c r="N60" s="610"/>
    </row>
    <row r="61" spans="1:14" s="343" customFormat="1" x14ac:dyDescent="0.2">
      <c r="A61" s="1526" t="s">
        <v>206</v>
      </c>
      <c r="B61" s="615">
        <v>2540</v>
      </c>
      <c r="C61" s="466">
        <v>1444138</v>
      </c>
      <c r="D61" s="466">
        <v>365781</v>
      </c>
      <c r="E61" s="466">
        <v>61806</v>
      </c>
      <c r="F61" s="466">
        <v>42920</v>
      </c>
      <c r="G61" s="466"/>
      <c r="H61" s="466"/>
      <c r="I61" s="467">
        <v>6108</v>
      </c>
      <c r="J61" s="467">
        <v>333</v>
      </c>
      <c r="K61" s="1694">
        <f t="shared" si="7"/>
        <v>1921086</v>
      </c>
      <c r="L61" s="466">
        <v>1885880</v>
      </c>
      <c r="M61" s="610"/>
      <c r="N61" s="610"/>
    </row>
    <row r="62" spans="1:14" s="343" customFormat="1" x14ac:dyDescent="0.2">
      <c r="A62" s="1526" t="s">
        <v>1009</v>
      </c>
      <c r="B62" s="615">
        <v>2550</v>
      </c>
      <c r="C62" s="466"/>
      <c r="D62" s="466"/>
      <c r="E62" s="466">
        <v>57567</v>
      </c>
      <c r="F62" s="466"/>
      <c r="G62" s="466"/>
      <c r="H62" s="466"/>
      <c r="I62" s="467"/>
      <c r="J62" s="467"/>
      <c r="K62" s="1694">
        <f t="shared" si="7"/>
        <v>57567</v>
      </c>
      <c r="L62" s="466">
        <v>0</v>
      </c>
      <c r="M62" s="610"/>
      <c r="N62" s="610"/>
    </row>
    <row r="63" spans="1:14" s="610" customFormat="1" x14ac:dyDescent="0.2">
      <c r="A63" s="1526" t="s">
        <v>102</v>
      </c>
      <c r="B63" s="615">
        <v>2560</v>
      </c>
      <c r="C63" s="466">
        <v>2802615</v>
      </c>
      <c r="D63" s="466">
        <v>1086701</v>
      </c>
      <c r="E63" s="466">
        <v>366332</v>
      </c>
      <c r="F63" s="466">
        <f>18565+4212268-690188</f>
        <v>3540645</v>
      </c>
      <c r="G63" s="466">
        <v>118105</v>
      </c>
      <c r="H63" s="466">
        <v>2022</v>
      </c>
      <c r="I63" s="467">
        <v>99742</v>
      </c>
      <c r="J63" s="467">
        <v>14525</v>
      </c>
      <c r="K63" s="1694">
        <f t="shared" si="7"/>
        <v>8030687</v>
      </c>
      <c r="L63" s="466">
        <v>8203891</v>
      </c>
    </row>
    <row r="64" spans="1:14" s="610" customFormat="1" x14ac:dyDescent="0.2">
      <c r="A64" s="1531" t="s">
        <v>103</v>
      </c>
      <c r="B64" s="631">
        <v>2570</v>
      </c>
      <c r="C64" s="481">
        <v>144675</v>
      </c>
      <c r="D64" s="481">
        <v>44332</v>
      </c>
      <c r="E64" s="481">
        <v>95166</v>
      </c>
      <c r="F64" s="481">
        <v>31881</v>
      </c>
      <c r="G64" s="481">
        <v>7534</v>
      </c>
      <c r="H64" s="481">
        <v>-817</v>
      </c>
      <c r="I64" s="467">
        <v>7384</v>
      </c>
      <c r="J64" s="467"/>
      <c r="K64" s="1694">
        <f t="shared" si="7"/>
        <v>330155</v>
      </c>
      <c r="L64" s="481">
        <v>364800</v>
      </c>
    </row>
    <row r="65" spans="1:14" s="343" customFormat="1" ht="12.75" customHeight="1" thickBot="1" x14ac:dyDescent="0.25">
      <c r="A65" s="1690" t="s">
        <v>742</v>
      </c>
      <c r="B65" s="1691" t="s">
        <v>35</v>
      </c>
      <c r="C65" s="1692">
        <f>SUM(C59:C64)</f>
        <v>5330250</v>
      </c>
      <c r="D65" s="1692">
        <f t="shared" ref="D65:L65" si="8">SUM(D59:D64)</f>
        <v>1696808</v>
      </c>
      <c r="E65" s="1692">
        <f t="shared" si="8"/>
        <v>772450</v>
      </c>
      <c r="F65" s="1692">
        <f t="shared" si="8"/>
        <v>3620562</v>
      </c>
      <c r="G65" s="1692">
        <f t="shared" si="8"/>
        <v>125639</v>
      </c>
      <c r="H65" s="1692">
        <f t="shared" si="8"/>
        <v>3873</v>
      </c>
      <c r="I65" s="1692">
        <f t="shared" si="8"/>
        <v>113234</v>
      </c>
      <c r="J65" s="1692">
        <f t="shared" si="8"/>
        <v>22187</v>
      </c>
      <c r="K65" s="1692">
        <f t="shared" si="8"/>
        <v>11685003</v>
      </c>
      <c r="L65" s="1692">
        <f t="shared" si="8"/>
        <v>11776346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v>53176</v>
      </c>
      <c r="F68" s="466"/>
      <c r="G68" s="466"/>
      <c r="H68" s="466"/>
      <c r="I68" s="467"/>
      <c r="J68" s="467"/>
      <c r="K68" s="1694">
        <f>SUM(C68:J68)</f>
        <v>53176</v>
      </c>
      <c r="L68" s="466">
        <v>0</v>
      </c>
      <c r="M68" s="610"/>
      <c r="N68" s="610"/>
    </row>
    <row r="69" spans="1:14" s="343" customFormat="1" x14ac:dyDescent="0.2">
      <c r="A69" s="1526" t="s">
        <v>1120</v>
      </c>
      <c r="B69" s="615">
        <v>2630</v>
      </c>
      <c r="C69" s="466">
        <v>483886</v>
      </c>
      <c r="D69" s="466">
        <v>160615</v>
      </c>
      <c r="E69" s="466">
        <v>549150</v>
      </c>
      <c r="F69" s="466">
        <v>199457</v>
      </c>
      <c r="G69" s="466">
        <v>7145</v>
      </c>
      <c r="H69" s="466"/>
      <c r="I69" s="467">
        <v>1945</v>
      </c>
      <c r="J69" s="467"/>
      <c r="K69" s="1694">
        <f>SUM(C69:J69)</f>
        <v>1402198</v>
      </c>
      <c r="L69" s="466">
        <v>1422890</v>
      </c>
      <c r="M69" s="610"/>
      <c r="N69" s="610"/>
    </row>
    <row r="70" spans="1:14" s="343" customFormat="1" x14ac:dyDescent="0.2">
      <c r="A70" s="1526" t="s">
        <v>422</v>
      </c>
      <c r="B70" s="615">
        <v>2640</v>
      </c>
      <c r="C70" s="466">
        <v>632029</v>
      </c>
      <c r="D70" s="466">
        <v>1275957</v>
      </c>
      <c r="E70" s="466">
        <v>2038191</v>
      </c>
      <c r="F70" s="466">
        <v>37883</v>
      </c>
      <c r="G70" s="466"/>
      <c r="H70" s="466"/>
      <c r="I70" s="467">
        <v>530</v>
      </c>
      <c r="J70" s="467"/>
      <c r="K70" s="1694">
        <f>SUM(C70:J70)</f>
        <v>3984590</v>
      </c>
      <c r="L70" s="466">
        <v>4349611</v>
      </c>
      <c r="M70" s="610"/>
      <c r="N70" s="610"/>
    </row>
    <row r="71" spans="1:14" s="343" customFormat="1" x14ac:dyDescent="0.2">
      <c r="A71" s="1526" t="s">
        <v>423</v>
      </c>
      <c r="B71" s="615">
        <v>2660</v>
      </c>
      <c r="C71" s="466">
        <v>2548580</v>
      </c>
      <c r="D71" s="466">
        <v>426333</v>
      </c>
      <c r="E71" s="466">
        <v>978133</v>
      </c>
      <c r="F71" s="466">
        <v>144210</v>
      </c>
      <c r="G71" s="466"/>
      <c r="H71" s="466"/>
      <c r="I71" s="467">
        <v>29047</v>
      </c>
      <c r="J71" s="467"/>
      <c r="K71" s="1694">
        <f>SUM(C71:J71)</f>
        <v>4126303</v>
      </c>
      <c r="L71" s="466">
        <v>4583297</v>
      </c>
      <c r="M71" s="610"/>
      <c r="N71" s="610"/>
    </row>
    <row r="72" spans="1:14" s="343" customFormat="1" ht="12.75" customHeight="1" thickBot="1" x14ac:dyDescent="0.25">
      <c r="A72" s="1690" t="s">
        <v>37</v>
      </c>
      <c r="B72" s="1697" t="s">
        <v>36</v>
      </c>
      <c r="C72" s="1692">
        <f>SUM(C67:C71)</f>
        <v>3664495</v>
      </c>
      <c r="D72" s="1692">
        <f t="shared" ref="D72:K72" si="9">SUM(D67:D71)</f>
        <v>1862905</v>
      </c>
      <c r="E72" s="1692">
        <f t="shared" si="9"/>
        <v>3618650</v>
      </c>
      <c r="F72" s="1692">
        <f t="shared" si="9"/>
        <v>381550</v>
      </c>
      <c r="G72" s="1692">
        <f t="shared" si="9"/>
        <v>7145</v>
      </c>
      <c r="H72" s="1692">
        <f t="shared" si="9"/>
        <v>0</v>
      </c>
      <c r="I72" s="1692">
        <f t="shared" si="9"/>
        <v>31522</v>
      </c>
      <c r="J72" s="1692">
        <f t="shared" si="9"/>
        <v>0</v>
      </c>
      <c r="K72" s="1692">
        <f t="shared" si="9"/>
        <v>9566267</v>
      </c>
      <c r="L72" s="1692">
        <f>SUM(L67:L71)</f>
        <v>10355798</v>
      </c>
      <c r="M72" s="610"/>
      <c r="N72" s="610"/>
    </row>
    <row r="73" spans="1:14" s="343" customFormat="1" ht="14.25" thickTop="1" thickBot="1" x14ac:dyDescent="0.25">
      <c r="A73" s="1532" t="s">
        <v>1036</v>
      </c>
      <c r="B73" s="633" t="s">
        <v>594</v>
      </c>
      <c r="C73" s="573"/>
      <c r="D73" s="573"/>
      <c r="E73" s="573">
        <v>4844</v>
      </c>
      <c r="F73" s="573">
        <v>3159</v>
      </c>
      <c r="G73" s="573"/>
      <c r="H73" s="573"/>
      <c r="I73" s="531"/>
      <c r="J73" s="531"/>
      <c r="K73" s="1692">
        <f>SUM(C73:J73)</f>
        <v>8003</v>
      </c>
      <c r="L73" s="576">
        <v>46250</v>
      </c>
      <c r="M73" s="610"/>
      <c r="N73" s="610"/>
    </row>
    <row r="74" spans="1:14" ht="12.75" customHeight="1" thickTop="1" thickBot="1" x14ac:dyDescent="0.25">
      <c r="A74" s="1690" t="s">
        <v>864</v>
      </c>
      <c r="B74" s="1698">
        <v>2000</v>
      </c>
      <c r="C74" s="1699">
        <f>SUM(C42,C47,C53,C57,C65,C72,C73)</f>
        <v>34599154</v>
      </c>
      <c r="D74" s="1699">
        <f t="shared" ref="D74:K74" si="10">SUM(D42,D47,D53,D57,D65,D72,D73)</f>
        <v>10009132</v>
      </c>
      <c r="E74" s="1699">
        <f t="shared" si="10"/>
        <v>7371425</v>
      </c>
      <c r="F74" s="1699">
        <f t="shared" si="10"/>
        <v>4785474</v>
      </c>
      <c r="G74" s="1699">
        <f t="shared" si="10"/>
        <v>153194</v>
      </c>
      <c r="H74" s="1699">
        <f t="shared" si="10"/>
        <v>37412</v>
      </c>
      <c r="I74" s="1699">
        <f t="shared" si="10"/>
        <v>153153</v>
      </c>
      <c r="J74" s="1699">
        <f t="shared" si="10"/>
        <v>54078</v>
      </c>
      <c r="K74" s="1699">
        <f t="shared" si="10"/>
        <v>57163022</v>
      </c>
      <c r="L74" s="1699">
        <f>SUM(L42,L47,L53,L57,L65,L72,L73)</f>
        <v>59612243</v>
      </c>
    </row>
    <row r="75" spans="1:14" s="259" customFormat="1" ht="15.75" customHeight="1" thickTop="1" thickBot="1" x14ac:dyDescent="0.25">
      <c r="A75" s="1632" t="s">
        <v>49</v>
      </c>
      <c r="B75" s="1633" t="s">
        <v>595</v>
      </c>
      <c r="C75" s="573">
        <v>163018</v>
      </c>
      <c r="D75" s="573">
        <v>58880</v>
      </c>
      <c r="E75" s="573">
        <v>34125</v>
      </c>
      <c r="F75" s="573">
        <v>73432</v>
      </c>
      <c r="G75" s="573"/>
      <c r="H75" s="573"/>
      <c r="I75" s="531"/>
      <c r="J75" s="531"/>
      <c r="K75" s="1692">
        <f>SUM(C75:J75)</f>
        <v>329455</v>
      </c>
      <c r="L75" s="576">
        <v>257127</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134823484</v>
      </c>
      <c r="D114" s="1692">
        <f t="shared" ref="D114:K114" si="13">SUM(D33,D74,D75,D102,D112,D113)</f>
        <v>29683258</v>
      </c>
      <c r="E114" s="1692">
        <f t="shared" si="13"/>
        <v>12234728</v>
      </c>
      <c r="F114" s="1692">
        <f t="shared" si="13"/>
        <v>6856703</v>
      </c>
      <c r="G114" s="1692">
        <f t="shared" si="13"/>
        <v>297469</v>
      </c>
      <c r="H114" s="1692">
        <f>SUM(H33,H74,H75,H102,H112,H113)</f>
        <v>7801294</v>
      </c>
      <c r="I114" s="1692">
        <f t="shared" si="13"/>
        <v>378037</v>
      </c>
      <c r="J114" s="1692">
        <f t="shared" si="13"/>
        <v>100119</v>
      </c>
      <c r="K114" s="1692">
        <f t="shared" si="13"/>
        <v>192175092</v>
      </c>
      <c r="L114" s="1692">
        <f>SUM(L33,L74,L75,L102,L112,L113)</f>
        <v>196777318</v>
      </c>
    </row>
    <row r="115" spans="1:14" ht="13.5" thickTop="1" x14ac:dyDescent="0.2">
      <c r="A115" s="2186" t="s">
        <v>1052</v>
      </c>
      <c r="B115" s="2187"/>
      <c r="C115" s="619"/>
      <c r="D115" s="619"/>
      <c r="E115" s="619"/>
      <c r="F115" s="619"/>
      <c r="G115" s="619"/>
      <c r="H115" s="619"/>
      <c r="I115" s="619"/>
      <c r="J115" s="619"/>
      <c r="K115" s="1706">
        <f>'Revenues 9-14'!C275-'Expenditures 15-22'!K114</f>
        <v>10635322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1" t="s">
        <v>313</v>
      </c>
      <c r="B117" s="2192"/>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v>43</v>
      </c>
      <c r="K122" s="1692">
        <f>SUM(C122:J122)</f>
        <v>43</v>
      </c>
      <c r="L122" s="466">
        <v>0</v>
      </c>
    </row>
    <row r="123" spans="1:14" ht="14.25" thickTop="1" thickBot="1" x14ac:dyDescent="0.25">
      <c r="A123" s="1526" t="s">
        <v>4</v>
      </c>
      <c r="B123" s="615">
        <v>2530</v>
      </c>
      <c r="C123" s="466">
        <v>55148</v>
      </c>
      <c r="D123" s="466"/>
      <c r="E123" s="466">
        <v>144664</v>
      </c>
      <c r="F123" s="466"/>
      <c r="G123" s="466">
        <v>2333553</v>
      </c>
      <c r="H123" s="466"/>
      <c r="I123" s="467">
        <v>888429</v>
      </c>
      <c r="J123" s="467"/>
      <c r="K123" s="1692">
        <f>SUM(C123:J123)</f>
        <v>3421794</v>
      </c>
      <c r="L123" s="466">
        <v>0</v>
      </c>
    </row>
    <row r="124" spans="1:14" ht="14.25" thickTop="1" thickBot="1" x14ac:dyDescent="0.25">
      <c r="A124" s="1526" t="s">
        <v>206</v>
      </c>
      <c r="B124" s="615">
        <v>2540</v>
      </c>
      <c r="C124" s="466">
        <v>5144328</v>
      </c>
      <c r="D124" s="466">
        <v>983367</v>
      </c>
      <c r="E124" s="466">
        <v>5735422</v>
      </c>
      <c r="F124" s="466">
        <v>3171635</v>
      </c>
      <c r="G124" s="466">
        <v>183173</v>
      </c>
      <c r="H124" s="466"/>
      <c r="I124" s="467">
        <v>29990</v>
      </c>
      <c r="J124" s="467"/>
      <c r="K124" s="1692">
        <f>SUM(C124:J124)</f>
        <v>15247915</v>
      </c>
      <c r="L124" s="466">
        <v>18118662</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5199476</v>
      </c>
      <c r="D127" s="1692">
        <f t="shared" ref="D127:L127" si="14">SUM(D122:D126)</f>
        <v>983367</v>
      </c>
      <c r="E127" s="1692">
        <f t="shared" si="14"/>
        <v>5880086</v>
      </c>
      <c r="F127" s="1692">
        <f t="shared" si="14"/>
        <v>3171635</v>
      </c>
      <c r="G127" s="1692">
        <f t="shared" si="14"/>
        <v>2516726</v>
      </c>
      <c r="H127" s="1692">
        <f t="shared" si="14"/>
        <v>0</v>
      </c>
      <c r="I127" s="1692">
        <f t="shared" si="14"/>
        <v>918419</v>
      </c>
      <c r="J127" s="1692">
        <f t="shared" si="14"/>
        <v>43</v>
      </c>
      <c r="K127" s="1692">
        <f t="shared" si="14"/>
        <v>18669752</v>
      </c>
      <c r="L127" s="1692">
        <f t="shared" si="14"/>
        <v>18118662</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5199476</v>
      </c>
      <c r="D129" s="1699">
        <f t="shared" ref="D129:L129" si="15">SUM(D120,D127,D128)</f>
        <v>983367</v>
      </c>
      <c r="E129" s="1699">
        <f t="shared" si="15"/>
        <v>5880086</v>
      </c>
      <c r="F129" s="1699">
        <f t="shared" si="15"/>
        <v>3171635</v>
      </c>
      <c r="G129" s="1699">
        <f t="shared" si="15"/>
        <v>2516726</v>
      </c>
      <c r="H129" s="1699">
        <f t="shared" si="15"/>
        <v>0</v>
      </c>
      <c r="I129" s="1699">
        <f t="shared" si="15"/>
        <v>918419</v>
      </c>
      <c r="J129" s="1699">
        <f t="shared" si="15"/>
        <v>43</v>
      </c>
      <c r="K129" s="1699">
        <f t="shared" si="15"/>
        <v>18669752</v>
      </c>
      <c r="L129" s="1699">
        <f t="shared" si="15"/>
        <v>18118662</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1954</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203" t="s">
        <v>640</v>
      </c>
      <c r="B151" s="2183"/>
      <c r="C151" s="1692">
        <f>SUM(C129,C130,C139,C149,C150)</f>
        <v>5199476</v>
      </c>
      <c r="D151" s="1692">
        <f t="shared" ref="D151:K151" si="16">SUM(D129,D130,D139,D149,D150)</f>
        <v>983367</v>
      </c>
      <c r="E151" s="1692">
        <f t="shared" si="16"/>
        <v>5880086</v>
      </c>
      <c r="F151" s="1692">
        <f t="shared" si="16"/>
        <v>3171635</v>
      </c>
      <c r="G151" s="1692">
        <f t="shared" si="16"/>
        <v>2516726</v>
      </c>
      <c r="H151" s="1692">
        <f t="shared" si="16"/>
        <v>0</v>
      </c>
      <c r="I151" s="1692">
        <f t="shared" si="16"/>
        <v>918419</v>
      </c>
      <c r="J151" s="1692">
        <f t="shared" si="16"/>
        <v>43</v>
      </c>
      <c r="K151" s="1692">
        <f t="shared" si="16"/>
        <v>18669752</v>
      </c>
      <c r="L151" s="1692">
        <f>SUM(L129,L130,L139,L149,L150)</f>
        <v>18118662</v>
      </c>
    </row>
    <row r="152" spans="1:14" ht="12.75" customHeight="1" thickTop="1" x14ac:dyDescent="0.2">
      <c r="A152" s="2206" t="s">
        <v>1239</v>
      </c>
      <c r="B152" s="2207"/>
      <c r="C152" s="619"/>
      <c r="D152" s="619"/>
      <c r="E152" s="619"/>
      <c r="F152" s="619"/>
      <c r="G152" s="619"/>
      <c r="H152" s="619"/>
      <c r="I152" s="619"/>
      <c r="J152" s="617"/>
      <c r="K152" s="1706">
        <f>'Revenues 9-14'!D275-'Expenditures 15-22'!K151</f>
        <v>-763718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1" t="s">
        <v>641</v>
      </c>
      <c r="B154" s="219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4878777</v>
      </c>
      <c r="I169" s="617"/>
      <c r="J169" s="617"/>
      <c r="K169" s="1693">
        <f>SUM(C169:H169)</f>
        <v>4878777</v>
      </c>
      <c r="L169" s="657">
        <v>19662075</v>
      </c>
    </row>
    <row r="170" spans="1:14" ht="33.75" customHeight="1" x14ac:dyDescent="0.2">
      <c r="A170" s="670" t="s">
        <v>1768</v>
      </c>
      <c r="B170" s="672" t="s">
        <v>31</v>
      </c>
      <c r="C170" s="617"/>
      <c r="D170" s="617"/>
      <c r="E170" s="617"/>
      <c r="F170" s="617"/>
      <c r="G170" s="617"/>
      <c r="H170" s="569">
        <v>28267842</v>
      </c>
      <c r="I170" s="617"/>
      <c r="J170" s="617"/>
      <c r="K170" s="1693">
        <f>SUM(C170:J170)</f>
        <v>28267842</v>
      </c>
      <c r="L170" s="569">
        <v>13489500</v>
      </c>
    </row>
    <row r="171" spans="1:14" ht="15.75" customHeight="1" x14ac:dyDescent="0.2">
      <c r="A171" s="622" t="s">
        <v>789</v>
      </c>
      <c r="B171" s="673" t="s">
        <v>86</v>
      </c>
      <c r="C171" s="617"/>
      <c r="D171" s="617"/>
      <c r="E171" s="466"/>
      <c r="F171" s="617"/>
      <c r="G171" s="617"/>
      <c r="H171" s="569">
        <v>32434</v>
      </c>
      <c r="I171" s="477"/>
      <c r="J171" s="617"/>
      <c r="K171" s="1693">
        <f>SUM(C171:J171)</f>
        <v>32434</v>
      </c>
      <c r="L171" s="569">
        <v>3000</v>
      </c>
    </row>
    <row r="172" spans="1:14" ht="12.75" customHeight="1" thickBot="1" x14ac:dyDescent="0.25">
      <c r="A172" s="1690" t="s">
        <v>658</v>
      </c>
      <c r="B172" s="1691" t="s">
        <v>512</v>
      </c>
      <c r="C172" s="617"/>
      <c r="D172" s="617"/>
      <c r="E172" s="1699">
        <f>SUM(E168,E169,E170,E171)</f>
        <v>0</v>
      </c>
      <c r="F172" s="617"/>
      <c r="G172" s="617"/>
      <c r="H172" s="1699">
        <f>SUM(H168,H169,H170,H171)</f>
        <v>33179053</v>
      </c>
      <c r="I172" s="639"/>
      <c r="J172" s="617"/>
      <c r="K172" s="1699">
        <f>SUM(K168,K169,K170,K171)</f>
        <v>33179053</v>
      </c>
      <c r="L172" s="1699">
        <f>SUM(L168,L169,L170,L171)</f>
        <v>33154575</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33179053</v>
      </c>
      <c r="I174" s="639"/>
      <c r="J174" s="617"/>
      <c r="K174" s="1699">
        <f>SUM(K160,K172,K173)</f>
        <v>33179053</v>
      </c>
      <c r="L174" s="1699">
        <f>SUM(L160,L172,L173)</f>
        <v>33154575</v>
      </c>
    </row>
    <row r="175" spans="1:14" ht="13.5" thickTop="1" x14ac:dyDescent="0.2">
      <c r="A175" s="2186" t="s">
        <v>1052</v>
      </c>
      <c r="B175" s="2187"/>
      <c r="C175" s="617"/>
      <c r="D175" s="617"/>
      <c r="E175" s="617"/>
      <c r="F175" s="617"/>
      <c r="G175" s="617"/>
      <c r="H175" s="619"/>
      <c r="I175" s="617"/>
      <c r="J175" s="617"/>
      <c r="K175" s="1706">
        <f>'Revenues 9-14'!E275-'Expenditures 15-22'!K174</f>
        <v>-2095534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7411679</v>
      </c>
      <c r="D182" s="466">
        <v>1512134</v>
      </c>
      <c r="E182" s="466">
        <v>3697616</v>
      </c>
      <c r="F182" s="466">
        <v>1063978</v>
      </c>
      <c r="G182" s="466">
        <v>26169</v>
      </c>
      <c r="H182" s="466"/>
      <c r="I182" s="467">
        <v>10913</v>
      </c>
      <c r="J182" s="467">
        <v>12795</v>
      </c>
      <c r="K182" s="1693">
        <f>SUM(C182:J182)</f>
        <v>13735284</v>
      </c>
      <c r="L182" s="466">
        <v>13461470</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7411679</v>
      </c>
      <c r="D184" s="1699">
        <f t="shared" ref="D184:J184" si="17">SUM(D180,D182,D183)</f>
        <v>1512134</v>
      </c>
      <c r="E184" s="1699">
        <f t="shared" si="17"/>
        <v>3697616</v>
      </c>
      <c r="F184" s="1699">
        <f t="shared" si="17"/>
        <v>1063978</v>
      </c>
      <c r="G184" s="1699">
        <f t="shared" si="17"/>
        <v>26169</v>
      </c>
      <c r="H184" s="1699">
        <f t="shared" si="17"/>
        <v>0</v>
      </c>
      <c r="I184" s="1699">
        <f t="shared" si="17"/>
        <v>10913</v>
      </c>
      <c r="J184" s="1699">
        <f t="shared" si="17"/>
        <v>12795</v>
      </c>
      <c r="K184" s="1699">
        <f>SUM(K180,K182,K183)</f>
        <v>13735284</v>
      </c>
      <c r="L184" s="1699">
        <f>SUM(L180, L182:L183)</f>
        <v>13461470</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7411679</v>
      </c>
      <c r="D210" s="1692">
        <f>SUM(D184,D185)</f>
        <v>1512134</v>
      </c>
      <c r="E210" s="1692">
        <f>SUM(E184,E185,E196)</f>
        <v>3697616</v>
      </c>
      <c r="F210" s="1692">
        <f>SUM(F184,F185)</f>
        <v>1063978</v>
      </c>
      <c r="G210" s="1692">
        <f>SUM(G184,G185)</f>
        <v>26169</v>
      </c>
      <c r="H210" s="1692">
        <f>SUM(H184,H185,H196,H208,H209)</f>
        <v>0</v>
      </c>
      <c r="I210" s="1692">
        <f>SUM(I184,I185)</f>
        <v>10913</v>
      </c>
      <c r="J210" s="1692">
        <f>SUM(J184,J185)</f>
        <v>12795</v>
      </c>
      <c r="K210" s="1693">
        <f>SUM(K184,K185,K196,K208,K209)</f>
        <v>13735284</v>
      </c>
      <c r="L210" s="1692">
        <f>SUM(L184,L185,L196,L208,L209)</f>
        <v>13461470</v>
      </c>
    </row>
    <row r="211" spans="1:14" ht="13.5" thickTop="1" x14ac:dyDescent="0.2">
      <c r="A211" s="2186" t="s">
        <v>1052</v>
      </c>
      <c r="B211" s="2187"/>
      <c r="C211" s="619"/>
      <c r="D211" s="619"/>
      <c r="E211" s="619"/>
      <c r="F211" s="619"/>
      <c r="G211" s="619"/>
      <c r="H211" s="619"/>
      <c r="I211" s="617"/>
      <c r="J211" s="617"/>
      <c r="K211" s="1706">
        <f>'Revenues 9-14'!F275-'Expenditures 15-22'!K210</f>
        <v>370001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8" t="s">
        <v>1021</v>
      </c>
      <c r="B213" s="2209"/>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1047789</v>
      </c>
      <c r="E215" s="617"/>
      <c r="F215" s="617"/>
      <c r="G215" s="617"/>
      <c r="H215" s="617"/>
      <c r="I215" s="617"/>
      <c r="J215" s="617"/>
      <c r="K215" s="1693">
        <f>D215</f>
        <v>1047789</v>
      </c>
      <c r="L215" s="466">
        <v>1109300</v>
      </c>
    </row>
    <row r="216" spans="1:14" x14ac:dyDescent="0.2">
      <c r="A216" s="1526" t="s">
        <v>165</v>
      </c>
      <c r="B216" s="615" t="s">
        <v>1023</v>
      </c>
      <c r="C216" s="617"/>
      <c r="D216" s="467">
        <v>58398</v>
      </c>
      <c r="E216" s="617"/>
      <c r="F216" s="617"/>
      <c r="G216" s="617"/>
      <c r="H216" s="617"/>
      <c r="I216" s="617"/>
      <c r="J216" s="617"/>
      <c r="K216" s="1693">
        <f t="shared" ref="K216:K228" si="19">D216</f>
        <v>58398</v>
      </c>
      <c r="L216" s="466">
        <v>92300</v>
      </c>
    </row>
    <row r="217" spans="1:14" x14ac:dyDescent="0.2">
      <c r="A217" s="1526" t="s">
        <v>166</v>
      </c>
      <c r="B217" s="615">
        <v>1200</v>
      </c>
      <c r="C217" s="617"/>
      <c r="D217" s="466">
        <v>968763</v>
      </c>
      <c r="E217" s="617"/>
      <c r="F217" s="617"/>
      <c r="G217" s="617"/>
      <c r="H217" s="617"/>
      <c r="I217" s="617"/>
      <c r="J217" s="617"/>
      <c r="K217" s="1693">
        <f t="shared" si="19"/>
        <v>968763</v>
      </c>
      <c r="L217" s="466">
        <v>963400</v>
      </c>
    </row>
    <row r="218" spans="1:14" x14ac:dyDescent="0.2">
      <c r="A218" s="1526" t="s">
        <v>295</v>
      </c>
      <c r="B218" s="615" t="s">
        <v>1024</v>
      </c>
      <c r="C218" s="617"/>
      <c r="D218" s="467">
        <v>22617</v>
      </c>
      <c r="E218" s="617"/>
      <c r="F218" s="617"/>
      <c r="G218" s="617"/>
      <c r="H218" s="617"/>
      <c r="I218" s="617"/>
      <c r="J218" s="617"/>
      <c r="K218" s="1693">
        <f t="shared" si="19"/>
        <v>22617</v>
      </c>
      <c r="L218" s="466">
        <v>117200</v>
      </c>
    </row>
    <row r="219" spans="1:14" x14ac:dyDescent="0.2">
      <c r="A219" s="1526" t="s">
        <v>296</v>
      </c>
      <c r="B219" s="615">
        <v>1250</v>
      </c>
      <c r="C219" s="617"/>
      <c r="D219" s="466">
        <v>12100</v>
      </c>
      <c r="E219" s="617"/>
      <c r="F219" s="617"/>
      <c r="G219" s="617"/>
      <c r="H219" s="617"/>
      <c r="I219" s="617"/>
      <c r="J219" s="617"/>
      <c r="K219" s="1693">
        <f t="shared" si="19"/>
        <v>12100</v>
      </c>
      <c r="L219" s="466">
        <v>6300</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123449</v>
      </c>
      <c r="E223" s="617"/>
      <c r="F223" s="617"/>
      <c r="G223" s="617"/>
      <c r="H223" s="617"/>
      <c r="I223" s="617"/>
      <c r="J223" s="617"/>
      <c r="K223" s="1693">
        <f t="shared" si="19"/>
        <v>123449</v>
      </c>
      <c r="L223" s="466">
        <v>129600</v>
      </c>
    </row>
    <row r="224" spans="1:14" x14ac:dyDescent="0.2">
      <c r="A224" s="1526" t="s">
        <v>1020</v>
      </c>
      <c r="B224" s="615">
        <v>1600</v>
      </c>
      <c r="C224" s="617"/>
      <c r="D224" s="466">
        <v>73155</v>
      </c>
      <c r="E224" s="617"/>
      <c r="F224" s="617"/>
      <c r="G224" s="617"/>
      <c r="H224" s="617"/>
      <c r="I224" s="617"/>
      <c r="J224" s="617"/>
      <c r="K224" s="1693">
        <f t="shared" si="19"/>
        <v>73155</v>
      </c>
      <c r="L224" s="466">
        <v>82000</v>
      </c>
    </row>
    <row r="225" spans="1:12" x14ac:dyDescent="0.2">
      <c r="A225" s="1526" t="s">
        <v>1043</v>
      </c>
      <c r="B225" s="615">
        <v>1650</v>
      </c>
      <c r="C225" s="617"/>
      <c r="D225" s="466">
        <v>9460</v>
      </c>
      <c r="E225" s="617"/>
      <c r="F225" s="617"/>
      <c r="G225" s="617"/>
      <c r="H225" s="617"/>
      <c r="I225" s="617"/>
      <c r="J225" s="617"/>
      <c r="K225" s="1693">
        <f t="shared" si="19"/>
        <v>9460</v>
      </c>
      <c r="L225" s="466">
        <v>18600</v>
      </c>
    </row>
    <row r="226" spans="1:12" x14ac:dyDescent="0.2">
      <c r="A226" s="1526" t="s">
        <v>747</v>
      </c>
      <c r="B226" s="615" t="s">
        <v>164</v>
      </c>
      <c r="C226" s="617"/>
      <c r="D226" s="467">
        <v>7418</v>
      </c>
      <c r="E226" s="617"/>
      <c r="F226" s="617"/>
      <c r="G226" s="617"/>
      <c r="H226" s="617"/>
      <c r="I226" s="617"/>
      <c r="J226" s="617"/>
      <c r="K226" s="1693">
        <f t="shared" si="19"/>
        <v>7418</v>
      </c>
      <c r="L226" s="466"/>
    </row>
    <row r="227" spans="1:12" x14ac:dyDescent="0.2">
      <c r="A227" s="1526" t="s">
        <v>1147</v>
      </c>
      <c r="B227" s="615">
        <v>1800</v>
      </c>
      <c r="C227" s="617"/>
      <c r="D227" s="466">
        <v>79011</v>
      </c>
      <c r="E227" s="617"/>
      <c r="F227" s="617"/>
      <c r="G227" s="617"/>
      <c r="H227" s="617"/>
      <c r="I227" s="617"/>
      <c r="J227" s="617"/>
      <c r="K227" s="1693">
        <f t="shared" si="19"/>
        <v>79011</v>
      </c>
      <c r="L227" s="466">
        <v>82200</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2402160</v>
      </c>
      <c r="E229" s="617"/>
      <c r="F229" s="617"/>
      <c r="G229" s="617"/>
      <c r="H229" s="617"/>
      <c r="I229" s="617"/>
      <c r="J229" s="617"/>
      <c r="K229" s="1692">
        <f>SUM(K215:K228)</f>
        <v>2402160</v>
      </c>
      <c r="L229" s="1692">
        <f>SUM(L215:L228)</f>
        <v>2600900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82009</v>
      </c>
      <c r="E232" s="617"/>
      <c r="F232" s="617"/>
      <c r="G232" s="617"/>
      <c r="H232" s="617"/>
      <c r="I232" s="617"/>
      <c r="J232" s="617"/>
      <c r="K232" s="1693">
        <f t="shared" ref="K232:K237" si="20">D232</f>
        <v>82009</v>
      </c>
      <c r="L232" s="466">
        <v>108700</v>
      </c>
    </row>
    <row r="233" spans="1:12" x14ac:dyDescent="0.2">
      <c r="A233" s="1526" t="s">
        <v>1150</v>
      </c>
      <c r="B233" s="615">
        <v>2120</v>
      </c>
      <c r="C233" s="617"/>
      <c r="D233" s="466">
        <v>34683</v>
      </c>
      <c r="E233" s="617"/>
      <c r="F233" s="617"/>
      <c r="G233" s="617"/>
      <c r="H233" s="617"/>
      <c r="I233" s="617"/>
      <c r="J233" s="617"/>
      <c r="K233" s="1693">
        <f t="shared" si="20"/>
        <v>34683</v>
      </c>
      <c r="L233" s="466">
        <v>12500</v>
      </c>
    </row>
    <row r="234" spans="1:12" x14ac:dyDescent="0.2">
      <c r="A234" s="1526" t="s">
        <v>207</v>
      </c>
      <c r="B234" s="615">
        <v>2130</v>
      </c>
      <c r="C234" s="617"/>
      <c r="D234" s="466">
        <v>90410</v>
      </c>
      <c r="E234" s="617"/>
      <c r="F234" s="617"/>
      <c r="G234" s="617"/>
      <c r="H234" s="617"/>
      <c r="I234" s="617"/>
      <c r="J234" s="617"/>
      <c r="K234" s="1693">
        <f t="shared" si="20"/>
        <v>90410</v>
      </c>
      <c r="L234" s="466">
        <v>100500</v>
      </c>
    </row>
    <row r="235" spans="1:12" x14ac:dyDescent="0.2">
      <c r="A235" s="1526" t="s">
        <v>208</v>
      </c>
      <c r="B235" s="615">
        <v>2140</v>
      </c>
      <c r="C235" s="617"/>
      <c r="D235" s="466">
        <v>24910</v>
      </c>
      <c r="E235" s="617"/>
      <c r="F235" s="617"/>
      <c r="G235" s="617"/>
      <c r="H235" s="617"/>
      <c r="I235" s="617"/>
      <c r="J235" s="617"/>
      <c r="K235" s="1693">
        <f t="shared" si="20"/>
        <v>24910</v>
      </c>
      <c r="L235" s="466">
        <v>25100</v>
      </c>
    </row>
    <row r="236" spans="1:12" x14ac:dyDescent="0.2">
      <c r="A236" s="1526" t="s">
        <v>209</v>
      </c>
      <c r="B236" s="615">
        <v>2150</v>
      </c>
      <c r="C236" s="617"/>
      <c r="D236" s="466">
        <v>30836</v>
      </c>
      <c r="E236" s="617"/>
      <c r="F236" s="617"/>
      <c r="G236" s="617"/>
      <c r="H236" s="617"/>
      <c r="I236" s="617"/>
      <c r="J236" s="617"/>
      <c r="K236" s="1693">
        <f t="shared" si="20"/>
        <v>30836</v>
      </c>
      <c r="L236" s="466">
        <v>30100</v>
      </c>
    </row>
    <row r="237" spans="1:12" x14ac:dyDescent="0.2">
      <c r="A237" s="1526" t="s">
        <v>167</v>
      </c>
      <c r="B237" s="615">
        <v>2190</v>
      </c>
      <c r="C237" s="617"/>
      <c r="D237" s="466">
        <v>9399</v>
      </c>
      <c r="E237" s="617"/>
      <c r="F237" s="617"/>
      <c r="G237" s="617"/>
      <c r="H237" s="617"/>
      <c r="I237" s="617"/>
      <c r="J237" s="617"/>
      <c r="K237" s="1693">
        <f t="shared" si="20"/>
        <v>9399</v>
      </c>
      <c r="L237" s="466">
        <v>4200</v>
      </c>
    </row>
    <row r="238" spans="1:12" ht="12.75" customHeight="1" thickBot="1" x14ac:dyDescent="0.25">
      <c r="A238" s="1690" t="s">
        <v>580</v>
      </c>
      <c r="B238" s="1697" t="s">
        <v>739</v>
      </c>
      <c r="C238" s="617"/>
      <c r="D238" s="1692">
        <f>SUM(D232:D237)</f>
        <v>272247</v>
      </c>
      <c r="E238" s="617"/>
      <c r="F238" s="617"/>
      <c r="G238" s="617"/>
      <c r="H238" s="617"/>
      <c r="I238" s="617"/>
      <c r="J238" s="617"/>
      <c r="K238" s="1692">
        <f>SUM(K232:K237)</f>
        <v>272247</v>
      </c>
      <c r="L238" s="1692">
        <f>SUM(L232:L237)</f>
        <v>281100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73174</v>
      </c>
      <c r="E240" s="617"/>
      <c r="F240" s="617"/>
      <c r="G240" s="617"/>
      <c r="H240" s="617"/>
      <c r="I240" s="617"/>
      <c r="J240" s="617"/>
      <c r="K240" s="1694">
        <f>D240</f>
        <v>73174</v>
      </c>
      <c r="L240" s="481">
        <v>83300</v>
      </c>
    </row>
    <row r="241" spans="1:12" x14ac:dyDescent="0.2">
      <c r="A241" s="1526" t="s">
        <v>868</v>
      </c>
      <c r="B241" s="615">
        <v>2220</v>
      </c>
      <c r="C241" s="617"/>
      <c r="D241" s="466">
        <v>25415</v>
      </c>
      <c r="E241" s="617"/>
      <c r="F241" s="617"/>
      <c r="G241" s="617"/>
      <c r="H241" s="617"/>
      <c r="I241" s="617"/>
      <c r="J241" s="617"/>
      <c r="K241" s="1694">
        <f>D241</f>
        <v>25415</v>
      </c>
      <c r="L241" s="466">
        <v>26100</v>
      </c>
    </row>
    <row r="242" spans="1:12" x14ac:dyDescent="0.2">
      <c r="A242" s="1526" t="s">
        <v>869</v>
      </c>
      <c r="B242" s="615">
        <v>2230</v>
      </c>
      <c r="C242" s="617"/>
      <c r="D242" s="466">
        <v>11051</v>
      </c>
      <c r="E242" s="617"/>
      <c r="F242" s="617"/>
      <c r="G242" s="617"/>
      <c r="H242" s="617"/>
      <c r="I242" s="617"/>
      <c r="J242" s="617"/>
      <c r="K242" s="1694">
        <f>D242</f>
        <v>11051</v>
      </c>
      <c r="L242" s="466">
        <v>10000</v>
      </c>
    </row>
    <row r="243" spans="1:12" ht="12.75" customHeight="1" thickBot="1" x14ac:dyDescent="0.25">
      <c r="A243" s="1716" t="s">
        <v>581</v>
      </c>
      <c r="B243" s="1717">
        <v>2200</v>
      </c>
      <c r="C243" s="617"/>
      <c r="D243" s="1692">
        <f>SUM(D240:D242)</f>
        <v>109640</v>
      </c>
      <c r="E243" s="617"/>
      <c r="F243" s="617"/>
      <c r="G243" s="617"/>
      <c r="H243" s="617"/>
      <c r="I243" s="617"/>
      <c r="J243" s="617"/>
      <c r="K243" s="1692">
        <f>SUM(K240:K242)</f>
        <v>109640</v>
      </c>
      <c r="L243" s="1692">
        <f>SUM(L240:L242)</f>
        <v>119400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21928</v>
      </c>
      <c r="E245" s="617"/>
      <c r="F245" s="617"/>
      <c r="G245" s="617"/>
      <c r="H245" s="617"/>
      <c r="I245" s="617"/>
      <c r="J245" s="617"/>
      <c r="K245" s="1694">
        <f>D245</f>
        <v>21928</v>
      </c>
      <c r="L245" s="481">
        <v>0</v>
      </c>
    </row>
    <row r="246" spans="1:12" x14ac:dyDescent="0.2">
      <c r="A246" s="1526" t="s">
        <v>871</v>
      </c>
      <c r="B246" s="615">
        <v>2320</v>
      </c>
      <c r="C246" s="617"/>
      <c r="D246" s="466">
        <v>13267</v>
      </c>
      <c r="E246" s="617"/>
      <c r="F246" s="617"/>
      <c r="G246" s="617"/>
      <c r="H246" s="617"/>
      <c r="I246" s="617"/>
      <c r="J246" s="617"/>
      <c r="K246" s="1694">
        <f t="shared" ref="K246:K256" si="21">D246</f>
        <v>13267</v>
      </c>
      <c r="L246" s="466">
        <v>79800</v>
      </c>
    </row>
    <row r="247" spans="1:12" x14ac:dyDescent="0.2">
      <c r="A247" s="1526" t="s">
        <v>872</v>
      </c>
      <c r="B247" s="615">
        <v>2330</v>
      </c>
      <c r="C247" s="617"/>
      <c r="D247" s="466">
        <v>43780</v>
      </c>
      <c r="E247" s="617"/>
      <c r="F247" s="617"/>
      <c r="G247" s="617"/>
      <c r="H247" s="617"/>
      <c r="I247" s="617"/>
      <c r="J247" s="617"/>
      <c r="K247" s="1694">
        <f t="shared" si="21"/>
        <v>43780</v>
      </c>
      <c r="L247" s="466">
        <v>0</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1905</v>
      </c>
      <c r="B249" s="684" t="s">
        <v>299</v>
      </c>
      <c r="C249" s="617"/>
      <c r="D249" s="474"/>
      <c r="E249" s="617"/>
      <c r="F249" s="617"/>
      <c r="G249" s="617"/>
      <c r="H249" s="617"/>
      <c r="I249" s="617"/>
      <c r="J249" s="617"/>
      <c r="K249" s="1694">
        <f t="shared" si="21"/>
        <v>0</v>
      </c>
      <c r="L249" s="466"/>
    </row>
    <row r="250" spans="1:12" x14ac:dyDescent="0.2">
      <c r="A250" s="1527" t="s">
        <v>1906</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78975</v>
      </c>
      <c r="E257" s="617"/>
      <c r="F257" s="617"/>
      <c r="G257" s="617"/>
      <c r="H257" s="617"/>
      <c r="I257" s="617"/>
      <c r="J257" s="617"/>
      <c r="K257" s="1692">
        <f>SUM(K245:K256)</f>
        <v>78975</v>
      </c>
      <c r="L257" s="1692">
        <f>SUM(L245:L256)</f>
        <v>79800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639012</v>
      </c>
      <c r="E259" s="617"/>
      <c r="F259" s="617"/>
      <c r="G259" s="617"/>
      <c r="H259" s="617"/>
      <c r="I259" s="617"/>
      <c r="J259" s="617"/>
      <c r="K259" s="1694">
        <f>D259</f>
        <v>639012</v>
      </c>
      <c r="L259" s="481">
        <v>679200</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639012</v>
      </c>
      <c r="E261" s="617"/>
      <c r="F261" s="617"/>
      <c r="G261" s="617"/>
      <c r="H261" s="617"/>
      <c r="I261" s="617"/>
      <c r="J261" s="617"/>
      <c r="K261" s="1692">
        <f>SUM(K259:K260)</f>
        <v>639012</v>
      </c>
      <c r="L261" s="1692">
        <f>SUM(L259:L260)</f>
        <v>679200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26544</v>
      </c>
      <c r="E263" s="617"/>
      <c r="F263" s="617"/>
      <c r="G263" s="617"/>
      <c r="H263" s="617"/>
      <c r="I263" s="617"/>
      <c r="J263" s="617"/>
      <c r="K263" s="1694">
        <f>D263</f>
        <v>26544</v>
      </c>
      <c r="L263" s="481">
        <v>26400</v>
      </c>
    </row>
    <row r="264" spans="1:14" x14ac:dyDescent="0.2">
      <c r="A264" s="1526" t="s">
        <v>482</v>
      </c>
      <c r="B264" s="686">
        <v>2520</v>
      </c>
      <c r="C264" s="617"/>
      <c r="D264" s="466">
        <v>360050</v>
      </c>
      <c r="E264" s="617"/>
      <c r="F264" s="617"/>
      <c r="G264" s="617"/>
      <c r="H264" s="617"/>
      <c r="I264" s="617"/>
      <c r="J264" s="617"/>
      <c r="K264" s="1694">
        <f t="shared" ref="K264:K269" si="22">D264</f>
        <v>360050</v>
      </c>
      <c r="L264" s="466">
        <v>369000</v>
      </c>
    </row>
    <row r="265" spans="1:14" x14ac:dyDescent="0.2">
      <c r="A265" s="1526" t="s">
        <v>4</v>
      </c>
      <c r="B265" s="615">
        <v>2530</v>
      </c>
      <c r="C265" s="617"/>
      <c r="D265" s="466"/>
      <c r="E265" s="617"/>
      <c r="F265" s="617"/>
      <c r="G265" s="617"/>
      <c r="H265" s="617"/>
      <c r="I265" s="617"/>
      <c r="J265" s="617"/>
      <c r="K265" s="1694">
        <f t="shared" si="22"/>
        <v>0</v>
      </c>
      <c r="L265" s="466">
        <v>16700</v>
      </c>
    </row>
    <row r="266" spans="1:14" x14ac:dyDescent="0.2">
      <c r="A266" s="1526" t="s">
        <v>206</v>
      </c>
      <c r="B266" s="615">
        <v>2540</v>
      </c>
      <c r="C266" s="617"/>
      <c r="D266" s="466">
        <v>1182011</v>
      </c>
      <c r="E266" s="617"/>
      <c r="F266" s="617"/>
      <c r="G266" s="617"/>
      <c r="H266" s="617"/>
      <c r="I266" s="617"/>
      <c r="J266" s="617"/>
      <c r="K266" s="1694">
        <f t="shared" si="22"/>
        <v>1182011</v>
      </c>
      <c r="L266" s="466">
        <v>1262100</v>
      </c>
    </row>
    <row r="267" spans="1:14" x14ac:dyDescent="0.2">
      <c r="A267" s="1526" t="s">
        <v>1009</v>
      </c>
      <c r="B267" s="615">
        <v>2550</v>
      </c>
      <c r="C267" s="617"/>
      <c r="D267" s="466">
        <v>1219454</v>
      </c>
      <c r="E267" s="617"/>
      <c r="F267" s="617"/>
      <c r="G267" s="617"/>
      <c r="H267" s="617"/>
      <c r="I267" s="617"/>
      <c r="J267" s="617"/>
      <c r="K267" s="1694">
        <f t="shared" si="22"/>
        <v>1219454</v>
      </c>
      <c r="L267" s="466">
        <v>1273000</v>
      </c>
    </row>
    <row r="268" spans="1:14" x14ac:dyDescent="0.2">
      <c r="A268" s="1526" t="s">
        <v>102</v>
      </c>
      <c r="B268" s="615">
        <v>2560</v>
      </c>
      <c r="C268" s="617"/>
      <c r="D268" s="466">
        <v>2259</v>
      </c>
      <c r="E268" s="617"/>
      <c r="F268" s="617"/>
      <c r="G268" s="617"/>
      <c r="H268" s="617"/>
      <c r="I268" s="617"/>
      <c r="J268" s="617"/>
      <c r="K268" s="1694">
        <f t="shared" si="22"/>
        <v>2259</v>
      </c>
      <c r="L268" s="466">
        <v>496800</v>
      </c>
    </row>
    <row r="269" spans="1:14" x14ac:dyDescent="0.2">
      <c r="A269" s="1526" t="s">
        <v>103</v>
      </c>
      <c r="B269" s="615">
        <v>2570</v>
      </c>
      <c r="C269" s="617"/>
      <c r="D269" s="466">
        <v>25230</v>
      </c>
      <c r="E269" s="617"/>
      <c r="F269" s="617"/>
      <c r="G269" s="617"/>
      <c r="H269" s="617"/>
      <c r="I269" s="617"/>
      <c r="J269" s="617"/>
      <c r="K269" s="1694">
        <f t="shared" si="22"/>
        <v>25230</v>
      </c>
      <c r="L269" s="466">
        <v>25650</v>
      </c>
    </row>
    <row r="270" spans="1:14" ht="12.75" customHeight="1" thickBot="1" x14ac:dyDescent="0.25">
      <c r="A270" s="1690" t="s">
        <v>742</v>
      </c>
      <c r="B270" s="1697" t="s">
        <v>35</v>
      </c>
      <c r="C270" s="617"/>
      <c r="D270" s="1692">
        <f>SUM(D263:D269)</f>
        <v>2815548</v>
      </c>
      <c r="E270" s="617"/>
      <c r="F270" s="617"/>
      <c r="G270" s="617"/>
      <c r="H270" s="617"/>
      <c r="I270" s="617"/>
      <c r="J270" s="617"/>
      <c r="K270" s="1692">
        <f>SUM(K263:K269)</f>
        <v>2815548</v>
      </c>
      <c r="L270" s="1692">
        <f>SUM(L263:L269)</f>
        <v>3469650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87015</v>
      </c>
      <c r="E274" s="617"/>
      <c r="F274" s="617"/>
      <c r="G274" s="617"/>
      <c r="H274" s="617"/>
      <c r="I274" s="617"/>
      <c r="J274" s="617"/>
      <c r="K274" s="1694">
        <f>D274</f>
        <v>87015</v>
      </c>
      <c r="L274" s="466">
        <v>89000</v>
      </c>
    </row>
    <row r="275" spans="1:12" x14ac:dyDescent="0.2">
      <c r="A275" s="1526" t="s">
        <v>422</v>
      </c>
      <c r="B275" s="615">
        <v>2640</v>
      </c>
      <c r="C275" s="617"/>
      <c r="D275" s="466">
        <v>109150</v>
      </c>
      <c r="E275" s="617"/>
      <c r="F275" s="617"/>
      <c r="G275" s="617"/>
      <c r="H275" s="617"/>
      <c r="I275" s="617"/>
      <c r="J275" s="617"/>
      <c r="K275" s="1694">
        <f>D275</f>
        <v>109150</v>
      </c>
      <c r="L275" s="466">
        <v>106900</v>
      </c>
    </row>
    <row r="276" spans="1:12" x14ac:dyDescent="0.2">
      <c r="A276" s="1526" t="s">
        <v>423</v>
      </c>
      <c r="B276" s="615">
        <v>2660</v>
      </c>
      <c r="C276" s="617"/>
      <c r="D276" s="466">
        <v>385875</v>
      </c>
      <c r="E276" s="617"/>
      <c r="F276" s="617"/>
      <c r="G276" s="617"/>
      <c r="H276" s="617"/>
      <c r="I276" s="617"/>
      <c r="J276" s="617"/>
      <c r="K276" s="1694">
        <f>D276</f>
        <v>385875</v>
      </c>
      <c r="L276" s="466">
        <v>365100</v>
      </c>
    </row>
    <row r="277" spans="1:12" ht="12.75" customHeight="1" thickBot="1" x14ac:dyDescent="0.25">
      <c r="A277" s="1713" t="s">
        <v>37</v>
      </c>
      <c r="B277" s="1691" t="s">
        <v>36</v>
      </c>
      <c r="C277" s="617"/>
      <c r="D277" s="1692">
        <f>SUM(D272:D276)</f>
        <v>582040</v>
      </c>
      <c r="E277" s="617"/>
      <c r="F277" s="617"/>
      <c r="G277" s="617"/>
      <c r="H277" s="617"/>
      <c r="I277" s="617"/>
      <c r="J277" s="617"/>
      <c r="K277" s="1692">
        <f>SUM(K272:K276)</f>
        <v>582040</v>
      </c>
      <c r="L277" s="1692">
        <f>SUM(L272:L276)</f>
        <v>561000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4497462</v>
      </c>
      <c r="E279" s="617"/>
      <c r="F279" s="617"/>
      <c r="G279" s="617"/>
      <c r="H279" s="617"/>
      <c r="I279" s="617"/>
      <c r="J279" s="617"/>
      <c r="K279" s="1699">
        <f>SUM(K238,K243,K257,K261,K270,K277,K278)</f>
        <v>4497462</v>
      </c>
      <c r="L279" s="1699">
        <f>SUM(L238,L243,L257,L261,L270,L277,L278)</f>
        <v>5190150</v>
      </c>
    </row>
    <row r="280" spans="1:12" ht="15.75" customHeight="1" thickTop="1" thickBot="1" x14ac:dyDescent="0.25">
      <c r="A280" s="1646" t="s">
        <v>929</v>
      </c>
      <c r="B280" s="1635">
        <v>3000</v>
      </c>
      <c r="C280" s="617"/>
      <c r="D280" s="576">
        <v>674</v>
      </c>
      <c r="E280" s="617"/>
      <c r="F280" s="617"/>
      <c r="G280" s="617"/>
      <c r="H280" s="617"/>
      <c r="I280" s="617"/>
      <c r="J280" s="617"/>
      <c r="K280" s="1701">
        <f>D280</f>
        <v>674</v>
      </c>
      <c r="L280" s="576">
        <v>12600</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1954</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204" t="s">
        <v>525</v>
      </c>
      <c r="B295" s="2205"/>
      <c r="C295" s="617"/>
      <c r="D295" s="1692">
        <f>SUM(D229,D279,D280,D285)</f>
        <v>6900296</v>
      </c>
      <c r="E295" s="617"/>
      <c r="F295" s="617"/>
      <c r="G295" s="617"/>
      <c r="H295" s="1692">
        <f>H293</f>
        <v>0</v>
      </c>
      <c r="I295" s="617"/>
      <c r="J295" s="617"/>
      <c r="K295" s="1692">
        <f>SUM(K229,K279,K280,K285,K293,K294)</f>
        <v>6900296</v>
      </c>
      <c r="L295" s="1692">
        <f>SUM(L229,L279,L280,L285,L293,L294)</f>
        <v>7803650</v>
      </c>
    </row>
    <row r="296" spans="1:14" ht="13.5" thickTop="1" x14ac:dyDescent="0.2">
      <c r="A296" s="2186" t="s">
        <v>1052</v>
      </c>
      <c r="B296" s="2187"/>
      <c r="C296" s="617"/>
      <c r="D296" s="619"/>
      <c r="E296" s="617"/>
      <c r="F296" s="617"/>
      <c r="G296" s="617"/>
      <c r="H296" s="688"/>
      <c r="I296" s="617"/>
      <c r="J296" s="617"/>
      <c r="K296" s="1706">
        <f>'Revenues 9-14'!G275-'Expenditures 15-22'!K295</f>
        <v>473828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6" t="s">
        <v>145</v>
      </c>
      <c r="B298" s="2190"/>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53404</v>
      </c>
      <c r="D301" s="466"/>
      <c r="E301" s="466">
        <v>692132</v>
      </c>
      <c r="F301" s="466">
        <v>449442</v>
      </c>
      <c r="G301" s="466">
        <v>8257581</v>
      </c>
      <c r="H301" s="466"/>
      <c r="I301" s="467">
        <v>454198</v>
      </c>
      <c r="J301" s="467"/>
      <c r="K301" s="1693">
        <f>SUM(C301:J301)</f>
        <v>9906757</v>
      </c>
      <c r="L301" s="467">
        <v>11631800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53404</v>
      </c>
      <c r="D303" s="1699">
        <f t="shared" ref="D303:L303" si="23">SUM(D301:D302)</f>
        <v>0</v>
      </c>
      <c r="E303" s="1699">
        <f t="shared" si="23"/>
        <v>692132</v>
      </c>
      <c r="F303" s="1699">
        <f t="shared" si="23"/>
        <v>449442</v>
      </c>
      <c r="G303" s="1699">
        <f t="shared" si="23"/>
        <v>8257581</v>
      </c>
      <c r="H303" s="1699">
        <f t="shared" si="23"/>
        <v>0</v>
      </c>
      <c r="I303" s="1699">
        <f t="shared" si="23"/>
        <v>454198</v>
      </c>
      <c r="J303" s="1699">
        <f t="shared" si="23"/>
        <v>0</v>
      </c>
      <c r="K303" s="1699">
        <f t="shared" si="23"/>
        <v>9906757</v>
      </c>
      <c r="L303" s="1699">
        <f t="shared" si="23"/>
        <v>11631800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201" t="s">
        <v>294</v>
      </c>
      <c r="B312" s="2202"/>
      <c r="C312" s="1692">
        <f>SUM(C303)</f>
        <v>53404</v>
      </c>
      <c r="D312" s="1692">
        <f>SUM(D303)</f>
        <v>0</v>
      </c>
      <c r="E312" s="1692">
        <f>SUM(E303,E310)</f>
        <v>692132</v>
      </c>
      <c r="F312" s="1692">
        <f>SUM(F303)</f>
        <v>449442</v>
      </c>
      <c r="G312" s="1692">
        <f>SUM(G303)</f>
        <v>8257581</v>
      </c>
      <c r="H312" s="1692">
        <f>SUM(H303,H310)</f>
        <v>0</v>
      </c>
      <c r="I312" s="1692">
        <f>SUM(I303)</f>
        <v>454198</v>
      </c>
      <c r="J312" s="1692">
        <f>SUM(J303)</f>
        <v>0</v>
      </c>
      <c r="K312" s="1692">
        <f>SUM(K303,K310,K311)</f>
        <v>9906757</v>
      </c>
      <c r="L312" s="1692">
        <f>SUM(L303,L310,L311)</f>
        <v>11631800</v>
      </c>
      <c r="M312" s="666"/>
      <c r="N312" s="666"/>
    </row>
    <row r="313" spans="1:14" ht="13.5" thickTop="1" x14ac:dyDescent="0.2">
      <c r="A313" s="2197" t="s">
        <v>1052</v>
      </c>
      <c r="B313" s="2198"/>
      <c r="C313" s="627"/>
      <c r="D313" s="627"/>
      <c r="E313" s="627"/>
      <c r="F313" s="627"/>
      <c r="G313" s="627"/>
      <c r="H313" s="627"/>
      <c r="I313" s="627"/>
      <c r="J313" s="627"/>
      <c r="K313" s="1707">
        <f>'Revenues 9-14'!H275-'Expenditures 15-22'!K312</f>
        <v>-9760567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0" t="s">
        <v>151</v>
      </c>
      <c r="B315" s="221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2" t="s">
        <v>953</v>
      </c>
      <c r="B317" s="2211"/>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299</v>
      </c>
      <c r="C320" s="467"/>
      <c r="D320" s="467"/>
      <c r="E320" s="467">
        <v>1922514</v>
      </c>
      <c r="F320" s="467"/>
      <c r="G320" s="467"/>
      <c r="H320" s="467"/>
      <c r="I320" s="467"/>
      <c r="J320" s="467"/>
      <c r="K320" s="1693">
        <f t="shared" ref="K320:K327" si="24">SUM(C320:J320)</f>
        <v>1922514</v>
      </c>
      <c r="L320" s="467">
        <v>1500000</v>
      </c>
      <c r="M320" s="666"/>
      <c r="N320" s="666"/>
    </row>
    <row r="321" spans="1:14" s="675" customFormat="1" x14ac:dyDescent="0.2">
      <c r="A321" s="1541" t="s">
        <v>317</v>
      </c>
      <c r="B321" s="698" t="s">
        <v>300</v>
      </c>
      <c r="C321" s="467"/>
      <c r="D321" s="467"/>
      <c r="E321" s="467">
        <v>33076</v>
      </c>
      <c r="F321" s="467"/>
      <c r="G321" s="467"/>
      <c r="H321" s="467"/>
      <c r="I321" s="467"/>
      <c r="J321" s="467"/>
      <c r="K321" s="1693">
        <f t="shared" si="24"/>
        <v>33076</v>
      </c>
      <c r="L321" s="467">
        <v>100000</v>
      </c>
      <c r="M321" s="666"/>
      <c r="N321" s="666"/>
    </row>
    <row r="322" spans="1:14" s="675" customFormat="1" x14ac:dyDescent="0.2">
      <c r="A322" s="1541" t="s">
        <v>256</v>
      </c>
      <c r="B322" s="698" t="s">
        <v>301</v>
      </c>
      <c r="C322" s="467"/>
      <c r="D322" s="467"/>
      <c r="E322" s="467">
        <v>23491</v>
      </c>
      <c r="F322" s="467"/>
      <c r="G322" s="467"/>
      <c r="H322" s="467"/>
      <c r="I322" s="467"/>
      <c r="J322" s="467"/>
      <c r="K322" s="1693">
        <f t="shared" si="24"/>
        <v>23491</v>
      </c>
      <c r="L322" s="467">
        <v>23500</v>
      </c>
      <c r="M322" s="666"/>
      <c r="N322" s="666"/>
    </row>
    <row r="323" spans="1:14" s="675" customFormat="1" x14ac:dyDescent="0.2">
      <c r="A323" s="1541" t="s">
        <v>725</v>
      </c>
      <c r="B323" s="698" t="s">
        <v>302</v>
      </c>
      <c r="C323" s="467"/>
      <c r="D323" s="467"/>
      <c r="E323" s="467">
        <v>799</v>
      </c>
      <c r="F323" s="467"/>
      <c r="G323" s="467"/>
      <c r="H323" s="467"/>
      <c r="I323" s="467"/>
      <c r="J323" s="467"/>
      <c r="K323" s="1693">
        <f t="shared" si="24"/>
        <v>799</v>
      </c>
      <c r="L323" s="467">
        <v>86000</v>
      </c>
      <c r="M323" s="666"/>
      <c r="N323" s="666"/>
    </row>
    <row r="324" spans="1:14" s="675" customFormat="1" x14ac:dyDescent="0.2">
      <c r="A324" s="1541" t="s">
        <v>257</v>
      </c>
      <c r="B324" s="698" t="s">
        <v>303</v>
      </c>
      <c r="C324" s="467"/>
      <c r="D324" s="467"/>
      <c r="E324" s="467">
        <v>1320</v>
      </c>
      <c r="F324" s="467"/>
      <c r="G324" s="467"/>
      <c r="H324" s="467"/>
      <c r="I324" s="467"/>
      <c r="J324" s="467"/>
      <c r="K324" s="1693">
        <f t="shared" si="24"/>
        <v>1320</v>
      </c>
      <c r="L324" s="467">
        <v>20000</v>
      </c>
      <c r="M324" s="666"/>
      <c r="N324" s="666"/>
    </row>
    <row r="325" spans="1:14" s="675" customFormat="1" ht="22.5" x14ac:dyDescent="0.2">
      <c r="A325" s="1541" t="s">
        <v>1086</v>
      </c>
      <c r="B325" s="699" t="s">
        <v>304</v>
      </c>
      <c r="C325" s="467"/>
      <c r="D325" s="467"/>
      <c r="E325" s="467">
        <v>875</v>
      </c>
      <c r="F325" s="467"/>
      <c r="G325" s="467"/>
      <c r="H325" s="467"/>
      <c r="I325" s="467"/>
      <c r="J325" s="467"/>
      <c r="K325" s="1693">
        <f t="shared" si="24"/>
        <v>875</v>
      </c>
      <c r="L325" s="467">
        <v>1000</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17645</v>
      </c>
      <c r="F327" s="467"/>
      <c r="G327" s="467"/>
      <c r="H327" s="467"/>
      <c r="I327" s="467"/>
      <c r="J327" s="467"/>
      <c r="K327" s="1693">
        <f t="shared" si="24"/>
        <v>17645</v>
      </c>
      <c r="L327" s="467">
        <v>25000</v>
      </c>
      <c r="M327" s="666"/>
      <c r="N327" s="666"/>
    </row>
    <row r="328" spans="1:14" s="675" customFormat="1" x14ac:dyDescent="0.2">
      <c r="A328" s="1542" t="s">
        <v>491</v>
      </c>
      <c r="B328" s="691" t="s">
        <v>1193</v>
      </c>
      <c r="C328" s="474"/>
      <c r="D328" s="474"/>
      <c r="E328" s="474">
        <v>590809</v>
      </c>
      <c r="F328" s="474"/>
      <c r="G328" s="474"/>
      <c r="H328" s="474"/>
      <c r="I328" s="474"/>
      <c r="J328" s="474"/>
      <c r="K328" s="1721">
        <f>SUM(C328:J328)</f>
        <v>590809</v>
      </c>
      <c r="L328" s="474">
        <v>560800</v>
      </c>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2590529</v>
      </c>
      <c r="F330" s="1692">
        <f t="shared" si="25"/>
        <v>0</v>
      </c>
      <c r="G330" s="1692">
        <f t="shared" si="25"/>
        <v>0</v>
      </c>
      <c r="H330" s="1692">
        <f t="shared" si="25"/>
        <v>0</v>
      </c>
      <c r="I330" s="1692">
        <f t="shared" si="25"/>
        <v>0</v>
      </c>
      <c r="J330" s="1692">
        <f t="shared" si="25"/>
        <v>0</v>
      </c>
      <c r="K330" s="1692">
        <f>SUM(K319:K329)</f>
        <v>2590529</v>
      </c>
      <c r="L330" s="1692">
        <f>SUM(L319:L329)</f>
        <v>2316300</v>
      </c>
      <c r="M330" s="666"/>
      <c r="N330" s="666"/>
    </row>
    <row r="331" spans="1:14" s="675" customFormat="1" ht="12.75" customHeight="1" thickTop="1" x14ac:dyDescent="0.2">
      <c r="A331" s="1854" t="s">
        <v>1960</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2590529</v>
      </c>
      <c r="F342" s="1692">
        <f>SUM(F330)</f>
        <v>0</v>
      </c>
      <c r="G342" s="1692">
        <f>SUM(G330)</f>
        <v>0</v>
      </c>
      <c r="H342" s="1692">
        <f>SUM(H330,H334,H340)</f>
        <v>0</v>
      </c>
      <c r="I342" s="1692">
        <f>SUM(I330)</f>
        <v>0</v>
      </c>
      <c r="J342" s="1692">
        <f>SUM(J330)</f>
        <v>0</v>
      </c>
      <c r="K342" s="1692">
        <f>SUM(K330,K334,K340)</f>
        <v>2590529</v>
      </c>
      <c r="L342" s="1699">
        <f>SUM(L330,L340,L341)</f>
        <v>2316300</v>
      </c>
    </row>
    <row r="343" spans="1:14" ht="12.75" customHeight="1" thickTop="1" x14ac:dyDescent="0.2">
      <c r="A343" s="2199" t="s">
        <v>1052</v>
      </c>
      <c r="B343" s="2200"/>
      <c r="C343" s="617"/>
      <c r="D343" s="617"/>
      <c r="E343" s="617"/>
      <c r="F343" s="617"/>
      <c r="G343" s="617"/>
      <c r="H343" s="617"/>
      <c r="I343" s="617"/>
      <c r="J343" s="617"/>
      <c r="K343" s="1706">
        <f>'Revenues 9-14'!J275-'Expenditures 15-22'!K342</f>
        <v>-72780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9" t="s">
        <v>1022</v>
      </c>
      <c r="B345" s="2190"/>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6" t="s">
        <v>1052</v>
      </c>
      <c r="B368" s="2187"/>
      <c r="C368" s="655"/>
      <c r="D368" s="655"/>
      <c r="E368" s="627"/>
      <c r="F368" s="627"/>
      <c r="G368" s="627"/>
      <c r="H368" s="627"/>
      <c r="I368" s="627"/>
      <c r="J368" s="624"/>
      <c r="K368" s="1693">
        <f>'Revenues 9-14'!K275-'Expenditures 15-22'!K367</f>
        <v>3631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d21dc803-237d-4c68-8692-8d731fd29118"/>
    <ds:schemaRef ds:uri="http://schemas.microsoft.com/sharepoint/v3"/>
    <ds:schemaRef ds:uri="http://purl.org/dc/terms/"/>
    <ds:schemaRef ds:uri="http://purl.org/dc/dcmitype/"/>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elements/1.1/"/>
    <ds:schemaRef ds:uri="6ce3111e-7420-4802-b50a-75d4e9a0b980"/>
    <ds:schemaRef ds:uri="http://schemas.microsoft.com/office/infopath/2007/PartnerControls"/>
    <ds:schemaRef ds:uri="4d435f69-8686-490b-bd6d-b153bf22ab50"/>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2018-12-04T01:00:15Z</cp:lastPrinted>
  <dcterms:created xsi:type="dcterms:W3CDTF">2003-10-29T19:06:34Z</dcterms:created>
  <dcterms:modified xsi:type="dcterms:W3CDTF">2018-12-26T20:30:18Z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150</vt:lpwstr>
  </property>
  <property fmtid="{D5CDD505-2E9C-101B-9397-08002B2CF9AE}" pid="8" name="workpaperIndex">
    <vt:lpwstr>
    </vt:lpwstr>
  </property>
</Properties>
</file>