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7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M25" i="183" l="1"/>
  <c r="K25" i="183"/>
  <c r="I25" i="183"/>
  <c r="G25" i="183"/>
  <c r="F19" i="179"/>
  <c r="F25" i="183"/>
  <c r="E25" i="183"/>
  <c r="K23" i="183"/>
  <c r="I23" i="183"/>
  <c r="G23" i="183"/>
  <c r="F23" i="183"/>
  <c r="E23" i="183"/>
  <c r="M18" i="183"/>
  <c r="K18" i="183"/>
  <c r="I18" i="183"/>
  <c r="G18" i="183"/>
  <c r="F18" i="183"/>
  <c r="E18" i="183"/>
  <c r="M17" i="183"/>
  <c r="K17" i="183"/>
  <c r="I17" i="183"/>
  <c r="G17" i="183"/>
  <c r="F17" i="183"/>
  <c r="E17" i="183"/>
  <c r="L27" i="183"/>
  <c r="L26" i="183"/>
  <c r="L24" i="183"/>
  <c r="L22" i="183"/>
  <c r="L21" i="183"/>
  <c r="L20" i="183"/>
  <c r="L19" i="183"/>
  <c r="L16" i="183"/>
  <c r="L15" i="183"/>
  <c r="L14" i="183"/>
  <c r="L13" i="183"/>
  <c r="L12" i="183"/>
  <c r="L11" i="183"/>
  <c r="B4" i="183"/>
  <c r="K26" i="179"/>
  <c r="I26" i="179"/>
  <c r="G26" i="179"/>
  <c r="E26" i="179"/>
  <c r="F26" i="179"/>
  <c r="L25" i="183" l="1"/>
  <c r="L23" i="183"/>
  <c r="L18" i="183"/>
  <c r="L17" i="183"/>
  <c r="K19" i="179" l="1"/>
  <c r="I19" i="179"/>
  <c r="G19" i="179"/>
  <c r="E19" i="179"/>
  <c r="E10" i="108"/>
  <c r="H12" i="11"/>
  <c r="H8" i="11"/>
  <c r="I8" i="11"/>
  <c r="C6" i="7"/>
  <c r="E75" i="4"/>
  <c r="F63"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B2" i="177"/>
  <c r="B2" i="179"/>
  <c r="B2" i="18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s="1"/>
  <c r="B5118" i="106"/>
  <c r="D5118" i="106" s="1"/>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c r="D5658" i="106" s="1"/>
  <c r="G184" i="5"/>
  <c r="F127" i="34" s="1"/>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F13" i="4"/>
  <c r="B2596" i="106" s="1"/>
  <c r="D2596" i="106" s="1"/>
  <c r="D14" i="4"/>
  <c r="B2570" i="106" s="1"/>
  <c r="D2570" i="106" s="1"/>
  <c r="F14" i="4"/>
  <c r="B2597" i="106" s="1"/>
  <c r="D2597" i="106" s="1"/>
  <c r="B2633" i="106"/>
  <c r="D2633" i="106" s="1"/>
  <c r="D7" i="118"/>
  <c r="D8" i="118"/>
  <c r="D9" i="118"/>
  <c r="H14" i="118"/>
  <c r="H19" i="118"/>
  <c r="H24" i="118"/>
  <c r="H28" i="118"/>
  <c r="H33" i="118"/>
  <c r="J22" i="37"/>
  <c r="L22" i="37"/>
  <c r="D24" i="37"/>
  <c r="B4270" i="106" s="1"/>
  <c r="D4270" i="106" s="1"/>
  <c r="L5" i="11"/>
  <c r="B2056" i="106" s="1"/>
  <c r="D2056" i="106" s="1"/>
  <c r="D4" i="7"/>
  <c r="B1760" i="106" s="1"/>
  <c r="D1760" i="106" s="1"/>
  <c r="D13" i="7"/>
  <c r="B3726" i="106" s="1"/>
  <c r="D3726" i="106" s="1"/>
  <c r="F131" i="34"/>
  <c r="F128" i="34"/>
  <c r="B5847" i="106"/>
  <c r="D5847" i="106" s="1"/>
  <c r="B5752" i="106"/>
  <c r="D5752" i="106" s="1"/>
  <c r="H173" i="5"/>
  <c r="B5906" i="106" s="1"/>
  <c r="D5906" i="106" s="1"/>
  <c r="H109" i="5"/>
  <c r="B6025" i="106" s="1"/>
  <c r="D6025" i="106" s="1"/>
  <c r="F106" i="34"/>
  <c r="D7" i="7"/>
  <c r="B1763" i="106" s="1"/>
  <c r="D1763" i="106" s="1"/>
  <c r="D17" i="7"/>
  <c r="B4104" i="106" s="1"/>
  <c r="D4104" i="106" s="1"/>
  <c r="D12" i="7"/>
  <c r="B1769" i="106" s="1"/>
  <c r="D1769" i="106" s="1"/>
  <c r="D11" i="7" l="1"/>
  <c r="B1768" i="106" s="1"/>
  <c r="D1768" i="106" s="1"/>
  <c r="H6" i="4"/>
  <c r="B2656" i="106" s="1"/>
  <c r="D2656" i="106" s="1"/>
  <c r="B7041" i="106"/>
  <c r="D7041" i="106" s="1"/>
  <c r="K173" i="5"/>
  <c r="K6" i="4" s="1"/>
  <c r="B3570" i="106" s="1"/>
  <c r="D3570" i="106" s="1"/>
  <c r="H4" i="4"/>
  <c r="B2655" i="106" s="1"/>
  <c r="D2655" i="106" s="1"/>
  <c r="C172" i="5"/>
  <c r="B5214" i="106" s="1"/>
  <c r="D5214" i="106" s="1"/>
  <c r="F130" i="34"/>
  <c r="D9" i="7"/>
  <c r="B1767" i="106" s="1"/>
  <c r="D1767" i="106" s="1"/>
  <c r="D22" i="37"/>
  <c r="G5" i="4"/>
  <c r="B3409" i="106" s="1"/>
  <c r="D3409" i="106" s="1"/>
  <c r="I173" i="5"/>
  <c r="B4216" i="106" s="1"/>
  <c r="D4216" i="106" s="1"/>
  <c r="F49" i="34"/>
  <c r="D7245" i="106"/>
  <c r="I342" i="29"/>
  <c r="B7222" i="106" s="1"/>
  <c r="D7222" i="106" s="1"/>
  <c r="B3668" i="106"/>
  <c r="D3668" i="106" s="1"/>
  <c r="K350" i="29"/>
  <c r="I24" i="12"/>
  <c r="B1995" i="106"/>
  <c r="D1995" i="106" s="1"/>
  <c r="D15" i="7"/>
  <c r="B1772" i="106" s="1"/>
  <c r="D1772" i="106" s="1"/>
  <c r="K274" i="5"/>
  <c r="F136" i="34"/>
  <c r="B5096" i="106"/>
  <c r="D5096" i="106" s="1"/>
  <c r="L367" i="29"/>
  <c r="F45" i="34"/>
  <c r="G352" i="29"/>
  <c r="B3647" i="106"/>
  <c r="D3647" i="106" s="1"/>
  <c r="F21" i="8"/>
  <c r="B3689" i="106"/>
  <c r="D3689" i="106" s="1"/>
  <c r="G172" i="5"/>
  <c r="F66" i="34"/>
  <c r="B7047" i="106"/>
  <c r="D7047" i="106" s="1"/>
  <c r="D11" i="37"/>
  <c r="B4268" i="106"/>
  <c r="D4268" i="106" s="1"/>
  <c r="C129" i="29"/>
  <c r="B1225" i="106" s="1"/>
  <c r="D1225" i="106" s="1"/>
  <c r="B1223" i="106"/>
  <c r="D1223" i="106" s="1"/>
  <c r="C352" i="29"/>
  <c r="K41" i="3"/>
  <c r="K285" i="29"/>
  <c r="G15" i="145"/>
  <c r="K24" i="12"/>
  <c r="B7733" i="106" s="1"/>
  <c r="D7733" i="106" s="1"/>
  <c r="L13" i="11"/>
  <c r="B2060" i="106" s="1"/>
  <c r="D2060" i="106" s="1"/>
  <c r="G210" i="29"/>
  <c r="G39" i="108"/>
  <c r="B1410" i="106"/>
  <c r="D1410" i="106" s="1"/>
  <c r="L15" i="11"/>
  <c r="B3459" i="106" s="1"/>
  <c r="D3459" i="106" s="1"/>
  <c r="K26" i="12"/>
  <c r="B7743" i="106" s="1"/>
  <c r="D7743" i="106" s="1"/>
  <c r="N22" i="3"/>
  <c r="B283" i="106" s="1"/>
  <c r="D283" i="106" s="1"/>
  <c r="F19" i="7"/>
  <c r="B1807" i="106" s="1"/>
  <c r="D1807" i="106" s="1"/>
  <c r="E174" i="29"/>
  <c r="B1309" i="106" s="1"/>
  <c r="D1309" i="106" s="1"/>
  <c r="B1329" i="106"/>
  <c r="D1329" i="106" s="1"/>
  <c r="F61" i="34"/>
  <c r="E28" i="108"/>
  <c r="F28" i="108"/>
  <c r="C14" i="4"/>
  <c r="B2558" i="106" s="1"/>
  <c r="D2558" i="106" s="1"/>
  <c r="F52" i="34"/>
  <c r="G38" i="108"/>
  <c r="G30" i="108"/>
  <c r="D26" i="108"/>
  <c r="D41" i="108" s="1"/>
  <c r="E43" i="108" s="1"/>
  <c r="F26" i="108"/>
  <c r="B1126" i="106"/>
  <c r="D1126" i="106" s="1"/>
  <c r="E109" i="5"/>
  <c r="E4" i="4" s="1"/>
  <c r="B2630" i="106" s="1"/>
  <c r="D2630" i="106" s="1"/>
  <c r="B1746" i="106"/>
  <c r="D1746" i="106" s="1"/>
  <c r="G4" i="4"/>
  <c r="B2603" i="106" s="1"/>
  <c r="D2603" i="106" s="1"/>
  <c r="F111" i="34"/>
  <c r="D109" i="5"/>
  <c r="B5356" i="106" s="1"/>
  <c r="D5356" i="106" s="1"/>
  <c r="D5" i="7"/>
  <c r="B1761" i="106" s="1"/>
  <c r="D1761" i="106" s="1"/>
  <c r="C173" i="5"/>
  <c r="B5223" i="106" s="1"/>
  <c r="D5223" i="106" s="1"/>
  <c r="C109" i="5"/>
  <c r="B5121" i="106" s="1"/>
  <c r="D5121" i="106" s="1"/>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F73" i="34" l="1"/>
  <c r="G15" i="4"/>
  <c r="B6032" i="106" s="1"/>
  <c r="D6032" i="106" s="1"/>
  <c r="B1317" i="106"/>
  <c r="D1317" i="106" s="1"/>
  <c r="D7253" i="106"/>
  <c r="F274" i="5"/>
  <c r="I6" i="4"/>
  <c r="B5011" i="106" s="1"/>
  <c r="D5011" i="106" s="1"/>
  <c r="B1879" i="106"/>
  <c r="D1879" i="106" s="1"/>
  <c r="H22" i="37"/>
  <c r="B3670" i="106"/>
  <c r="D3670" i="106" s="1"/>
  <c r="K352" i="29"/>
  <c r="B1365" i="106"/>
  <c r="D1365" i="106" s="1"/>
  <c r="F65" i="34"/>
  <c r="D7255" i="106"/>
  <c r="D7252" i="106"/>
  <c r="B3568" i="106"/>
  <c r="D3568" i="106" s="1"/>
  <c r="D52" i="36"/>
  <c r="G173" i="5"/>
  <c r="B5770" i="106"/>
  <c r="D5770" i="106" s="1"/>
  <c r="B3649" i="106"/>
  <c r="D3649" i="106" s="1"/>
  <c r="G367" i="29"/>
  <c r="B3650" i="106" s="1"/>
  <c r="D3650" i="106" s="1"/>
  <c r="B1996" i="106"/>
  <c r="D1996" i="106" s="1"/>
  <c r="I26" i="12"/>
  <c r="B7741" i="106" s="1"/>
  <c r="D7741" i="106" s="1"/>
  <c r="K367" i="29"/>
  <c r="D7256" i="106"/>
  <c r="D7251" i="106"/>
  <c r="K342" i="29"/>
  <c r="F13" i="34" s="1"/>
  <c r="B3621" i="106"/>
  <c r="D3621" i="106" s="1"/>
  <c r="C367" i="29"/>
  <c r="B3622" i="106" s="1"/>
  <c r="D3622" i="106" s="1"/>
  <c r="H367" i="29"/>
  <c r="B3660" i="106" s="1"/>
  <c r="D3660" i="106" s="1"/>
  <c r="L16" i="11"/>
  <c r="B2061" i="106" s="1"/>
  <c r="D2061" i="106" s="1"/>
  <c r="B2031" i="106"/>
  <c r="D2031" i="106" s="1"/>
  <c r="N23" i="3"/>
  <c r="B284" i="106" s="1"/>
  <c r="D284" i="106" s="1"/>
  <c r="F41" i="108"/>
  <c r="G43" i="108" s="1"/>
  <c r="L114" i="29"/>
  <c r="C114" i="29"/>
  <c r="B757" i="106" s="1"/>
  <c r="D757" i="106" s="1"/>
  <c r="B5527" i="106"/>
  <c r="D5527" i="106" s="1"/>
  <c r="F275" i="5"/>
  <c r="D19" i="7"/>
  <c r="B1775" i="106" s="1"/>
  <c r="D1775" i="106" s="1"/>
  <c r="D4" i="4"/>
  <c r="B2564" i="106" s="1"/>
  <c r="D2564"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24" i="37" l="1"/>
  <c r="K13" i="4"/>
  <c r="B3572" i="106" s="1"/>
  <c r="D3572" i="106" s="1"/>
  <c r="B3672" i="106"/>
  <c r="D3672" i="106" s="1"/>
  <c r="J17" i="4"/>
  <c r="J19" i="4" s="1"/>
  <c r="B6229" i="106" s="1"/>
  <c r="D6229" i="106" s="1"/>
  <c r="B5778" i="106"/>
  <c r="D5778" i="106" s="1"/>
  <c r="G6" i="4"/>
  <c r="B2604" i="106" s="1"/>
  <c r="D2604" i="106" s="1"/>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6227" i="106" l="1"/>
  <c r="D62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<sst xmlns="http://schemas.openxmlformats.org/spreadsheetml/2006/main" count="5222" uniqueCount="2188">
  <si>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</si>
  <si>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</si>
  <si>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</si>
  <si>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</si>
  <si>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</si>
  <si>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</si>
  <si>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</si>
  <si>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</si>
  <si>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</si>
  <si>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</si>
  <si>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</si>
  <si>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</si>
  <si>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</si>
  <si>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</si>
  <si>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</si>
  <si>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</si>
  <si>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</si>
  <si>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</si>
  <si>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</si>
  <si>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</si>
  <si>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</si>
  <si>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</si>
  <si>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</si>
  <si>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</si>
  <si>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</si>
  <si>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</si>
  <si>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</si>
  <si>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</si>
  <si>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</si>
  <si>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</si>
  <si>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</si>
  <si>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</si>
  <si>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</si>
  <si>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</si>
  <si>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</si>
  <si>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</si>
  <si>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</si>
  <si>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</si>
  <si>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</si>
  <si>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</si>
  <si>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</si>
  <si>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</si>
  <si>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</si>
  <si>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</si>
  <si>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</si>
  <si>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</si>
  <si>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</si>
  <si>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</si>
  <si>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</si>
  <si>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</si>
  <si>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</si>
  <si>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</si>
  <si>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</si>
  <si>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</si>
  <si>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</si>
  <si>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</si>
  <si>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</si>
  <si>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</si>
  <si>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</si>
  <si>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</si>
  <si>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</si>
  <si>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</si>
  <si>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</si>
  <si>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</si>
  <si>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</si>
  <si>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</si>
  <si>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</si>
  <si>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</si>
  <si>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</si>
  <si>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</si>
  <si>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</si>
  <si>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</si>
  <si>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</si>
  <si>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</si>
  <si>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</si>
  <si>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</si>
  <si>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</si>
  <si>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</si>
  <si>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</si>
  <si>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</si>
  <si>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</si>
  <si>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</si>
  <si>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</si>
  <si>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</si>
  <si>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</si>
  <si>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</si>
  <si>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</si>
  <si>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</si>
  <si>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</si>
  <si>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</si>
  <si>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</si>
  <si>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</si>
  <si>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</si>
  <si>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</si>
  <si>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</si>
  <si>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</si>
  <si>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</si>
  <si>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</si>
  <si>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</si>
  <si>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</si>
  <si>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</si>
  <si>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</si>
  <si>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</si>
  <si>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</si>
  <si>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</si>
  <si>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</si>
  <si>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</si>
  <si>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</si>
  <si>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</si>
  <si>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</si>
  <si>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</si>
  <si>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</si>
  <si>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</si>
  <si>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</si>
  <si>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</si>
  <si>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</si>
  <si>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</si>
  <si>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</si>
  <si>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</si>
  <si>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</si>
  <si>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</si>
  <si>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</si>
  <si>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</si>
  <si>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</si>
  <si>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</si>
  <si>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</si>
  <si>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</si>
  <si>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</si>
  <si>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</si>
  <si>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</si>
  <si>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</si>
  <si>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</si>
  <si>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</si>
  <si>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</si>
  <si>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</si>
  <si>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</si>
  <si>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</si>
  <si>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</si>
  <si>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</si>
  <si>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</si>
  <si>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</si>
  <si>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</si>
  <si>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</si>
  <si>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</si>
  <si>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</si>
  <si>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</si>
  <si>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</si>
  <si>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</si>
  <si>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</si>
  <si>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</si>
  <si>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</si>
  <si>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</si>
  <si>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</si>
  <si>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</si>
  <si>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</si>
  <si>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</si>
  <si>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</si>
  <si>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</si>
  <si>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</si>
  <si>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</si>
  <si>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</si>
  <si>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</si>
  <si>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</si>
  <si>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</si>
  <si>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</si>
  <si>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</si>
  <si>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</si>
  <si>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</si>
  <si>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</si>
  <si>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</si>
  <si>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</si>
  <si>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</si>
  <si>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</si>
  <si>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</si>
  <si>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</si>
  <si>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</si>
  <si>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</si>
  <si>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</si>
  <si>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</si>
  <si>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</si>
  <si>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</si>
  <si>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</si>
  <si>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</si>
  <si>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</si>
  <si>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</si>
  <si>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</si>
  <si>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</si>
  <si>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</si>
  <si>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</si>
  <si>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</si>
  <si>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</si>
  <si>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</si>
  <si>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</si>
  <si>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</si>
  <si>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</si>
  <si>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</si>
  <si>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</si>
  <si>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</si>
  <si>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</si>
  <si>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</si>
  <si>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</si>
  <si>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</si>
  <si>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</si>
  <si>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</si>
  <si>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</si>
  <si>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</si>
  <si>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</si>
  <si>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</si>
  <si>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</si>
  <si>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</si>
  <si>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</si>
  <si>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</si>
  <si>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</si>
  <si>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</si>
  <si>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</si>
  <si>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</si>
  <si>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</si>
  <si>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</si>
  <si>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</si>
  <si>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</si>
  <si>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</si>
  <si>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</si>
  <si>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</si>
  <si>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</si>
  <si>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</si>
  <si>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</si>
  <si>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</si>
  <si>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</si>
  <si>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</si>
  <si>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</si>
  <si>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</si>
  <si>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</si>
  <si>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</si>
  <si>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</si>
  <si>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</si>
  <si>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</si>
  <si>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</si>
  <si>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</si>
  <si>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</si>
  <si>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</si>
  <si>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</si>
  <si>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</si>
  <si>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</si>
  <si>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</si>
  <si>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</si>
  <si>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</si>
  <si>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</si>
  <si>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</si>
  <si>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</si>
  <si>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</si>
  <si>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</si>
  <si>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</si>
  <si>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</si>
  <si>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</si>
  <si>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</si>
  <si>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</si>
  <si>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</si>
  <si>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</si>
  <si>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</si>
  <si>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</si>
  <si>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</si>
  <si>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</si>
  <si>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</si>
  <si>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</si>
  <si>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</si>
  <si>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</si>
  <si>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</si>
  <si>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</si>
  <si>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</si>
  <si>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</si>
  <si>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</si>
  <si>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</si>
  <si>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</si>
  <si>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</si>
  <si>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</si>
  <si>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</si>
  <si>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</si>
  <si>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</si>
  <si>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</si>
  <si>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</si>
  <si>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</si>
  <si>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</si>
  <si>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</si>
  <si>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</si>
  <si>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</si>
  <si>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</si>
  <si>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</si>
  <si>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</si>
  <si>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</si>
  <si>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</si>
  <si>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</si>
  <si>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</si>
  <si>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</si>
  <si>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</si>
  <si>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</si>
  <si>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</si>
  <si>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</si>
  <si>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</si>
  <si>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</si>
  <si>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</si>
  <si>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</si>
  <si>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</si>
  <si>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</si>
  <si>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</si>
  <si>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</si>
  <si>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</si>
  <si>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</si>
  <si>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</si>
  <si>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</si>
  <si>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</si>
  <si>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</si>
  <si>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</si>
  <si>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</si>
  <si>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</si>
  <si>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</si>
  <si>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</si>
  <si>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</si>
  <si>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</si>
  <si>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</si>
  <si>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</si>
  <si>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</si>
  <si>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</si>
  <si>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</si>
  <si>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</si>
  <si>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</si>
  <si>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</si>
  <si>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</si>
  <si>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</si>
  <si>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</si>
  <si>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</si>
  <si>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</si>
  <si>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</si>
  <si>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</si>
  <si>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</si>
  <si>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</si>
  <si>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</si>
  <si>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</si>
  <si>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</si>
  <si>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</si>
  <si>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</si>
  <si>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</si>
  <si>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</si>
  <si>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</si>
  <si>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</si>
  <si>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</si>
  <si>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</si>
  <si>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</si>
  <si>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</si>
  <si>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</si>
  <si>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</si>
  <si>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</si>
  <si>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</si>
  <si>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</si>
  <si>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</si>
  <si>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</si>
  <si>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</si>
  <si>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</si>
  <si>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</si>
  <si>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</si>
  <si>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</si>
  <si>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</si>
  <si>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</si>
  <si>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</si>
  <si>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</si>
  <si>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</si>
  <si>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</si>
  <si>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</si>
  <si>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</si>
  <si>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</si>
  <si>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</si>
  <si>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</si>
  <si>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</si>
  <si>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</si>
  <si>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</si>
  <si>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</si>
  <si>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</si>
  <si>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</si>
  <si>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</si>
  <si>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</si>
  <si>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</si>
  <si>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</si>
  <si>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</si>
  <si>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</si>
  <si>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</si>
  <si>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</si>
  <si>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</si>
  <si>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</si>
  <si>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</si>
  <si>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</si>
  <si>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</si>
  <si>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</si>
  <si>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</si>
  <si>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</si>
  <si>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</si>
  <si>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</si>
  <si>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</si>
  <si>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</si>
  <si>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</si>
  <si>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</si>
  <si>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</si>
  <si>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</si>
  <si>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</si>
  <si>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</si>
  <si>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</si>
  <si>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</si>
  <si>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</si>
  <si>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</si>
  <si>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</si>
  <si>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</si>
  <si>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</si>
  <si>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</si>
  <si>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</si>
  <si>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</si>
  <si>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</si>
  <si>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</si>
  <si>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</si>
  <si>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</si>
  <si>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</si>
  <si>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</si>
  <si>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</si>
  <si>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</si>
  <si>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</si>
  <si>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</si>
  <si>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</si>
  <si>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</si>
  <si>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</si>
  <si>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</si>
  <si>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</si>
  <si>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</si>
  <si>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</si>
  <si>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</si>
  <si>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</si>
  <si>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</si>
  <si>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</si>
  <si>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</si>
  <si>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</si>
  <si>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</si>
  <si>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</si>
  <si>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</si>
  <si>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</si>
  <si>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</si>
  <si>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</si>
  <si>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</si>
  <si>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</si>
  <si>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</si>
  <si>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</si>
  <si>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</si>
  <si>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</si>
  <si>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</si>
  <si>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</si>
  <si>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</si>
  <si>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</si>
  <si>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</si>
  <si>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</si>
  <si>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</si>
  <si>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</si>
  <si>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</si>
  <si>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</si>
  <si>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</si>
  <si>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</si>
  <si>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</si>
  <si>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</si>
  <si>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</si>
  <si>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</si>
  <si>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</si>
  <si>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</si>
  <si>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</si>
  <si>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</si>
  <si>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</si>
  <si>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</si>
  <si>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</si>
  <si>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</si>
  <si>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</si>
  <si>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</si>
  <si>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</si>
  <si>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</si>
  <si>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</si>
  <si>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</si>
  <si>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</si>
  <si>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</si>
  <si>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</si>
  <si>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</si>
  <si>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</si>
  <si>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</si>
  <si>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</si>
  <si>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</si>
  <si>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</si>
  <si>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</si>
  <si>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</si>
  <si>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</si>
  <si>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</si>
  <si>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</si>
  <si>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</si>
  <si>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</si>
  <si>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</si>
  <si>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</si>
  <si>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</si>
  <si>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</si>
  <si>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</si>
  <si>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</si>
  <si>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</si>
  <si>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</si>
  <si>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</si>
  <si>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</si>
  <si>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</si>
  <si>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</si>
  <si>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</si>
  <si>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</si>
  <si>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</si>
  <si>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</si>
  <si>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</si>
  <si>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</si>
  <si>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</si>
  <si>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</si>
  <si>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</si>
  <si>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</si>
  <si>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</si>
  <si>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</si>
  <si>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</si>
  <si>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</si>
  <si>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</si>
  <si>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</si>
  <si>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</si>
  <si>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</si>
  <si>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</si>
  <si>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</si>
  <si>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</si>
  <si>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</si>
  <si>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</si>
  <si>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</si>
  <si>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</si>
  <si>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</si>
  <si>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</si>
  <si>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</si>
  <si>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</si>
  <si>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</si>
  <si>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</si>
  <si>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</si>
  <si>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</si>
  <si>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</si>
  <si>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</si>
  <si>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</si>
  <si>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</si>
  <si>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</si>
  <si>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</si>
  <si>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</si>
  <si>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</si>
  <si>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</si>
  <si>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</si>
  <si>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</si>
  <si>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</si>
  <si>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</si>
  <si>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</si>
  <si>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</si>
  <si>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</si>
  <si>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</si>
  <si>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</si>
  <si>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</si>
  <si>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</si>
  <si>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</si>
  <si>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</si>
  <si>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</si>
  <si>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</si>
  <si>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</si>
  <si>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</si>
  <si>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</si>
  <si>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</si>
  <si>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</si>
  <si>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</si>
  <si>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</si>
  <si>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</si>
  <si>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</si>
  <si>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</si>
  <si>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</si>
  <si>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</si>
  <si>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</si>
  <si>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</si>
  <si>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</si>
  <si>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</si>
  <si>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</si>
  <si>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</si>
  <si>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</si>
  <si>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</si>
  <si>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</si>
  <si>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</si>
  <si>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</si>
  <si>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</si>
  <si>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</si>
  <si>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</si>
  <si>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</si>
  <si>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</si>
  <si>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</si>
  <si>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</si>
  <si>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</si>
  <si>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</si>
  <si>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</si>
  <si>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</si>
  <si>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</si>
  <si>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</si>
  <si>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</si>
  <si>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</si>
  <si>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</si>
  <si>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</si>
  <si>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</si>
  <si>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</si>
  <si>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</si>
  <si>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</si>
  <si>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</si>
  <si>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</si>
  <si>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</si>
  <si>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</si>
  <si>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</si>
  <si>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</si>
  <si>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</si>
  <si>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</si>
  <si>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</si>
  <si>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</si>
  <si>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</si>
  <si>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</si>
  <si>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</si>
  <si>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</si>
  <si>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</si>
  <si>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</si>
  <si>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</si>
  <si>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</si>
  <si>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</si>
  <si>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</si>
  <si>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</si>
  <si>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</si>
  <si>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</si>
  <si>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</si>
  <si>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</si>
  <si>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</si>
  <si>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</si>
  <si>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</si>
  <si>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</si>
  <si>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</si>
  <si>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</si>
  <si>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</si>
  <si>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</si>
  <si>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</si>
  <si>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</si>
  <si>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</si>
  <si>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</si>
  <si>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</si>
  <si>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</si>
  <si>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</si>
  <si>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</si>
  <si>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</si>
  <si>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</si>
  <si>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</si>
  <si>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</si>
  <si>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</si>
  <si>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</si>
  <si>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</si>
  <si>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</si>
  <si>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</si>
  <si>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</si>
  <si>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</si>
  <si>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</si>
  <si>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</si>
  <si>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</si>
  <si>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</si>
  <si>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</si>
  <si>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</si>
  <si>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</si>
  <si>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</si>
  <si>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</si>
  <si>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</si>
  <si>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</si>
  <si>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</si>
  <si>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</si>
  <si>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</si>
  <si>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</si>
  <si>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</si>
  <si>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</si>
  <si>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</si>
  <si>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</si>
  <si>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</si>
  <si>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</si>
  <si>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</si>
  <si>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</si>
  <si>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</si>
  <si>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</si>
  <si>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</si>
  <si>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</si>
  <si>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</si>
  <si>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</si>
  <si>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</si>
  <si>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</si>
  <si>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</si>
  <si>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</si>
  <si>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</si>
  <si>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</si>
  <si>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</si>
  <si>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</si>
  <si>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</si>
  <si>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</si>
  <si>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</si>
  <si>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</si>
  <si>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</si>
  <si>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</si>
  <si>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</si>
  <si>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</si>
  <si>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</si>
  <si>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</si>
  <si>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</si>
  <si>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</si>
  <si>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</si>
  <si>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</si>
  <si>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</si>
  <si>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</si>
  <si>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</si>
  <si>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</si>
  <si>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</si>
  <si>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</si>
  <si>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</si>
  <si>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</si>
  <si>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</si>
  <si>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</si>
  <si>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</si>
  <si>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</si>
  <si>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</si>
  <si>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</si>
  <si>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</si>
  <si>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</si>
  <si>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</si>
  <si>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</si>
  <si>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</si>
  <si>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</si>
  <si>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</si>
  <si>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</si>
  <si>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</si>
  <si>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</si>
  <si>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</si>
  <si>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</si>
  <si>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</si>
  <si>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</si>
  <si>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</si>
  <si>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</si>
  <si>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</si>
  <si>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</si>
  <si>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</si>
  <si>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</si>
  <si>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</si>
  <si>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</si>
  <si>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</si>
  <si>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</si>
  <si>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</si>
  <si>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</si>
  <si>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</si>
  <si>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</si>
  <si>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</si>
  <si>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</si>
  <si>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</si>
  <si>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</si>
  <si>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</si>
  <si>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</si>
  <si>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</si>
  <si>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</si>
  <si>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</si>
  <si>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</si>
  <si>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</si>
  <si>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</si>
  <si>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</si>
  <si>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</si>
  <si>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</si>
  <si>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</si>
  <si>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</si>
  <si>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</si>
  <si>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</si>
  <si>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</si>
  <si>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</si>
  <si>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</si>
  <si>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</si>
  <si>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</si>
  <si>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</si>
  <si>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</si>
  <si>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</si>
  <si>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</si>
  <si>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</si>
  <si>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</si>
  <si>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</si>
  <si>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</si>
  <si>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</si>
  <si>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</si>
  <si>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</si>
  <si>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</si>
  <si>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</si>
  <si>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</si>
  <si>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</si>
  <si>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</si>
  <si>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</si>
  <si>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</si>
  <si>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</si>
  <si>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</si>
  <si>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</si>
  <si>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</si>
  <si>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</si>
  <si>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</si>
  <si>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</si>
  <si>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</si>
  <si>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</si>
  <si>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</si>
  <si>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</si>
  <si>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</si>
  <si>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</si>
  <si>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</si>
  <si>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</si>
  <si>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</si>
  <si>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</si>
  <si>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</si>
  <si>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</si>
  <si>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</si>
  <si>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</si>
  <si>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</si>
  <si>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</si>
  <si>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</si>
  <si>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</si>
  <si>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</si>
  <si>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</si>
  <si>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</si>
  <si>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</si>
  <si>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</si>
  <si>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</si>
  <si>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</si>
  <si>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</si>
  <si>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</si>
  <si>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</si>
  <si>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</si>
  <si>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</si>
  <si>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</si>
  <si>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</si>
  <si>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</si>
  <si>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</si>
  <si>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</si>
  <si>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</si>
  <si>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</si>
  <si>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</si>
  <si>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</si>
  <si>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</si>
  <si>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</si>
  <si>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</si>
  <si>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</si>
  <si>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</si>
  <si>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</si>
  <si>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</si>
  <si>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</si>
  <si>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</si>
  <si>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</si>
  <si>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</si>
  <si>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</si>
  <si>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</si>
  <si>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</si>
  <si>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</si>
  <si>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</si>
  <si>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</si>
  <si>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</si>
  <si>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</si>
  <si>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</si>
  <si>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</si>
  <si>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</si>
  <si>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</si>
  <si>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</si>
  <si>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</si>
  <si>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</si>
  <si>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</si>
  <si>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</si>
  <si>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</si>
  <si>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</si>
  <si>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</si>
  <si>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</si>
  <si>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</si>
  <si>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</si>
  <si>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</si>
  <si>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</si>
  <si>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</si>
  <si>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</si>
  <si>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</si>
  <si>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</si>
  <si>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</si>
  <si>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</si>
  <si>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</si>
  <si>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</si>
  <si>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</si>
  <si>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</si>
  <si>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</si>
  <si>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</si>
  <si>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</si>
  <si>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</si>
  <si>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</si>
  <si>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</si>
  <si>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</si>
  <si>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</si>
  <si>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</si>
  <si>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</si>
  <si>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</si>
  <si>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</si>
  <si>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</si>
  <si>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</si>
  <si>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</si>
  <si>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</si>
  <si>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</si>
  <si>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</si>
  <si>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</si>
  <si>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</si>
  <si>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</si>
  <si>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</si>
  <si>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</si>
  <si>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</si>
  <si>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</si>
  <si>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</si>
  <si>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</si>
  <si>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</si>
  <si>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</si>
  <si>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</si>
  <si>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</si>
  <si>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</si>
  <si>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</si>
  <si>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</si>
  <si>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</si>
  <si>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</si>
  <si>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</si>
  <si>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</si>
  <si>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</si>
  <si>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</si>
  <si>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</si>
  <si>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</si>
  <si>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</si>
  <si>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</si>
  <si>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</si>
  <si>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</si>
  <si>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</si>
  <si>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</si>
  <si>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</si>
  <si>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</si>
  <si>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</si>
  <si>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</si>
  <si>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</si>
  <si>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</si>
  <si>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</si>
  <si>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</si>
  <si>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</si>
  <si>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</si>
  <si>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</si>
  <si>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</si>
  <si>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</si>
  <si>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</si>
  <si>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</si>
  <si>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</si>
  <si>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</si>
  <si>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</si>
  <si>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</si>
  <si>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</si>
  <si>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</si>
  <si>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</si>
  <si>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</si>
  <si>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</si>
  <si>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</si>
  <si>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</si>
  <si>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</si>
  <si>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</si>
  <si>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</si>
  <si>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</si>
  <si>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</si>
  <si>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</si>
  <si>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</si>
  <si>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</si>
  <si>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</si>
  <si>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</si>
  <si>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</si>
  <si>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</si>
  <si>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</si>
  <si>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</si>
  <si>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</si>
  <si>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</si>
  <si>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</si>
  <si>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</si>
  <si>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</si>
  <si>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</si>
  <si>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</si>
  <si>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</si>
  <si>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</si>
  <si>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</si>
  <si>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</si>
  <si>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</si>
  <si>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</si>
  <si>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</si>
  <si>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</si>
  <si>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</si>
  <si>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</si>
  <si>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</si>
  <si>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</si>
  <si>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</si>
  <si>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</si>
  <si>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</si>
  <si>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</si>
  <si>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</si>
  <si>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</si>
  <si>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</si>
  <si>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</si>
  <si>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</si>
  <si>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</si>
  <si>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</si>
  <si>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</si>
  <si>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</si>
  <si>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</si>
  <si>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</si>
  <si>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</si>
  <si>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</si>
  <si>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</si>
  <si>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</si>
  <si>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</si>
  <si>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</si>
  <si>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</si>
  <si>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</si>
  <si>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</si>
  <si>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</si>
  <si>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</si>
  <si>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</si>
  <si>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</si>
  <si>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</si>
  <si>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</si>
  <si>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</si>
  <si>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</si>
  <si>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</si>
  <si>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</si>
  <si>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</si>
  <si>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</si>
  <si>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</si>
  <si>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</si>
  <si>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</si>
  <si>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</si>
  <si>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</si>
  <si>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</si>
  <si>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</si>
  <si>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</si>
  <si>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</si>
  <si>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</si>
  <si>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</si>
  <si>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</si>
  <si>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</si>
  <si>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</si>
  <si>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</si>
  <si>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</si>
  <si>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</si>
  <si>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</si>
  <si>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</si>
  <si>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</si>
  <si>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</si>
  <si>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</si>
  <si>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</si>
  <si>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</si>
  <si>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</si>
  <si>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</si>
  <si>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</si>
  <si>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</si>
  <si>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</si>
  <si>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</si>
  <si>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</si>
  <si>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</si>
  <si>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</si>
  <si>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</si>
  <si>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</si>
  <si>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</si>
  <si>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</si>
  <si>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</si>
  <si>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</si>
  <si>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</si>
  <si>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</si>
  <si>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</si>
  <si>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</si>
  <si>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</si>
  <si>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</si>
  <si>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</si>
  <si>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</si>
  <si>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</si>
  <si>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</si>
  <si>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</si>
  <si>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</si>
  <si>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</si>
  <si>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</si>
  <si>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</si>
  <si>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</si>
  <si>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</si>
  <si>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</si>
  <si>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</si>
  <si>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</si>
  <si>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</si>
  <si>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</si>
  <si>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</si>
  <si>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</si>
  <si>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</si>
  <si>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</si>
  <si>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</si>
  <si>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</si>
  <si>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</si>
  <si>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</si>
  <si>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</si>
  <si>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</si>
  <si>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</si>
  <si>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</si>
  <si>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</si>
  <si>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</si>
  <si>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</si>
  <si>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</si>
  <si>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</si>
  <si>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</si>
  <si>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</si>
  <si>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</si>
  <si>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</si>
  <si>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</si>
  <si>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</si>
  <si>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</si>
  <si>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</si>
  <si>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</si>
  <si>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</si>
  <si>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</si>
  <si>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</si>
  <si>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</si>
  <si>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</si>
  <si>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</si>
  <si>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</si>
  <si>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</si>
  <si>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</si>
  <si>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</si>
  <si>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</si>
  <si>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</si>
  <si>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</si>
  <si>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</si>
  <si>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</si>
  <si>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</si>
  <si>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</si>
  <si>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</si>
  <si>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</si>
  <si>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</si>
  <si>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</si>
  <si>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</si>
  <si>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</si>
  <si>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</si>
  <si>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</si>
  <si>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</si>
  <si>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</si>
  <si>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</si>
  <si>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</si>
  <si>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</si>
  <si>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</si>
  <si>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</si>
  <si>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</si>
  <si>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</si>
  <si>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</si>
  <si>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</si>
  <si>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</si>
  <si>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</si>
  <si>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</si>
  <si>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</si>
  <si>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</si>
  <si>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</si>
  <si>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</si>
  <si>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</si>
  <si>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</si>
  <si>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</si>
  <si>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</si>
  <si>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</si>
  <si>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</si>
  <si>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</si>
  <si>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</si>
  <si>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</si>
  <si>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</si>
  <si>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</si>
  <si>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</si>
  <si>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</si>
  <si>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</si>
  <si>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</si>
  <si>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</si>
  <si>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</si>
  <si>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</si>
  <si>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</si>
  <si>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</si>
  <si>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</si>
  <si>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</si>
  <si>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</si>
  <si>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</si>
  <si>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</si>
  <si>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</si>
  <si>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</si>
  <si>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</si>
  <si>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</si>
  <si>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</si>
  <si>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</si>
  <si>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</si>
  <si>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</si>
  <si>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</si>
  <si>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</si>
  <si>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</si>
  <si>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</si>
  <si>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</si>
  <si>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</si>
  <si>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</si>
  <si>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</si>
  <si>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</si>
  <si>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</si>
  <si>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</si>
  <si>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</si>
  <si>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</si>
  <si>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</si>
  <si>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</si>
  <si>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</si>
  <si>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</si>
  <si>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</si>
  <si>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</si>
  <si>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</si>
  <si>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</si>
  <si>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</si>
  <si>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</si>
  <si>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</si>
  <si>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</si>
  <si>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</si>
  <si>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</si>
  <si>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</si>
  <si>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</si>
  <si>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</si>
  <si>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</si>
  <si>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</si>
  <si>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</si>
  <si>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</si>
  <si>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</si>
  <si>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</si>
  <si>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</si>
  <si>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</si>
  <si>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</si>
  <si>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</si>
  <si>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</si>
  <si>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</si>
  <si>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</si>
  <si>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</si>
  <si>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</si>
  <si>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</si>
  <si>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</si>
  <si>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</si>
  <si>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</si>
  <si>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</si>
  <si>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</si>
  <si>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</si>
  <si>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</si>
  <si>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</si>
  <si>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</si>
  <si>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</si>
  <si>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</si>
  <si>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</si>
  <si>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</si>
  <si>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</si>
  <si>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</si>
  <si>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</si>
  <si>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</si>
  <si>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</si>
  <si>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</si>
  <si>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</si>
  <si>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</si>
  <si>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</si>
  <si>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</si>
  <si>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</si>
  <si>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</si>
  <si>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</si>
  <si>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</si>
  <si>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</si>
  <si>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</si>
  <si>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</si>
  <si>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</si>
  <si>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</si>
  <si>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</si>
  <si>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</si>
  <si>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</si>
  <si>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</si>
  <si>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</si>
  <si>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</si>
  <si>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</si>
  <si>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</si>
  <si>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</si>
  <si>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</si>
  <si>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</si>
  <si>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</si>
  <si>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</si>
  <si>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</si>
  <si>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</si>
  <si>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</si>
  <si>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</si>
  <si>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</si>
  <si>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</si>
  <si>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</si>
  <si>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</si>
  <si>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</si>
  <si>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</si>
  <si>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</si>
  <si>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</si>
  <si>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</si>
  <si>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</si>
  <si>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</si>
  <si>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</si>
  <si>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</si>
  <si>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</si>
  <si>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</si>
  <si>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</si>
  <si>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</si>
  <si>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</si>
  <si>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</si>
  <si>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</si>
  <si>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</si>
  <si>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</si>
  <si>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</si>
  <si>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</si>
  <si>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</si>
  <si>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</si>
  <si>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</si>
  <si>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</si>
  <si>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</si>
  <si>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</si>
  <si>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</si>
  <si>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</si>
  <si>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</si>
  <si>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</si>
  <si>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</si>
  <si>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</si>
  <si>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</si>
  <si>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</si>
  <si>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</si>
  <si>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</si>
  <si>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</si>
  <si>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</si>
  <si>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</si>
  <si>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</si>
  <si>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</si>
  <si>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</si>
  <si>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</si>
  <si>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</si>
  <si>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</si>
  <si>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</si>
  <si>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</si>
  <si>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</si>
  <si>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</si>
  <si>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</si>
  <si>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</si>
  <si>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</si>
  <si>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</si>
  <si>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</si>
  <si>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</si>
  <si>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</si>
  <si>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</si>
  <si>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</si>
  <si>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</si>
  <si>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</si>
  <si>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</si>
  <si>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</si>
  <si>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</si>
  <si>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</si>
  <si>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</si>
  <si>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</si>
  <si>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</si>
  <si>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</si>
  <si>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</si>
  <si>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</si>
  <si>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</si>
  <si>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</si>
  <si>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</si>
  <si>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</si>
  <si>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</si>
  <si>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</si>
  <si>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</si>
  <si>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</si>
  <si>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</si>
  <si>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</si>
  <si>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</si>
  <si>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</si>
  <si>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</si>
  <si>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</si>
  <si>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</si>
  <si>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</si>
  <si>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</si>
  <si>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</si>
  <si>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</si>
  <si>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</si>
  <si>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</si>
  <si>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</si>
  <si>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</si>
  <si>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</si>
  <si>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</si>
  <si>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</si>
  <si>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</si>
  <si>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</si>
  <si>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</si>
  <si>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</si>
  <si>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</si>
  <si>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</si>
  <si>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</si>
  <si>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</si>
  <si>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</si>
  <si>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</si>
  <si>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</si>
  <si>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</si>
  <si>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</si>
  <si>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</si>
  <si>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</si>
  <si>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</si>
  <si>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</si>
  <si>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</si>
  <si>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</si>
  <si>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</si>
  <si>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</si>
  <si>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</si>
  <si>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</si>
  <si>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</si>
  <si>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</si>
  <si>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</si>
  <si>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</si>
  <si>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</si>
  <si>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</si>
  <si>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</si>
  <si>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</si>
  <si>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</si>
  <si>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</si>
  <si>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</si>
  <si>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</si>
  <si>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</si>
  <si>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</si>
  <si>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</si>
  <si>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</si>
  <si>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</si>
  <si>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</si>
  <si>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</si>
  <si>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</si>
  <si>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</si>
  <si>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</si>
  <si>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</si>
  <si>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</si>
  <si>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</si>
  <si>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</si>
  <si>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</si>
  <si>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</si>
  <si>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</si>
  <si>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</si>
  <si>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</si>
  <si>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</si>
  <si>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</si>
  <si>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</si>
  <si>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</si>
  <si>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</si>
  <si>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</si>
  <si>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</si>
  <si>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</si>
  <si>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</si>
  <si>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</si>
  <si>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</si>
  <si>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</si>
  <si>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</si>
  <si>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</si>
  <si>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</si>
  <si>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</si>
  <si>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</si>
  <si>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</si>
  <si>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</si>
  <si>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</si>
  <si>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</si>
  <si>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</si>
  <si>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</si>
  <si>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</si>
  <si>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</si>
  <si>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</si>
  <si>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</si>
  <si>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</si>
  <si>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</si>
  <si>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</si>
  <si>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</si>
  <si>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</si>
  <si>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</si>
  <si>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</si>
  <si>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</si>
  <si>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</si>
  <si>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</si>
  <si>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</si>
  <si>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</si>
  <si>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</si>
  <si>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</si>
  <si>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</si>
  <si>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</si>
  <si>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</si>
  <si>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</si>
  <si>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</si>
  <si>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</si>
  <si>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</si>
  <si>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</si>
  <si>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</si>
  <si>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</si>
  <si>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</si>
  <si>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</si>
  <si>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</si>
  <si>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</si>
  <si>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</si>
  <si>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</si>
  <si>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</si>
  <si>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</si>
  <si>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</si>
  <si>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</si>
  <si>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</si>
  <si>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</si>
  <si>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</si>
  <si>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</si>
  <si>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</si>
  <si>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</si>
  <si>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</si>
  <si>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</si>
  <si>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</si>
  <si>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</si>
  <si>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</si>
  <si>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</si>
  <si>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</si>
  <si>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</si>
  <si>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</si>
  <si>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</si>
  <si>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</si>
  <si>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</si>
  <si>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</si>
  <si>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</si>
  <si>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</si>
  <si>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</si>
  <si>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</si>
  <si>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</si>
  <si>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</si>
  <si>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</si>
  <si>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</si>
  <si>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</si>
  <si>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</si>
  <si>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</si>
  <si>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</si>
  <si>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</si>
  <si>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</si>
  <si>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</si>
  <si>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</si>
  <si>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</si>
  <si>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</si>
  <si>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</si>
  <si>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</si>
  <si>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</si>
  <si>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</si>
  <si>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</si>
  <si>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</si>
  <si>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</si>
  <si>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</si>
  <si>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</si>
  <si>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</si>
  <si>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</si>
  <si>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</si>
  <si>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</si>
  <si>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</si>
  <si>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</si>
  <si>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</si>
  <si>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</si>
  <si>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</si>
  <si>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</si>
  <si>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</si>
  <si>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</si>
  <si>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</si>
  <si>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</si>
  <si>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</si>
  <si>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</si>
  <si>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</si>
  <si>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</si>
  <si>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</si>
  <si>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</si>
  <si>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</si>
  <si>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</si>
  <si>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</si>
  <si>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</si>
  <si>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</si>
  <si>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</si>
  <si>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</si>
  <si>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</si>
  <si>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</si>
  <si>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</si>
  <si>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</si>
  <si>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</si>
  <si>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</si>
  <si>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</si>
  <si>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</si>
  <si>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</si>
  <si>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</si>
  <si>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</si>
  <si>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</si>
  <si>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</si>
  <si>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</si>
  <si>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</si>
  <si>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</si>
  <si>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</si>
  <si>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</si>
  <si>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</si>
  <si>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</si>
  <si>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</si>
  <si>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</si>
  <si>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</si>
  <si>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</si>
  <si>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</si>
  <si>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</si>
  <si>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</si>
  <si>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</si>
  <si>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</si>
  <si>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</si>
  <si>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</si>
  <si>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</si>
  <si>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</si>
  <si>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</si>
  <si>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</si>
  <si>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</si>
  <si>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</si>
  <si>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</si>
  <si>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</si>
  <si>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</si>
  <si>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</si>
  <si>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</si>
  <si>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</si>
  <si>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</si>
  <si>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</si>
  <si>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</si>
  <si>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</si>
  <si>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</si>
  <si>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</si>
  <si>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</si>
  <si>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</si>
  <si>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</si>
  <si>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</si>
  <si>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</si>
  <si>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</si>
  <si>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</si>
  <si>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</si>
  <si>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</si>
  <si>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</si>
  <si>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</si>
  <si>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</si>
  <si>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</si>
  <si>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</si>
  <si>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</si>
  <si>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</si>
  <si>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</si>
  <si>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</si>
  <si>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</si>
  <si>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</si>
  <si>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</si>
  <si>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</si>
  <si>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</si>
  <si>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</si>
  <si>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</si>
  <si>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</si>
  <si>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</si>
  <si>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</si>
  <si>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</si>
  <si>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</si>
  <si>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</si>
  <si>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</si>
  <si>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</si>
  <si>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</si>
  <si>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</si>
  <si>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</si>
  <si>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</si>
  <si>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</si>
  <si>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</si>
  <si>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</si>
  <si>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</si>
  <si>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</si>
  <si>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</si>
  <si>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</si>
  <si>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</si>
  <si>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</si>
  <si>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</si>
  <si>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</si>
  <si>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</si>
  <si>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</si>
  <si>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</si>
  <si>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</si>
  <si>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</si>
  <si>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</si>
  <si>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</si>
  <si>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</si>
  <si>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</si>
  <si>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</si>
  <si>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</si>
  <si>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</si>
  <si>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</si>
  <si>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</si>
  <si>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</si>
  <si>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</si>
  <si>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</si>
  <si>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</si>
  <si>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</si>
  <si>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</si>
  <si>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</si>
  <si>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</si>
  <si>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</si>
  <si>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</si>
  <si>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</si>
  <si>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</si>
  <si>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</si>
  <si>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</si>
  <si>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</si>
  <si>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</si>
  <si>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</si>
  <si>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</si>
  <si>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</si>
  <si>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</si>
  <si>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</si>
  <si>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</si>
  <si>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</si>
  <si>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</si>
  <si>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</si>
  <si>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</si>
  <si>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</si>
  <si>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</si>
  <si>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</si>
  <si>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</si>
  <si>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</si>
  <si>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</si>
  <si>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</si>
  <si>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</si>
  <si>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</si>
  <si>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</si>
  <si>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</si>
  <si>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</si>
  <si>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</si>
  <si>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</si>
  <si>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</si>
  <si>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</si>
  <si>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</si>
  <si>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</si>
  <si>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</si>
  <si>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</si>
  <si>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</si>
  <si>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</si>
  <si>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</si>
  <si>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</si>
  <si>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</si>
  <si>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</si>
  <si>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</si>
  <si>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</si>
  <si>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</si>
  <si>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</si>
  <si>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</si>
  <si>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</si>
  <si>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</si>
  <si>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</si>
  <si>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</si>
  <si>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</si>
  <si>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</si>
  <si>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</si>
  <si>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</si>
  <si>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</si>
  <si>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</si>
  <si>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</si>
  <si>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</si>
  <si>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</si>
  <si>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</si>
  <si>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</si>
  <si>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</si>
  <si>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</si>
  <si>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</si>
  <si>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</si>
  <si>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</si>
  <si>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</si>
  <si>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</si>
  <si>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</si>
  <si>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</si>
  <si>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</si>
  <si>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</si>
  <si>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</si>
  <si>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</si>
  <si>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</si>
  <si>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</si>
  <si>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</si>
  <si>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</si>
  <si>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</si>
  <si>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</si>
  <si>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</si>
  <si>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</si>
  <si>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</si>
  <si>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</si>
  <si>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</si>
  <si>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</si>
  <si>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</si>
  <si>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</si>
  <si>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</si>
  <si>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</si>
  <si>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</si>
  <si>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</si>
  <si>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</si>
  <si>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</si>
  <si>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</si>
  <si>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</si>
  <si>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</si>
  <si>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</si>
  <si>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</si>
  <si>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</si>
  <si>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</si>
  <si>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</si>
  <si>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</si>
  <si>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</si>
  <si>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</si>
  <si>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</si>
  <si>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</si>
  <si>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</si>
  <si>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</si>
  <si>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</si>
  <si>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</si>
  <si>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</si>
  <si>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</si>
  <si>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</si>
  <si>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</si>
  <si>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</si>
  <si>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</si>
  <si>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</si>
  <si>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</si>
  <si>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</si>
  <si>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</si>
  <si>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</si>
  <si>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</si>
  <si>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</si>
  <si>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</si>
  <si>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</si>
  <si>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</si>
  <si>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</si>
  <si>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</si>
  <si>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</si>
  <si>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</si>
  <si>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</si>
  <si>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</si>
  <si>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</si>
  <si>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</si>
  <si>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</si>
  <si>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</si>
  <si>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</si>
  <si>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</si>
  <si>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</si>
  <si>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</si>
  <si>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</si>
  <si>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</si>
  <si>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</si>
  <si>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</si>
  <si>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</si>
  <si>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</si>
  <si>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</si>
  <si>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</si>
  <si>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</si>
  <si>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</si>
  <si>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</si>
  <si>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</si>
  <si>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</si>
  <si>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</si>
  <si>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</si>
  <si>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</si>
  <si>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</si>
  <si>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</si>
  <si>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</si>
  <si>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</si>
  <si>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</si>
  <si>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</si>
  <si>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</si>
  <si>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</si>
  <si>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</si>
  <si>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</si>
  <si>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</si>
  <si>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</si>
  <si>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</si>
  <si>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</si>
  <si>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</si>
  <si>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</si>
  <si>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</si>
  <si>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</si>
  <si>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</si>
  <si>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</si>
  <si>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</si>
  <si>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</si>
  <si>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</si>
  <si>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</si>
  <si>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</si>
  <si>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</si>
  <si>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</si>
  <si>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</si>
  <si>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</si>
  <si>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</si>
  <si>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</si>
  <si>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</si>
  <si>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</si>
  <si>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</si>
  <si>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</si>
  <si>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</si>
  <si>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</si>
  <si>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</si>
  <si>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</si>
  <si>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</si>
  <si>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</si>
  <si>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</si>
  <si>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</si>
  <si>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</si>
  <si>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</si>
  <si>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</si>
  <si>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</si>
  <si>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</si>
  <si>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</si>
  <si>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</si>
  <si>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</si>
  <si>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</si>
  <si>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</si>
  <si>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</si>
  <si>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</si>
  <si>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</si>
  <si>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</si>
  <si>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</si>
  <si>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</si>
  <si>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</si>
  <si>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</si>
  <si>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</si>
  <si>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</si>
  <si>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</si>
  <si>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</si>
  <si>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</si>
  <si>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</si>
  <si>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</si>
  <si>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</si>
  <si>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</si>
  <si>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</si>
  <si>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</si>
  <si>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</si>
  <si>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</si>
  <si>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</si>
  <si>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</si>
  <si>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</si>
  <si>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</si>
  <si>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</si>
  <si>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</si>
  <si>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</si>
  <si>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</si>
  <si>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</si>
  <si>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</si>
  <si>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</si>
  <si>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</si>
  <si>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</si>
  <si>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</si>
  <si>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</si>
  <si>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</si>
  <si>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</si>
  <si>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</si>
  <si>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</si>
  <si>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</si>
  <si>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</si>
  <si>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</si>
  <si>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</si>
  <si>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</si>
  <si>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</si>
  <si>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</si>
  <si>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</si>
  <si>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</si>
  <si>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</si>
  <si>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</si>
  <si>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</si>
  <si>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</si>
  <si>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</si>
  <si>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</si>
  <si>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</si>
  <si>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</si>
  <si>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</si>
  <si>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</si>
  <si>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</si>
  <si>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</si>
  <si>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</si>
  <si>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</si>
  <si>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</si>
  <si>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</si>
  <si>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</si>
  <si>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</si>
  <si>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</si>
  <si>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</si>
  <si>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</si>
  <si>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</si>
  <si>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</si>
  <si>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</si>
  <si>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</si>
  <si>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</si>
  <si>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</si>
  <si>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</si>
  <si>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</si>
  <si>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</si>
  <si>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</si>
  <si>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</si>
  <si>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</si>
  <si>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</si>
  <si>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</si>
  <si>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</si>
  <si>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</si>
  <si>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</si>
  <si>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</si>
  <si>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</si>
  <si>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</si>
  <si>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</si>
  <si>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</si>
  <si>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</si>
  <si>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</si>
  <si>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</si>
  <si>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</si>
  <si>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</si>
  <si>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</si>
  <si>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</si>
  <si>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</si>
  <si>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</si>
  <si>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</si>
  <si>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</si>
  <si>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</si>
  <si>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</si>
  <si>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</si>
  <si>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</si>
  <si>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</si>
  <si>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</si>
  <si>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</si>
  <si>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</si>
  <si>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</si>
  <si>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</si>
  <si>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</si>
  <si>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</si>
  <si>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</si>
  <si>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</si>
  <si>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</si>
  <si>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</si>
  <si>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</si>
  <si>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</si>
  <si>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</si>
  <si>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</si>
  <si>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</si>
  <si>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</si>
  <si>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</si>
  <si>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</si>
  <si>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</si>
  <si>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</si>
  <si>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</si>
  <si>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</si>
  <si>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</si>
  <si>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</si>
  <si>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</si>
  <si>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</si>
  <si>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</si>
  <si>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</si>
  <si>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</si>
  <si>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</si>
  <si>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</si>
  <si>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</si>
  <si>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</si>
  <si>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</si>
  <si>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</si>
  <si>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</si>
  <si>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</si>
  <si>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</si>
  <si>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</si>
  <si>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</si>
  <si>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</si>
  <si>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</si>
  <si>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</si>
  <si>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</si>
  <si>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</si>
  <si>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</si>
  <si>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</si>
  <si>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</si>
  <si>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</si>
  <si>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</si>
  <si>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</si>
  <si>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</si>
  <si>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</si>
  <si>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</si>
  <si>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</si>
  <si>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</si>
  <si>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</si>
  <si>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</si>
  <si>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</si>
  <si>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Will</t>
  </si>
  <si>
    <t>x</t>
  </si>
  <si>
    <t>X</t>
  </si>
  <si>
    <t>209 Wildcat Court</t>
  </si>
  <si>
    <t xml:space="preserve">Wilmington  </t>
  </si>
  <si>
    <t>ewandless@wilmington.will.k12.il.us</t>
  </si>
  <si>
    <t>Dr. Matt Swick</t>
  </si>
  <si>
    <t>mswick@wilmington.will.k12.il.us</t>
  </si>
  <si>
    <t>Mack &amp; Associates, P.C.</t>
  </si>
  <si>
    <t>Tawnya Mack, CPA</t>
  </si>
  <si>
    <t>116 E. Washington Street, Suite One</t>
  </si>
  <si>
    <t>Morris</t>
  </si>
  <si>
    <t>IL</t>
  </si>
  <si>
    <t>(815) 942-3306</t>
  </si>
  <si>
    <t>(815) 942-9430</t>
  </si>
  <si>
    <t>tmack@mackcpas.com</t>
  </si>
  <si>
    <t>2003 Working Cash Bond</t>
  </si>
  <si>
    <t>2006 Building Bond</t>
  </si>
  <si>
    <t>2009 Building Bond</t>
  </si>
  <si>
    <t>2010 General Obligation Bond</t>
  </si>
  <si>
    <t>2010A General Obligation Bond</t>
  </si>
  <si>
    <t>2011 General Obligation Bond</t>
  </si>
  <si>
    <t>2012A General Obligation Bond</t>
  </si>
  <si>
    <t>2012B General Obligation Bond</t>
  </si>
  <si>
    <t>2015 General Obligation Bond</t>
  </si>
  <si>
    <t>2017 General Obligation Bond</t>
  </si>
  <si>
    <t>COAL CITY UNIT 1; REED CUSTER UNIT 225</t>
  </si>
  <si>
    <t>PROFESSIONAL BENEFIT ADMINISTRATION</t>
  </si>
  <si>
    <t>EDUCATIONAL SCHOOL INSURANCE CO-OP; SELF</t>
  </si>
  <si>
    <t>PMA FINANCIAL NETWORK</t>
  </si>
  <si>
    <t>COAL CITY UNIT 1; REED CUSTER UNIT 225; PDA</t>
  </si>
  <si>
    <t xml:space="preserve">COAL CITY UNIT 1; REED CUSTER UNIT 225  </t>
  </si>
  <si>
    <t>SOUTHERN WILL CO. SPECIAL EDUCATION COOP</t>
  </si>
  <si>
    <t>STATE OF ILLINOIS JOINT PURCHASING</t>
  </si>
  <si>
    <t>ILLINOIS CENTRAL SCHOOL BUS CO.</t>
  </si>
  <si>
    <t>WILMINGTON ISLAND PARK DISTRICT</t>
  </si>
  <si>
    <t>Page 10, Line 74:  Educational Fund - Rebates and miscellaneous food sales</t>
  </si>
  <si>
    <t>Page 11, Line 106:  Educational Fund - Miscellaneous receipts &amp; charges</t>
  </si>
  <si>
    <t>Page 15, Line 41:  Educational Fund - Playground &amp; lunchroom supervisors</t>
  </si>
  <si>
    <t>Page 16, Line 73:  Educational Fund - Board paid member contribution to TRS &amp; termination benefits</t>
  </si>
  <si>
    <t>066-005100</t>
  </si>
  <si>
    <t>PDF in Opinion Page with signature</t>
  </si>
  <si>
    <t>ED - FISCAL SERVICES - PURCHASED SERVICES</t>
  </si>
  <si>
    <t>THE DECISION SYSTEMS CO.</t>
  </si>
  <si>
    <t>10-2520-400</t>
  </si>
  <si>
    <t>O&amp;M - O&amp;M PLANT - PURCHASED SERVICES</t>
  </si>
  <si>
    <t>20-2540-300</t>
  </si>
  <si>
    <t>COMMERCIAL ELECTRONIC SYSTEMS, INC.</t>
  </si>
  <si>
    <t>CROSS POINTS SALES, INC.</t>
  </si>
  <si>
    <t>DIRT WORKS LANDSCAPING</t>
  </si>
  <si>
    <t>IDEAL ENVIRONMENTAL ENGINEERS, INC.</t>
  </si>
  <si>
    <r>
      <t xml:space="preserve">The accompanying Schedule of Expenditures of Federal Awards includes the federal grant activity of </t>
    </r>
    <r>
      <rPr>
        <b/>
        <sz val="9"/>
        <rFont val="Calibri"/>
        <family val="2"/>
        <scheme val="minor"/>
      </rPr>
      <t xml:space="preserve">Wilmington Community Unit School District 209U </t>
    </r>
    <r>
      <rPr>
        <sz val="9"/>
        <rFont val="Calibri"/>
        <family val="2"/>
        <scheme val="minor"/>
      </rPr>
      <t xml:space="preserve">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</si>
  <si>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Wilmington Community Unit School District 209U</t>
    </r>
    <r>
      <rPr>
        <sz val="9"/>
        <rFont val="Calibri"/>
        <family val="2"/>
        <scheme val="minor"/>
      </rPr>
      <t xml:space="preserve"> provided federal awards to subrecipients as follows:</t>
    </r>
  </si>
  <si>
    <t>None</t>
  </si>
  <si>
    <t>N/A</t>
  </si>
  <si>
    <t>CHILD NUTRITION CLUSTER:</t>
  </si>
  <si>
    <t xml:space="preserve">  US DEPARTMENT OF AGRICULTURE:</t>
  </si>
  <si>
    <t xml:space="preserve">    PASSED THROUGH ISBE:</t>
  </si>
  <si>
    <t xml:space="preserve">      NATIONAL SCHOOL LUNCH PROGRAM - 2018</t>
  </si>
  <si>
    <t>4210-2018</t>
  </si>
  <si>
    <t>n/a</t>
  </si>
  <si>
    <t>4210-2017</t>
  </si>
  <si>
    <t xml:space="preserve">      NATIONAL SCHOOL LUNCH PROGRAM - 2017</t>
  </si>
  <si>
    <t xml:space="preserve">      LANTER COMMODITIES</t>
  </si>
  <si>
    <t xml:space="preserve">      SCHOOL BREAKFAST PROGRAM - 2018</t>
  </si>
  <si>
    <t>4220-2018</t>
  </si>
  <si>
    <t xml:space="preserve">      SCHOOL BREAKFAST PROGRAM - 2017</t>
  </si>
  <si>
    <t>TOTAL CHILD NUTRITION CLUSTER</t>
  </si>
  <si>
    <t>4001-2018</t>
  </si>
  <si>
    <t>US DEPARTMENT OF EDUCATION:</t>
  </si>
  <si>
    <t xml:space="preserve">  FEDERAL IMPACT AID (M)</t>
  </si>
  <si>
    <t xml:space="preserve">  PASSED THROUGH SOWIC:</t>
  </si>
  <si>
    <t xml:space="preserve">    SPECIAL EDUCATION (IDEA) CLUSTER:</t>
  </si>
  <si>
    <t xml:space="preserve">      IDEA FLOW-THROUGH - 2018</t>
  </si>
  <si>
    <t xml:space="preserve">      IDEA PRESCHOOL FLOW-THROUGH - 2018</t>
  </si>
  <si>
    <t>4620-2018</t>
  </si>
  <si>
    <t>4600-2018</t>
  </si>
  <si>
    <t xml:space="preserve">  TOTAL PASSED THROUGH SOWIC</t>
  </si>
  <si>
    <t>US DEPARTMENT OF EDUCATION (CONT.):</t>
  </si>
  <si>
    <t xml:space="preserve">  PASSED THROUGH ISBE:</t>
  </si>
  <si>
    <t xml:space="preserve">    TITLE I - 2018</t>
  </si>
  <si>
    <t>4300-2018</t>
  </si>
  <si>
    <t xml:space="preserve">    TITLE I - 2017</t>
  </si>
  <si>
    <t>4300-2017</t>
  </si>
  <si>
    <t xml:space="preserve">    TITLE II - 2018</t>
  </si>
  <si>
    <t>4932-2018</t>
  </si>
  <si>
    <t xml:space="preserve">    TITLE II - 2017</t>
  </si>
  <si>
    <t>4932-2017</t>
  </si>
  <si>
    <t xml:space="preserve">  TOTAL PASSED THROUGH ISBE</t>
  </si>
  <si>
    <t>TOTAL US DEPARTMENT OF EDUCATION:</t>
  </si>
  <si>
    <t>US DEPARTMENT OF HEALTH &amp; HUMAN SERVICES:</t>
  </si>
  <si>
    <t xml:space="preserve">  PASSED THROUGH IL DHCFS:</t>
  </si>
  <si>
    <t xml:space="preserve">    MEDICAL ASSISTANCE PROGRAM - 2018</t>
  </si>
  <si>
    <t>4991-2018</t>
  </si>
  <si>
    <t xml:space="preserve">    MEDICAL ASSISTANCE PROGRAM - 2017</t>
  </si>
  <si>
    <t>4991-2017</t>
  </si>
  <si>
    <t>TOTAL US DEPARTMENT OF HEALTH &amp; HUMAN SERVICES</t>
  </si>
  <si>
    <t>TOTAL FEDERAL AWARDS</t>
  </si>
  <si>
    <t>UNMODIFIED</t>
  </si>
  <si>
    <t>FEDERAL IMPACT AID</t>
  </si>
  <si>
    <t>NONE</t>
  </si>
  <si>
    <t>(815) 926-1751</t>
  </si>
  <si>
    <t>(815) 914-1694</t>
  </si>
  <si>
    <t>Page 11, Line 107: O&amp;M Fund - Miscellaneous receipts</t>
  </si>
  <si>
    <t>Page 19, Line 237:  SS &amp; IMRF Fund - Playground &amp; lunchroom supervisors</t>
  </si>
  <si>
    <t>Page 20, Line 278, SS &amp; IMRF Fund - FICA/Medicare related to termination benefits paid</t>
  </si>
  <si>
    <t>Page 12, Line 171: Educational Fund - State Library Grant</t>
  </si>
  <si>
    <t>Page 24, 2006 Building Bonds - Bonds refunded</t>
  </si>
  <si>
    <t>KLEIN, THORPE &amp; JENKINS, LLP</t>
  </si>
  <si>
    <t>WILL CO AREA CAREER CENTER; GRUNDY AREA VOCATIONAL CENTER</t>
  </si>
  <si>
    <t>4220-2017</t>
  </si>
  <si>
    <t>56099209U26</t>
  </si>
  <si>
    <t>Wilmington CUSD 209U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</si>
</sst>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742950</xdr:colOff>
          <xdr:row>8</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742950</xdr:colOff>
          <xdr:row>12</xdr:row>
          <xdr:rowOff>57150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FAFC664F-5C5B-494C-AC55-3F83501DF8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t="s">
        <v>2186</v>
      </c>
      <c r="B13" s="2005"/>
      <c r="C13" s="2005"/>
      <c r="D13" s="2005"/>
      <c r="E13" s="2005"/>
      <c r="F13" s="2005"/>
      <c r="G13" s="2005"/>
      <c r="H13" s="2006"/>
      <c r="I13" s="31"/>
      <c r="J13" s="30"/>
      <c r="K13" s="28"/>
      <c r="L13" s="30"/>
      <c r="M13" s="30"/>
      <c r="N13" s="30"/>
      <c r="O13" s="30"/>
      <c r="P13" s="30"/>
      <c r="Q13" s="30"/>
      <c r="R13" s="30"/>
      <c r="S13" s="30"/>
      <c r="T13" s="2009" t="s">
        <v>2083</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2084</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2187</v>
      </c>
      <c r="B17" s="2032"/>
      <c r="C17" s="2032"/>
      <c r="D17" s="2032"/>
      <c r="E17" s="2032"/>
      <c r="F17" s="2032"/>
      <c r="G17" s="2032"/>
      <c r="H17" s="2033"/>
      <c r="T17" s="2019" t="s">
        <v>2085</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2078</v>
      </c>
      <c r="B19" s="2003"/>
      <c r="C19" s="2003"/>
      <c r="D19" s="2003"/>
      <c r="E19" s="2003"/>
      <c r="F19" s="2003"/>
      <c r="G19" s="2003"/>
      <c r="H19" s="2001"/>
      <c r="I19" s="30"/>
      <c r="J19" s="99"/>
      <c r="K19" s="40"/>
      <c r="L19" s="38"/>
      <c r="M19" s="112" t="s">
        <v>333</v>
      </c>
      <c r="P19" s="27"/>
      <c r="Q19" s="27"/>
      <c r="R19" s="27"/>
      <c r="S19" s="31"/>
      <c r="T19" s="2002" t="s">
        <v>2086</v>
      </c>
      <c r="U19" s="2000"/>
      <c r="V19" s="2000"/>
      <c r="W19" s="2001"/>
      <c r="X19" s="2017" t="s">
        <v>2087</v>
      </c>
      <c r="Y19" s="2018"/>
      <c r="Z19" s="2015">
        <v>60450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2079</v>
      </c>
      <c r="B21" s="2000"/>
      <c r="C21" s="2000"/>
      <c r="D21" s="2000"/>
      <c r="E21" s="2000"/>
      <c r="F21" s="2000"/>
      <c r="G21" s="2000"/>
      <c r="H21" s="2001"/>
      <c r="I21" s="2025" t="s">
        <v>699</v>
      </c>
      <c r="J21" s="1988"/>
      <c r="K21" s="1988"/>
      <c r="L21" s="1988"/>
      <c r="M21" s="1988"/>
      <c r="N21" s="1988"/>
      <c r="O21" s="1988"/>
      <c r="P21" s="1988"/>
      <c r="Q21" s="1988"/>
      <c r="R21" s="1988"/>
      <c r="S21" s="1989"/>
      <c r="T21" s="1967" t="s">
        <v>2088</v>
      </c>
      <c r="U21" s="1968"/>
      <c r="V21" s="1968"/>
      <c r="W21" s="1968"/>
      <c r="X21" s="1981" t="s">
        <v>2089</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2080</v>
      </c>
      <c r="B23" s="2023"/>
      <c r="C23" s="2023"/>
      <c r="D23" s="2023"/>
      <c r="E23" s="2023"/>
      <c r="F23" s="2023"/>
      <c r="G23" s="2023"/>
      <c r="H23" s="2024"/>
      <c r="T23" s="1962" t="s">
        <v>2115</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60481</v>
      </c>
      <c r="B25" s="2000"/>
      <c r="C25" s="2000"/>
      <c r="D25" s="2000"/>
      <c r="E25" s="2000"/>
      <c r="F25" s="2000"/>
      <c r="G25" s="2000"/>
      <c r="H25" s="2001"/>
      <c r="I25" s="113"/>
      <c r="J25" s="2066"/>
      <c r="K25" s="2066"/>
      <c r="L25" s="2066"/>
      <c r="M25" s="2066"/>
      <c r="N25" s="2066"/>
      <c r="O25" s="2066"/>
      <c r="P25" s="2066"/>
      <c r="Q25" s="2066"/>
      <c r="R25" s="2066"/>
      <c r="S25" s="2067"/>
      <c r="T25" s="1959" t="s">
        <v>2090</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2082</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2176</v>
      </c>
      <c r="B42" s="2049"/>
      <c r="C42" s="2050"/>
      <c r="D42" s="2063" t="s">
        <v>2177</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7" sqref="C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1903</v>
      </c>
      <c r="B2" s="1550" t="s">
        <v>2033</v>
      </c>
      <c r="C2" s="715" t="s">
        <v>1908</v>
      </c>
      <c r="D2" s="715" t="s">
        <v>1909</v>
      </c>
      <c r="E2" s="715" t="s">
        <v>1910</v>
      </c>
      <c r="F2" s="715" t="s">
        <v>1911</v>
      </c>
    </row>
    <row r="3" spans="1:6" ht="12" customHeight="1" x14ac:dyDescent="0.2">
      <c r="A3" s="2202"/>
      <c r="B3" s="1547"/>
      <c r="C3" s="1548"/>
      <c r="D3" s="1549" t="s">
        <v>274</v>
      </c>
      <c r="E3" s="1548"/>
      <c r="F3" s="1549" t="s">
        <v>275</v>
      </c>
    </row>
    <row r="4" spans="1:6" ht="13.7" customHeight="1" x14ac:dyDescent="0.2">
      <c r="A4" s="716" t="s">
        <v>1217</v>
      </c>
      <c r="B4" s="1771">
        <f>'Revenues 9-14'!C5</f>
        <v>6077669</v>
      </c>
      <c r="C4" s="1546">
        <v>3129370</v>
      </c>
      <c r="D4" s="1774">
        <f>B4-C4</f>
        <v>2948299</v>
      </c>
      <c r="E4" s="1546">
        <v>5970346</v>
      </c>
      <c r="F4" s="1774">
        <f>E4-C4</f>
        <v>2840976</v>
      </c>
    </row>
    <row r="5" spans="1:6" ht="13.7" customHeight="1" x14ac:dyDescent="0.2">
      <c r="A5" s="716" t="s">
        <v>925</v>
      </c>
      <c r="B5" s="1772">
        <f>'Revenues 9-14'!D5</f>
        <v>929791</v>
      </c>
      <c r="C5" s="585">
        <v>478733</v>
      </c>
      <c r="D5" s="1775">
        <f t="shared" ref="D5:D18" si="0">B5-C5</f>
        <v>451058</v>
      </c>
      <c r="E5" s="585">
        <v>913348</v>
      </c>
      <c r="F5" s="1775">
        <f>E5-C5</f>
        <v>434615</v>
      </c>
    </row>
    <row r="6" spans="1:6" ht="13.7" customHeight="1" x14ac:dyDescent="0.2">
      <c r="A6" s="716" t="s">
        <v>431</v>
      </c>
      <c r="B6" s="1772">
        <f>'Revenues 9-14'!E5</f>
        <v>2354742</v>
      </c>
      <c r="C6" s="585">
        <f>1319102-79859+1244</f>
        <v>1240487</v>
      </c>
      <c r="D6" s="1775">
        <f t="shared" si="0"/>
        <v>1114255</v>
      </c>
      <c r="E6" s="585">
        <v>2356139</v>
      </c>
      <c r="F6" s="1775">
        <f t="shared" ref="F6:F18" si="1">E6-C6</f>
        <v>1115652</v>
      </c>
    </row>
    <row r="7" spans="1:6" ht="13.7" customHeight="1" x14ac:dyDescent="0.2">
      <c r="A7" s="716" t="s">
        <v>157</v>
      </c>
      <c r="B7" s="1772">
        <f>'Revenues 9-14'!F5</f>
        <v>366593</v>
      </c>
      <c r="C7" s="585">
        <v>188753</v>
      </c>
      <c r="D7" s="1775">
        <f t="shared" si="0"/>
        <v>177840</v>
      </c>
      <c r="E7" s="585">
        <v>360115</v>
      </c>
      <c r="F7" s="1775">
        <f t="shared" si="1"/>
        <v>171362</v>
      </c>
    </row>
    <row r="8" spans="1:6" ht="13.7" customHeight="1" x14ac:dyDescent="0.2">
      <c r="A8" s="716" t="s">
        <v>1241</v>
      </c>
      <c r="B8" s="1772">
        <f>'Revenues 9-14'!G5</f>
        <v>103984</v>
      </c>
      <c r="C8" s="585">
        <v>103792</v>
      </c>
      <c r="D8" s="1775">
        <f t="shared" si="0"/>
        <v>192</v>
      </c>
      <c r="E8" s="585">
        <v>198016</v>
      </c>
      <c r="F8" s="1775">
        <f t="shared" si="1"/>
        <v>94224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38151</v>
      </c>
      <c r="C10" s="585">
        <v>19684</v>
      </c>
      <c r="D10" s="1775">
        <f t="shared" si="0"/>
        <v>18467</v>
      </c>
      <c r="E10" s="585">
        <v>37551</v>
      </c>
      <c r="F10" s="1775">
        <f t="shared" si="1"/>
        <v>17867</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32713</v>
      </c>
      <c r="C14" s="585">
        <v>16868</v>
      </c>
      <c r="D14" s="1775">
        <f t="shared" si="0"/>
        <v>15845</v>
      </c>
      <c r="E14" s="585">
        <v>32186</v>
      </c>
      <c r="F14" s="1775">
        <f t="shared" si="1"/>
        <v>15318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161123</v>
      </c>
      <c r="C16" s="585">
        <v>160882</v>
      </c>
      <c r="D16" s="1775">
        <f t="shared" si="0"/>
        <v>241</v>
      </c>
      <c r="E16" s="585">
        <v>306937</v>
      </c>
      <c r="F16" s="1775">
        <f t="shared" si="1"/>
        <v>146055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10064766</v>
      </c>
      <c r="C19" s="1773">
        <f>SUM(C4:C18)</f>
        <v>5338569</v>
      </c>
      <c r="D19" s="1773">
        <f>SUM(D4:D18)</f>
        <v>4726197</v>
      </c>
      <c r="E19" s="1773">
        <f>SUM(E4:E18)</f>
        <v>10174638</v>
      </c>
      <c r="F19" s="1773">
        <f>SUM(F4:F18)</f>
        <v>4836069</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G33" sqref="G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1903</v>
      </c>
      <c r="B2" s="2217"/>
      <c r="C2" s="1909" t="s">
        <v>2034</v>
      </c>
      <c r="D2" s="724" t="s">
        <v>2041</v>
      </c>
      <c r="E2" s="724" t="s">
        <v>2042</v>
      </c>
      <c r="F2" s="1909" t="s">
        <v>2035</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2036</v>
      </c>
      <c r="F30" s="1910" t="s">
        <v>2037</v>
      </c>
      <c r="G30" s="1910" t="s">
        <v>2040</v>
      </c>
      <c r="H30" s="1910" t="s">
        <v>2038</v>
      </c>
      <c r="I30" s="1910" t="s">
        <v>2039</v>
      </c>
      <c r="J30" s="1911" t="s">
        <v>2</v>
      </c>
      <c r="K30" s="732"/>
    </row>
    <row r="31" spans="1:11" ht="12" customHeight="1" x14ac:dyDescent="0.2">
      <c r="A31" s="733" t="s">
        <v>2091</v>
      </c>
      <c r="B31" s="734">
        <v>37681</v>
      </c>
      <c r="C31" s="735">
        <v>1375000</v>
      </c>
      <c r="D31" s="736">
        <v>1</v>
      </c>
      <c r="E31" s="735">
        <v>382088</v>
      </c>
      <c r="F31" s="735"/>
      <c r="G31" s="735"/>
      <c r="H31" s="735">
        <v>89148</v>
      </c>
      <c r="I31" s="1778">
        <f>((E31+F31)-H31)+G31</f>
        <v>292940</v>
      </c>
      <c r="J31" s="735">
        <v>292940</v>
      </c>
      <c r="K31" s="737"/>
    </row>
    <row r="32" spans="1:11" ht="12" customHeight="1" x14ac:dyDescent="0.2">
      <c r="A32" s="733" t="s">
        <v>2092</v>
      </c>
      <c r="B32" s="734">
        <v>38869</v>
      </c>
      <c r="C32" s="735">
        <v>21285000</v>
      </c>
      <c r="D32" s="736">
        <v>6</v>
      </c>
      <c r="E32" s="735">
        <v>12325000</v>
      </c>
      <c r="F32" s="735"/>
      <c r="G32" s="735">
        <v>-6950000</v>
      </c>
      <c r="H32" s="735">
        <v>180000</v>
      </c>
      <c r="I32" s="1778">
        <f>((E32+F32)-H32)+G32</f>
        <v>5195000</v>
      </c>
      <c r="J32" s="735">
        <v>3606120</v>
      </c>
      <c r="K32" s="737"/>
    </row>
    <row r="33" spans="1:11" ht="12" customHeight="1" x14ac:dyDescent="0.2">
      <c r="A33" s="733" t="s">
        <v>2093</v>
      </c>
      <c r="B33" s="734">
        <v>39934</v>
      </c>
      <c r="C33" s="735">
        <v>3320000</v>
      </c>
      <c r="D33" s="736">
        <v>6</v>
      </c>
      <c r="E33" s="735">
        <v>2535000</v>
      </c>
      <c r="F33" s="735"/>
      <c r="G33" s="735"/>
      <c r="H33" s="735"/>
      <c r="I33" s="1778">
        <f t="shared" ref="I33:I48" si="1">((E33+F33)-H33)+G33</f>
        <v>2535000</v>
      </c>
      <c r="J33" s="735">
        <v>2535000</v>
      </c>
      <c r="K33" s="737"/>
    </row>
    <row r="34" spans="1:11" ht="12" customHeight="1" x14ac:dyDescent="0.2">
      <c r="A34" s="733" t="s">
        <v>2094</v>
      </c>
      <c r="B34" s="734">
        <v>40325</v>
      </c>
      <c r="C34" s="735">
        <v>870000</v>
      </c>
      <c r="D34" s="736">
        <v>6</v>
      </c>
      <c r="E34" s="735">
        <v>430000</v>
      </c>
      <c r="F34" s="735"/>
      <c r="G34" s="735"/>
      <c r="H34" s="735">
        <v>100000</v>
      </c>
      <c r="I34" s="1778">
        <f t="shared" si="1"/>
        <v>330000</v>
      </c>
      <c r="J34" s="735">
        <v>330000</v>
      </c>
      <c r="K34" s="738"/>
    </row>
    <row r="35" spans="1:11" ht="12" customHeight="1" x14ac:dyDescent="0.2">
      <c r="A35" s="733" t="s">
        <v>2095</v>
      </c>
      <c r="B35" s="734">
        <v>40444</v>
      </c>
      <c r="C35" s="739">
        <v>1000000</v>
      </c>
      <c r="D35" s="736">
        <v>6</v>
      </c>
      <c r="E35" s="739">
        <v>1000000</v>
      </c>
      <c r="F35" s="739"/>
      <c r="G35" s="739"/>
      <c r="H35" s="739"/>
      <c r="I35" s="1778">
        <f t="shared" si="1"/>
        <v>1000000</v>
      </c>
      <c r="J35" s="739">
        <v>1000000</v>
      </c>
      <c r="K35" s="738"/>
    </row>
    <row r="36" spans="1:11" ht="12" customHeight="1" x14ac:dyDescent="0.2">
      <c r="A36" s="733" t="s">
        <v>2096</v>
      </c>
      <c r="B36" s="734">
        <v>40597</v>
      </c>
      <c r="C36" s="735">
        <v>415000</v>
      </c>
      <c r="D36" s="736">
        <v>6</v>
      </c>
      <c r="E36" s="735">
        <v>415000</v>
      </c>
      <c r="F36" s="735"/>
      <c r="G36" s="735"/>
      <c r="H36" s="735"/>
      <c r="I36" s="1778">
        <f t="shared" si="1"/>
        <v>415000</v>
      </c>
      <c r="J36" s="735">
        <v>415000</v>
      </c>
      <c r="K36" s="740"/>
    </row>
    <row r="37" spans="1:11" ht="12" customHeight="1" x14ac:dyDescent="0.2">
      <c r="A37" s="733" t="s">
        <v>2097</v>
      </c>
      <c r="B37" s="734">
        <v>40960</v>
      </c>
      <c r="C37" s="467">
        <v>8100000</v>
      </c>
      <c r="D37" s="741">
        <v>3</v>
      </c>
      <c r="E37" s="467">
        <v>7980000</v>
      </c>
      <c r="F37" s="467"/>
      <c r="G37" s="467"/>
      <c r="H37" s="467">
        <v>200000</v>
      </c>
      <c r="I37" s="1778">
        <f t="shared" si="1"/>
        <v>7780000</v>
      </c>
      <c r="J37" s="467">
        <v>7780000</v>
      </c>
      <c r="K37" s="738"/>
    </row>
    <row r="38" spans="1:11" ht="12" customHeight="1" x14ac:dyDescent="0.2">
      <c r="A38" s="733" t="s">
        <v>2098</v>
      </c>
      <c r="B38" s="734">
        <v>40960</v>
      </c>
      <c r="C38" s="735">
        <v>205000</v>
      </c>
      <c r="D38" s="742">
        <v>3</v>
      </c>
      <c r="E38" s="743">
        <v>90000</v>
      </c>
      <c r="F38" s="743"/>
      <c r="G38" s="743"/>
      <c r="H38" s="743">
        <v>90000</v>
      </c>
      <c r="I38" s="1778">
        <f t="shared" si="1"/>
        <v>0</v>
      </c>
      <c r="J38" s="744" t="s">
        <v>282</v>
      </c>
      <c r="K38" s="745"/>
    </row>
    <row r="39" spans="1:11" ht="12" customHeight="1" x14ac:dyDescent="0.2">
      <c r="A39" s="733" t="s">
        <v>2099</v>
      </c>
      <c r="B39" s="734">
        <v>42018</v>
      </c>
      <c r="C39" s="735">
        <v>4910000</v>
      </c>
      <c r="D39" s="742">
        <v>3</v>
      </c>
      <c r="E39" s="743">
        <v>4910000</v>
      </c>
      <c r="F39" s="743"/>
      <c r="G39" s="743"/>
      <c r="H39" s="743"/>
      <c r="I39" s="1778">
        <f t="shared" si="1"/>
        <v>4910000</v>
      </c>
      <c r="J39" s="744">
        <v>4910000</v>
      </c>
      <c r="K39" s="745"/>
    </row>
    <row r="40" spans="1:11" ht="12" customHeight="1" x14ac:dyDescent="0.2">
      <c r="A40" s="733" t="s">
        <v>2100</v>
      </c>
      <c r="B40" s="734">
        <v>42948</v>
      </c>
      <c r="C40" s="735">
        <v>6895000</v>
      </c>
      <c r="D40" s="742">
        <v>3</v>
      </c>
      <c r="E40" s="743"/>
      <c r="F40" s="743">
        <v>6895000</v>
      </c>
      <c r="G40" s="743"/>
      <c r="H40" s="743">
        <v>60000</v>
      </c>
      <c r="I40" s="1778">
        <f t="shared" si="1"/>
        <v>6835000</v>
      </c>
      <c r="J40" s="744">
        <v>6835000</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48375000</v>
      </c>
      <c r="D49" s="746"/>
      <c r="E49" s="1778">
        <f t="shared" ref="E49:J49" si="2">SUM(E31:E48)</f>
        <v>30067088</v>
      </c>
      <c r="F49" s="1778">
        <f t="shared" si="2"/>
        <v>6895000</v>
      </c>
      <c r="G49" s="1778">
        <f t="shared" si="2"/>
        <v>-6950000</v>
      </c>
      <c r="H49" s="1778">
        <f t="shared" si="2"/>
        <v>719148</v>
      </c>
      <c r="I49" s="1778">
        <f t="shared" si="2"/>
        <v>29292940</v>
      </c>
      <c r="J49" s="1778">
        <f t="shared" si="2"/>
        <v>27704060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7" sqref="K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1917</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32713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12000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22335</v>
      </c>
    </row>
    <row r="10" spans="1:11" x14ac:dyDescent="0.2">
      <c r="A10" s="2259" t="s">
        <v>1918</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32713</v>
      </c>
      <c r="I12" s="1780">
        <f>SUM(I5:I11)</f>
        <v>0</v>
      </c>
      <c r="J12" s="1780">
        <f>SUM(J5:J11)</f>
        <v>0</v>
      </c>
      <c r="K12" s="1780">
        <f>SUM(K5:K11)</f>
        <v>34335</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32713</v>
      </c>
      <c r="I14" s="772"/>
      <c r="J14" s="774"/>
      <c r="K14" s="766">
        <v>34335</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1914</v>
      </c>
      <c r="B19" s="2267"/>
      <c r="C19" s="2267"/>
      <c r="D19" s="2267"/>
      <c r="E19" s="2268"/>
      <c r="F19" s="790" t="s">
        <v>990</v>
      </c>
      <c r="G19" s="783"/>
      <c r="H19" s="783"/>
      <c r="I19" s="783"/>
      <c r="J19" s="766"/>
      <c r="K19" s="796"/>
    </row>
    <row r="20" spans="1:11" x14ac:dyDescent="0.2">
      <c r="A20" s="2246" t="s">
        <v>1919</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1920</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32713</v>
      </c>
      <c r="I23" s="1780">
        <f>SUM(I14:I16,I21,I22)</f>
        <v>0</v>
      </c>
      <c r="J23" s="1780">
        <f>SUM(J14:J16,J21,J22)</f>
        <v>0</v>
      </c>
      <c r="K23" s="1780">
        <f>SUM(K14:K16,K21,K22)</f>
        <v>34335</v>
      </c>
    </row>
    <row r="24" spans="1:11" ht="14.25" thickTop="1" thickBot="1" x14ac:dyDescent="0.25">
      <c r="A24" s="2253" t="s">
        <v>2022</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2031</v>
      </c>
      <c r="B1" s="2272"/>
      <c r="C1" s="2273"/>
      <c r="D1" s="827"/>
      <c r="E1" s="828"/>
      <c r="F1" s="828"/>
      <c r="G1" s="829"/>
      <c r="H1" s="830"/>
      <c r="I1" s="831"/>
      <c r="J1" s="2269"/>
      <c r="K1" s="2270"/>
      <c r="L1" s="2270"/>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1567607</v>
      </c>
      <c r="D5" s="842"/>
      <c r="E5" s="842"/>
      <c r="F5" s="1782">
        <f>(C5+D5)-E5</f>
        <v>1567607</v>
      </c>
      <c r="G5" s="838"/>
      <c r="H5" s="843"/>
      <c r="I5" s="843"/>
      <c r="J5" s="843"/>
      <c r="K5" s="794"/>
      <c r="L5" s="1791">
        <f>F5-K5</f>
        <v>1567607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63240584</v>
      </c>
      <c r="D8" s="845">
        <v>347236</v>
      </c>
      <c r="E8" s="845"/>
      <c r="F8" s="1782">
        <f>(C8+D8)-E8</f>
        <v>63587820</v>
      </c>
      <c r="G8" s="844">
        <v>50</v>
      </c>
      <c r="H8" s="766">
        <f>29616910+632863</f>
        <v>30249773</v>
      </c>
      <c r="I8" s="766">
        <f>898621+140508</f>
        <v>1039129</v>
      </c>
      <c r="J8" s="766"/>
      <c r="K8" s="1791">
        <f>(H8+I8)-J8</f>
        <v>31288902</v>
      </c>
      <c r="L8" s="1791">
        <f>F8-K8</f>
        <v>32298918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5023697</v>
      </c>
      <c r="D12" s="845">
        <v>72706</v>
      </c>
      <c r="E12" s="845">
        <v>102066</v>
      </c>
      <c r="F12" s="1782">
        <f>(C12+D12)-E12</f>
        <v>4994337</v>
      </c>
      <c r="G12" s="844">
        <v>10</v>
      </c>
      <c r="H12" s="766">
        <f>4649480+60609</f>
        <v>4710089</v>
      </c>
      <c r="I12" s="766">
        <v>147776</v>
      </c>
      <c r="J12" s="766">
        <v>102066</v>
      </c>
      <c r="K12" s="1791">
        <f>(H12+I12)-J12</f>
        <v>4755799</v>
      </c>
      <c r="L12" s="1791">
        <f>F12-K12</f>
        <v>238538</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111075</v>
      </c>
      <c r="D15" s="845"/>
      <c r="E15" s="845">
        <v>111075</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69942963</v>
      </c>
      <c r="D16" s="1782">
        <f>SUM(D3,D5:D6,D8:D10,D12:D15)</f>
        <v>419942</v>
      </c>
      <c r="E16" s="1782">
        <f>SUM(E3,E5:E6,E8:E10,E12:E15)</f>
        <v>213141</v>
      </c>
      <c r="F16" s="1782">
        <f>SUM(F3,F5:F6,F8:F10,F12:F15)</f>
        <v>70149764</v>
      </c>
      <c r="G16" s="844"/>
      <c r="H16" s="1782">
        <f>SUM(H3,H6,H8:H10,H12:H14,)</f>
        <v>34959862</v>
      </c>
      <c r="I16" s="1782">
        <f>SUM(I3,I6,I8:I10,I12:I14,)</f>
        <v>1186905</v>
      </c>
      <c r="J16" s="1782">
        <f>SUM(J3,J6,J8:J10,J12:J14,)</f>
        <v>102066</v>
      </c>
      <c r="K16" s="1782">
        <f>(H16+I16)-J16</f>
        <v>36044701</v>
      </c>
      <c r="L16" s="1782">
        <f>F16-K16</f>
        <v>34105063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1186905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11959979</v>
      </c>
      <c r="G8" s="866"/>
    </row>
    <row r="9" spans="1:7" x14ac:dyDescent="0.2">
      <c r="A9" s="870" t="s">
        <v>480</v>
      </c>
      <c r="B9" s="871" t="s">
        <v>1986</v>
      </c>
      <c r="C9" s="872"/>
      <c r="D9" s="870" t="s">
        <v>522</v>
      </c>
      <c r="E9" s="869"/>
      <c r="F9" s="1935">
        <f>'Expenditures 15-22'!K151</f>
        <v>1623688</v>
      </c>
      <c r="G9" s="873"/>
    </row>
    <row r="10" spans="1:7" x14ac:dyDescent="0.2">
      <c r="A10" s="870" t="s">
        <v>520</v>
      </c>
      <c r="B10" s="871" t="s">
        <v>1987</v>
      </c>
      <c r="C10" s="872"/>
      <c r="D10" s="870" t="s">
        <v>522</v>
      </c>
      <c r="E10" s="869"/>
      <c r="F10" s="1935">
        <f>'Expenditures 15-22'!K174</f>
        <v>2454311</v>
      </c>
      <c r="G10" s="873"/>
    </row>
    <row r="11" spans="1:7" x14ac:dyDescent="0.2">
      <c r="A11" s="870" t="s">
        <v>481</v>
      </c>
      <c r="B11" s="871" t="s">
        <v>1988</v>
      </c>
      <c r="C11" s="872"/>
      <c r="D11" s="870" t="s">
        <v>522</v>
      </c>
      <c r="E11" s="869"/>
      <c r="F11" s="1935">
        <f>'Expenditures 15-22'!K210</f>
        <v>1485348</v>
      </c>
      <c r="G11" s="873"/>
    </row>
    <row r="12" spans="1:7" x14ac:dyDescent="0.2">
      <c r="A12" s="870" t="s">
        <v>482</v>
      </c>
      <c r="B12" s="871" t="s">
        <v>1989</v>
      </c>
      <c r="C12" s="872"/>
      <c r="D12" s="870" t="s">
        <v>522</v>
      </c>
      <c r="E12" s="869"/>
      <c r="F12" s="1935">
        <f>'Expenditures 15-22'!K295</f>
        <v>434007</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17957333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76556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15625</v>
      </c>
      <c r="G52" s="866"/>
    </row>
    <row r="53" spans="1:7" x14ac:dyDescent="0.2">
      <c r="A53" s="870" t="s">
        <v>479</v>
      </c>
      <c r="B53" s="870" t="s">
        <v>1551</v>
      </c>
      <c r="C53" s="890">
        <f>'Expenditures 15-22'!B102</f>
        <v>4000</v>
      </c>
      <c r="D53" s="889" t="str">
        <f>'Expenditures 15-22'!A102</f>
        <v>Total Payments to Other Govt Units</v>
      </c>
      <c r="E53" s="869"/>
      <c r="F53" s="1939">
        <f>'Expenditures 15-22'!K102</f>
        <v>2563172</v>
      </c>
      <c r="G53" s="866"/>
    </row>
    <row r="54" spans="1:7" x14ac:dyDescent="0.2">
      <c r="A54" s="870" t="s">
        <v>479</v>
      </c>
      <c r="B54" s="870" t="s">
        <v>1552</v>
      </c>
      <c r="C54" s="890" t="s">
        <v>1039</v>
      </c>
      <c r="D54" s="886" t="s">
        <v>1157</v>
      </c>
      <c r="E54" s="869"/>
      <c r="F54" s="1939">
        <f>'Expenditures 15-22'!G114</f>
        <v>87317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118421</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719148</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19</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3580258</v>
      </c>
      <c r="G76" s="866"/>
    </row>
    <row r="77" spans="1:8" s="894" customFormat="1" ht="12" customHeight="1" thickTop="1" thickBot="1" x14ac:dyDescent="0.25">
      <c r="A77" s="1801"/>
      <c r="B77" s="1798"/>
      <c r="C77" s="1794"/>
      <c r="D77" s="1799" t="s">
        <v>2009</v>
      </c>
      <c r="E77" s="1796"/>
      <c r="F77" s="1802">
        <f>(F14-F76)</f>
        <v>14377075</v>
      </c>
      <c r="G77" s="870"/>
    </row>
    <row r="78" spans="1:8" s="894" customFormat="1" ht="12" customHeight="1" thickTop="1" x14ac:dyDescent="0.2">
      <c r="A78" s="1803"/>
      <c r="B78" s="1798"/>
      <c r="C78" s="1794"/>
      <c r="D78" s="1799" t="s">
        <v>2055</v>
      </c>
      <c r="E78" s="1796"/>
      <c r="F78" s="899">
        <v>1221.83</v>
      </c>
      <c r="G78" s="900"/>
      <c r="H78" s="870"/>
    </row>
    <row r="79" spans="1:8" s="894" customFormat="1" ht="12" customHeight="1" thickBot="1" x14ac:dyDescent="0.25">
      <c r="A79" s="1804"/>
      <c r="B79" s="1798"/>
      <c r="C79" s="1794"/>
      <c r="D79" s="1799" t="s">
        <v>2010</v>
      </c>
      <c r="E79" s="1796" t="s">
        <v>1015</v>
      </c>
      <c r="F79" s="1805">
        <f>IF(F78&gt;0,F77/F78," Complete Line 78")</f>
        <v>11766.837448744916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288643</v>
      </c>
      <c r="G94" s="913"/>
    </row>
    <row r="95" spans="1:7" x14ac:dyDescent="0.2">
      <c r="A95" s="909" t="s">
        <v>142</v>
      </c>
      <c r="B95" s="909" t="s">
        <v>177</v>
      </c>
      <c r="C95" s="911">
        <v>1700</v>
      </c>
      <c r="D95" s="919" t="str">
        <f>'Revenues 9-14'!A82</f>
        <v>Total District/School Activity Income</v>
      </c>
      <c r="E95" s="907"/>
      <c r="F95" s="1811">
        <f>SUM('Revenues 9-14'!C82,'Revenues 9-14'!D82)</f>
        <v>45940</v>
      </c>
      <c r="G95" s="913"/>
    </row>
    <row r="96" spans="1:7" x14ac:dyDescent="0.2">
      <c r="A96" s="909" t="s">
        <v>479</v>
      </c>
      <c r="B96" s="909" t="s">
        <v>178</v>
      </c>
      <c r="C96" s="911">
        <f>'Revenues 9-14'!B84</f>
        <v>1811</v>
      </c>
      <c r="D96" s="912" t="str">
        <f>'Revenues 9-14'!A84</f>
        <v>Rentals - Regular Textbooks</v>
      </c>
      <c r="E96" s="907"/>
      <c r="F96" s="1811">
        <f>'Revenues 9-14'!C84</f>
        <v>81165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103368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30365</v>
      </c>
      <c r="G104" s="913"/>
    </row>
    <row r="105" spans="1:7" x14ac:dyDescent="0.2">
      <c r="A105" s="909" t="s">
        <v>524</v>
      </c>
      <c r="B105" s="909" t="s">
        <v>842</v>
      </c>
      <c r="C105" s="914">
        <v>3100</v>
      </c>
      <c r="D105" s="920" t="str">
        <f>'Revenues 9-14'!A131</f>
        <v>Total Special Education</v>
      </c>
      <c r="E105" s="907"/>
      <c r="F105" s="1811">
        <f>SUM('Revenues 9-14'!C131:D131,'Revenues 9-14'!F131)</f>
        <v>301642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39940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3975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22335</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950158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7249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286870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198845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2503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12892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17591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1068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685</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2394549</v>
      </c>
    </row>
    <row r="179" spans="1:7" ht="12" customHeight="1" x14ac:dyDescent="0.2">
      <c r="A179" s="1792"/>
      <c r="B179" s="1806"/>
      <c r="C179" s="1807"/>
      <c r="D179" s="1808" t="s">
        <v>2012</v>
      </c>
      <c r="E179" s="1809"/>
      <c r="F179" s="1811">
        <f>'PCTC-OEPP 27-28'!F77-F178</f>
        <v>11982526</v>
      </c>
    </row>
    <row r="180" spans="1:7" ht="12" customHeight="1" x14ac:dyDescent="0.2">
      <c r="A180" s="1792"/>
      <c r="B180" s="1806"/>
      <c r="C180" s="1807"/>
      <c r="D180" s="1808" t="s">
        <v>1922</v>
      </c>
      <c r="E180" s="1809"/>
      <c r="F180" s="1811">
        <f>'Cap Outlay Deprec 26'!I18</f>
        <v>1186905</v>
      </c>
    </row>
    <row r="181" spans="1:7" ht="12" customHeight="1" x14ac:dyDescent="0.2">
      <c r="A181" s="1792"/>
      <c r="B181" s="1806"/>
      <c r="C181" s="1807"/>
      <c r="D181" s="1808" t="s">
        <v>2013</v>
      </c>
      <c r="E181" s="1809"/>
      <c r="F181" s="1811">
        <f>F179+F180</f>
        <v>13169431</v>
      </c>
    </row>
    <row r="182" spans="1:7" ht="12" customHeight="1" x14ac:dyDescent="0.2">
      <c r="A182" s="1792"/>
      <c r="B182" s="1812"/>
      <c r="C182" s="1807"/>
      <c r="D182" s="1808" t="str">
        <f>D78</f>
        <v>9 Month ADA from District Average Daily Attendance/Prior General State Aid Inquiry 2017-2018</v>
      </c>
      <c r="E182" s="1809"/>
      <c r="F182" s="1813">
        <f>'PCTC-OEPP 27-28'!F78</f>
        <v>1221.83</v>
      </c>
      <c r="G182" s="931"/>
    </row>
    <row r="183" spans="1:7" ht="12" customHeight="1" thickBot="1" x14ac:dyDescent="0.25">
      <c r="A183" s="1792"/>
      <c r="B183" s="1812"/>
      <c r="C183" s="1807"/>
      <c r="D183" s="1808" t="s">
        <v>2014</v>
      </c>
      <c r="E183" s="1809" t="s">
        <v>1626</v>
      </c>
      <c r="F183" s="1814">
        <f>F181/F182</f>
        <v>10778.447901917616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D22" sqref="D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1923</v>
      </c>
      <c r="B4" s="2289"/>
      <c r="C4" s="2289"/>
      <c r="D4" s="2289"/>
      <c r="E4" s="2289"/>
      <c r="F4" s="2289"/>
      <c r="G4" s="2290"/>
    </row>
    <row r="5" spans="1:7" x14ac:dyDescent="0.25">
      <c r="A5" s="2291"/>
      <c r="B5" s="2292"/>
      <c r="C5" s="2292"/>
      <c r="D5" s="2292"/>
      <c r="E5" s="2292"/>
      <c r="F5" s="2292"/>
      <c r="G5" s="2293"/>
    </row>
    <row r="6" spans="1:7" ht="18.75" x14ac:dyDescent="0.25">
      <c r="A6" s="1556" t="s">
        <v>1924</v>
      </c>
      <c r="B6" s="1557"/>
      <c r="C6" s="1557"/>
      <c r="D6" s="1557"/>
      <c r="E6" s="1557"/>
      <c r="F6" s="1557"/>
      <c r="G6" s="1558"/>
    </row>
    <row r="7" spans="1:7" ht="30.75" customHeight="1" x14ac:dyDescent="0.25">
      <c r="A7" s="2294" t="s">
        <v>2071</v>
      </c>
      <c r="B7" s="2295"/>
      <c r="C7" s="2295"/>
      <c r="D7" s="2295"/>
      <c r="E7" s="2295"/>
      <c r="F7" s="2295"/>
      <c r="G7" s="2296"/>
    </row>
    <row r="8" spans="1:7" ht="15.75" customHeight="1" x14ac:dyDescent="0.25">
      <c r="A8" s="2297" t="s">
        <v>2020</v>
      </c>
      <c r="B8" s="2298"/>
      <c r="C8" s="2298"/>
      <c r="D8" s="2298"/>
      <c r="E8" s="2298"/>
      <c r="F8" s="2298"/>
      <c r="G8" s="2299"/>
    </row>
    <row r="9" spans="1:7" ht="35.25" customHeight="1" x14ac:dyDescent="0.25">
      <c r="A9" s="2294" t="s">
        <v>2074</v>
      </c>
      <c r="B9" s="2295"/>
      <c r="C9" s="2295"/>
      <c r="D9" s="2295"/>
      <c r="E9" s="2295"/>
      <c r="F9" s="2295"/>
      <c r="G9" s="2296"/>
    </row>
    <row r="10" spans="1:7" ht="15" customHeight="1" x14ac:dyDescent="0.25">
      <c r="A10" s="1559" t="s">
        <v>1925</v>
      </c>
      <c r="B10" s="1560"/>
      <c r="C10" s="1560"/>
      <c r="D10" s="1560"/>
      <c r="E10" s="1560"/>
      <c r="F10" s="1560"/>
      <c r="G10" s="1561"/>
    </row>
    <row r="11" spans="1:7" ht="17.25" customHeight="1" x14ac:dyDescent="0.25">
      <c r="A11" s="2294" t="s">
        <v>2073</v>
      </c>
      <c r="B11" s="2295"/>
      <c r="C11" s="2295"/>
      <c r="D11" s="2295"/>
      <c r="E11" s="2295"/>
      <c r="F11" s="2295"/>
      <c r="G11" s="2296"/>
    </row>
    <row r="12" spans="1:7" ht="15" customHeight="1" x14ac:dyDescent="0.25">
      <c r="A12" s="1559" t="s">
        <v>1930</v>
      </c>
      <c r="B12" s="1560"/>
      <c r="C12" s="1560"/>
      <c r="D12" s="1560"/>
      <c r="E12" s="1560"/>
      <c r="F12" s="1560"/>
      <c r="G12" s="1561"/>
    </row>
    <row r="13" spans="1:7" ht="32.25" customHeight="1" x14ac:dyDescent="0.25">
      <c r="A13" s="2285" t="s">
        <v>1931</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2120</v>
      </c>
      <c r="B17" s="1957" t="s">
        <v>2121</v>
      </c>
      <c r="C17" s="1958" t="s">
        <v>2122</v>
      </c>
      <c r="D17" s="1867">
        <v>6950</v>
      </c>
      <c r="E17" s="1562">
        <f t="shared" ref="E17:E141" si="1">IF(D17&lt;=25000,D17,IF(D17&gt;25000,25000,0))</f>
        <v>6950</v>
      </c>
      <c r="F17" s="1815">
        <f t="shared" si="0"/>
        <v>6950</v>
      </c>
      <c r="G17" s="1816">
        <f>IF(F17=0,0,D17-F17)</f>
        <v>0</v>
      </c>
      <c r="H17" s="1669"/>
    </row>
    <row r="18" spans="1:8" x14ac:dyDescent="0.25">
      <c r="A18" s="1956" t="s">
        <v>2120</v>
      </c>
      <c r="B18" s="1957" t="s">
        <v>2121</v>
      </c>
      <c r="C18" s="1958" t="s">
        <v>2123</v>
      </c>
      <c r="D18" s="1867">
        <v>2400</v>
      </c>
      <c r="E18" s="1562">
        <f t="shared" ref="E18:E140" si="2">IF(D18&lt;=25000,D18,IF(D18&gt;25000,25000,0))</f>
        <v>2400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2400</v>
      </c>
      <c r="G18" s="1816">
        <f t="shared" ref="G18:G140" si="4">IF(F18=0,0,D18-F18)</f>
        <v>0</v>
      </c>
    </row>
    <row r="19" spans="1:8" x14ac:dyDescent="0.25">
      <c r="A19" s="1956" t="s">
        <v>2117</v>
      </c>
      <c r="B19" s="1957" t="s">
        <v>2119</v>
      </c>
      <c r="C19" s="1958" t="s">
        <v>2118</v>
      </c>
      <c r="D19" s="1867">
        <v>6680</v>
      </c>
      <c r="E19" s="1562">
        <f t="shared" si="2"/>
        <v>6680</v>
      </c>
      <c r="F19" s="1815">
        <f t="shared" si="3"/>
        <v>6680</v>
      </c>
      <c r="G19" s="1816">
        <f t="shared" si="4"/>
        <v>0</v>
      </c>
    </row>
    <row r="20" spans="1:8" x14ac:dyDescent="0.25">
      <c r="A20" s="1956" t="s">
        <v>2120</v>
      </c>
      <c r="B20" s="1957" t="s">
        <v>2121</v>
      </c>
      <c r="C20" s="1958" t="s">
        <v>2124</v>
      </c>
      <c r="D20" s="1867">
        <v>2170</v>
      </c>
      <c r="E20" s="1562">
        <f t="shared" si="2"/>
        <v>2170</v>
      </c>
      <c r="F20" s="1815">
        <f t="shared" si="3"/>
        <v>2170</v>
      </c>
      <c r="G20" s="1816">
        <f t="shared" si="4"/>
        <v>0</v>
      </c>
    </row>
    <row r="21" spans="1:8" x14ac:dyDescent="0.25">
      <c r="A21" s="1956" t="s">
        <v>2120</v>
      </c>
      <c r="B21" s="1957" t="s">
        <v>2121</v>
      </c>
      <c r="C21" s="1958" t="s">
        <v>2125</v>
      </c>
      <c r="D21" s="1867">
        <v>6993</v>
      </c>
      <c r="E21" s="1562">
        <f t="shared" si="2"/>
        <v>6993</v>
      </c>
      <c r="F21" s="1815">
        <f t="shared" si="3"/>
        <v>6993</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25193</v>
      </c>
      <c r="E141" s="1563">
        <f t="shared" si="1"/>
        <v>25000</v>
      </c>
      <c r="F141" s="1817">
        <f>SUM(F17:F140)</f>
        <v>25193</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f>+'Revenues 9-14'!C201</f>
        <v>286870</v>
      </c>
      <c r="F10" s="975"/>
      <c r="G10" s="976"/>
      <c r="H10" s="162"/>
      <c r="I10" s="162"/>
    </row>
    <row r="11" spans="1:9" s="669" customFormat="1" ht="22.5" customHeight="1" x14ac:dyDescent="0.2">
      <c r="A11" s="2305" t="s">
        <v>1942</v>
      </c>
      <c r="B11" s="2306"/>
      <c r="C11" s="2306"/>
      <c r="D11" s="2307"/>
      <c r="E11" s="978">
        <v>50388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5761866</v>
      </c>
      <c r="F19" s="1822"/>
      <c r="G19" s="1824">
        <f>'Expenditures 15-22'!K33-SUM('Expenditures 15-22'!G33,'Expenditures 15-22'!I33)+'Expenditures 15-22'!D229</f>
        <v>5761866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261007</v>
      </c>
      <c r="F21" s="1825"/>
      <c r="G21" s="1828">
        <f>'Expenditures 15-22'!K42-SUM('Expenditures 15-22'!G42,'Expenditures 15-22'!I42)+'Expenditures 15-22'!K120-SUM('Expenditures 15-22'!G120,'Expenditures 15-22'!I120)+'Expenditures 15-22'!K180-SUM('Expenditures 15-22'!G180,'Expenditures 15-22'!I180)+'Expenditures 15-22'!D238</f>
        <v>261007</v>
      </c>
      <c r="H21" s="988"/>
      <c r="I21" s="162"/>
    </row>
    <row r="22" spans="1:9" s="669" customFormat="1" ht="12" customHeight="1" x14ac:dyDescent="0.2">
      <c r="A22" s="995" t="s">
        <v>585</v>
      </c>
      <c r="B22" s="996"/>
      <c r="C22" s="994">
        <v>2200</v>
      </c>
      <c r="D22" s="1825"/>
      <c r="E22" s="1827">
        <f>'Expenditures 15-22'!K47-SUM('Expenditures 15-22'!G47,'Expenditures 15-22'!I47)+'Expenditures 15-22'!D243</f>
        <v>794570</v>
      </c>
      <c r="F22" s="1825"/>
      <c r="G22" s="1828">
        <f>'Expenditures 15-22'!K47-SUM('Expenditures 15-22'!G47,'Expenditures 15-22'!I47)+'Expenditures 15-22'!D243</f>
        <v>794570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303075</v>
      </c>
      <c r="F23" s="1825"/>
      <c r="G23" s="1827">
        <f>'Expenditures 15-22'!K53-SUM('Expenditures 15-22'!G53,'Expenditures 15-22'!I53)+'Expenditures 15-22'!D257+'Expenditures 15-22'!K330-SUM('Expenditures 15-22'!G330,'Expenditures 15-22'!I330)</f>
        <v>303075</v>
      </c>
      <c r="H23" s="988"/>
      <c r="I23" s="162"/>
    </row>
    <row r="24" spans="1:9" s="669" customFormat="1" ht="12" customHeight="1" x14ac:dyDescent="0.2">
      <c r="A24" s="995" t="s">
        <v>587</v>
      </c>
      <c r="B24" s="996"/>
      <c r="C24" s="994">
        <v>2400</v>
      </c>
      <c r="D24" s="1825"/>
      <c r="E24" s="1827">
        <f>'Expenditures 15-22'!K57-SUM('Expenditures 15-22'!G57,'Expenditures 15-22'!I57)+'Expenditures 15-22'!D261</f>
        <v>999285</v>
      </c>
      <c r="F24" s="1825"/>
      <c r="G24" s="1828">
        <f>'Expenditures 15-22'!K57-SUM('Expenditures 15-22'!G57,'Expenditures 15-22'!I57)+'Expenditures 15-22'!D261</f>
        <v>999285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101182</v>
      </c>
      <c r="E26" s="1827">
        <f>'Expenditures 15-22'!K122-SUM('Expenditures 15-22'!G122,'Expenditures 15-22'!I122)+E7</f>
        <v>0</v>
      </c>
      <c r="F26" s="1827">
        <f>'Expenditures 15-22'!K59-SUM('Expenditures 15-22'!G59,'Expenditures 15-22'!I59)+'Expenditures 15-22'!D263-E7</f>
        <v>101182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246766</v>
      </c>
      <c r="E27" s="1827">
        <f>E8</f>
        <v>0</v>
      </c>
      <c r="F27" s="1827">
        <f>'Expenditures 15-22'!K60-SUM('Expenditures 15-22'!G60,'Expenditures 15-22'!I60)+'Expenditures 15-22'!D264-E8</f>
        <v>246766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1969305</v>
      </c>
      <c r="F28" s="1829">
        <f>'Expenditures 15-22'!K61-SUM('Expenditures 15-22'!G61,'Expenditures 15-22'!I61)+'Expenditures 15-22'!K124-SUM('Expenditures 15-22'!G124,'Expenditures 15-22'!I124)+'Expenditures 15-22'!D266-E9</f>
        <v>1969305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1485348</v>
      </c>
      <c r="F29" s="1825"/>
      <c r="G29" s="1828">
        <f>'Expenditures 15-22'!K62-SUM('Expenditures 15-22'!G62,'Expenditures 15-22'!I62)+'Expenditures 15-22'!K125-SUM('Expenditures 15-22'!G125,'Expenditures 15-22'!I125)+'Expenditures 15-22'!K182-SUM('Expenditures 15-22'!G182,'Expenditures 15-22'!I182)+'Expenditures 15-22'!D267</f>
        <v>1485348</v>
      </c>
      <c r="H29" s="986"/>
    </row>
    <row r="30" spans="1:9" ht="12" customHeight="1" x14ac:dyDescent="0.2">
      <c r="A30" s="995" t="s">
        <v>102</v>
      </c>
      <c r="B30" s="998"/>
      <c r="C30" s="994">
        <v>2560</v>
      </c>
      <c r="D30" s="1825"/>
      <c r="E30" s="1827">
        <f>'Expenditures 15-22'!K63-SUM('Expenditures 15-22'!G63,'Expenditures 15-22'!I63)+'Expenditures 15-22'!D268-E10</f>
        <v>429237</v>
      </c>
      <c r="F30" s="1825"/>
      <c r="G30" s="1827">
        <f>'Expenditures 15-22'!K63-SUM('Expenditures 15-22'!G63,'Expenditures 15-22'!I63)+'Expenditures 15-22'!D268-E10</f>
        <v>429237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79957</v>
      </c>
      <c r="F38" s="1825"/>
      <c r="G38" s="1827">
        <f>'Expenditures 15-22'!K73-SUM('Expenditures 15-22'!G73,'Expenditures 15-22'!I73)+'Expenditures 15-22'!K128-SUM('Expenditures 15-22'!G128,'Expenditures 15-22'!I128)+'Expenditures 15-22'!K183-SUM('Expenditures 15-22'!G183,'Expenditures 15-22'!I183)+'Expenditures 15-22'!D278</f>
        <v>79957</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15644</v>
      </c>
      <c r="F39" s="1825"/>
      <c r="G39" s="1827">
        <f>'Expenditures 15-22'!K75-SUM('Expenditures 15-22'!G75,'Expenditures 15-22'!I75)+'Expenditures 15-22'!K130-SUM('Expenditures 15-22'!G130,'Expenditures 15-22'!I130)+'Expenditures 15-22'!K185-SUM('Expenditures 15-22'!G185,'Expenditures 15-22'!I185)+'Expenditures 15-22'!D280</f>
        <v>15644</v>
      </c>
    </row>
    <row r="40" spans="1:7" ht="12" customHeight="1" x14ac:dyDescent="0.2">
      <c r="A40" s="991" t="s">
        <v>1928</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347948</v>
      </c>
      <c r="E41" s="1829">
        <f>SUM(E19:E40)</f>
        <v>12099294</v>
      </c>
      <c r="F41" s="1829">
        <f>SUM(F19:F39)</f>
        <v>2317253</v>
      </c>
      <c r="G41" s="1829">
        <f>SUM(G19:G40)</f>
        <v>10129989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347948</v>
      </c>
      <c r="F43" s="1830" t="s">
        <v>495</v>
      </c>
      <c r="G43" s="1831">
        <f>F41</f>
        <v>2317253</v>
      </c>
    </row>
    <row r="44" spans="1:7" ht="12" customHeight="1" x14ac:dyDescent="0.2">
      <c r="A44" s="988"/>
      <c r="B44" s="162"/>
      <c r="C44" s="1002"/>
      <c r="D44" s="1830" t="s">
        <v>494</v>
      </c>
      <c r="E44" s="1831">
        <f>E41</f>
        <v>12099294</v>
      </c>
      <c r="F44" s="1830" t="s">
        <v>494</v>
      </c>
      <c r="G44" s="1831">
        <f>G41</f>
        <v>10129989</v>
      </c>
    </row>
    <row r="45" spans="1:7" ht="12" customHeight="1" x14ac:dyDescent="0.2">
      <c r="A45" s="988"/>
      <c r="B45" s="162"/>
      <c r="C45" s="162"/>
      <c r="D45" s="1832" t="s">
        <v>1063</v>
      </c>
      <c r="E45" s="1833">
        <f>(E43/E44)</f>
        <v>2.8757710987103877E-2</v>
      </c>
      <c r="F45" s="1832" t="s">
        <v>1063</v>
      </c>
      <c r="G45" s="1833">
        <f>(G43/G44)</f>
        <v>0.22875177850637349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2044</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Wilmington CUSD 209U</v>
      </c>
      <c r="D6" s="2315"/>
      <c r="E6" s="2315"/>
      <c r="F6" s="1877"/>
    </row>
    <row r="7" spans="1:10" ht="11.25" customHeight="1" thickBot="1" x14ac:dyDescent="0.3">
      <c r="A7" s="1875"/>
      <c r="B7" s="1876"/>
      <c r="C7" s="2316" t="str">
        <f>COVER!A13</f>
        <v>56099209U26</v>
      </c>
      <c r="D7" s="2316"/>
      <c r="E7" s="2316"/>
      <c r="F7" s="1877"/>
    </row>
    <row r="8" spans="1:10" ht="25.5" customHeight="1" thickBot="1" x14ac:dyDescent="0.25">
      <c r="A8" s="1918" t="s">
        <v>2021</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2076</v>
      </c>
      <c r="D11" s="1890" t="s">
        <v>2076</v>
      </c>
      <c r="E11" s="1891"/>
      <c r="F11" s="1892" t="s">
        <v>2101</v>
      </c>
      <c r="H11" s="1903">
        <f>IF(C11="X",5,0)</f>
        <v>5</v>
      </c>
      <c r="I11" s="1903">
        <f>IF(D11="X",5,0)</f>
        <v>5</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2076</v>
      </c>
      <c r="D13" s="1890" t="s">
        <v>2076</v>
      </c>
      <c r="E13" s="1893"/>
      <c r="F13" s="1892" t="s">
        <v>2101</v>
      </c>
      <c r="H13" s="1903">
        <f t="shared" si="0"/>
        <v>5</v>
      </c>
      <c r="I13" s="1903">
        <f t="shared" si="1"/>
        <v>5</v>
      </c>
      <c r="J13" s="1903">
        <f t="shared" si="2"/>
        <v>0</v>
      </c>
    </row>
    <row r="14" spans="1:10" ht="12" customHeight="1" x14ac:dyDescent="0.2">
      <c r="A14" s="1888" t="s">
        <v>1453</v>
      </c>
      <c r="B14" s="1889"/>
      <c r="C14" s="1890" t="s">
        <v>2076</v>
      </c>
      <c r="D14" s="1890" t="s">
        <v>2076</v>
      </c>
      <c r="E14" s="1893"/>
      <c r="F14" s="1892" t="s">
        <v>2102</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2076</v>
      </c>
      <c r="D19" s="1890" t="s">
        <v>2076</v>
      </c>
      <c r="E19" s="1893"/>
      <c r="F19" s="1892" t="s">
        <v>2103</v>
      </c>
      <c r="H19" s="1903">
        <f t="shared" si="0"/>
        <v>5</v>
      </c>
      <c r="I19" s="1903">
        <f t="shared" si="1"/>
        <v>5</v>
      </c>
      <c r="J19" s="1903">
        <f t="shared" si="2"/>
        <v>0</v>
      </c>
    </row>
    <row r="20" spans="1:12" ht="12" customHeight="1" x14ac:dyDescent="0.2">
      <c r="A20" s="1888" t="s">
        <v>1609</v>
      </c>
      <c r="B20" s="1889"/>
      <c r="C20" s="1890" t="s">
        <v>2076</v>
      </c>
      <c r="D20" s="1890" t="s">
        <v>2076</v>
      </c>
      <c r="E20" s="1893"/>
      <c r="F20" s="1892" t="s">
        <v>2104</v>
      </c>
      <c r="H20" s="1903">
        <f t="shared" si="0"/>
        <v>5</v>
      </c>
      <c r="I20" s="1903">
        <f t="shared" si="1"/>
        <v>5</v>
      </c>
      <c r="J20" s="1903">
        <f t="shared" si="2"/>
        <v>0</v>
      </c>
    </row>
    <row r="21" spans="1:12" ht="12" customHeight="1" x14ac:dyDescent="0.2">
      <c r="A21" s="1888" t="s">
        <v>1610</v>
      </c>
      <c r="B21" s="1889"/>
      <c r="C21" s="1890" t="s">
        <v>2076</v>
      </c>
      <c r="D21" s="1890" t="s">
        <v>2076</v>
      </c>
      <c r="E21" s="1893"/>
      <c r="F21" s="1892" t="s">
        <v>2183</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2076</v>
      </c>
      <c r="D24" s="1890" t="s">
        <v>2076</v>
      </c>
      <c r="E24" s="1893"/>
      <c r="F24" s="1892" t="s">
        <v>2105</v>
      </c>
      <c r="H24" s="1903">
        <f t="shared" si="0"/>
        <v>5</v>
      </c>
      <c r="I24" s="1903">
        <f t="shared" si="1"/>
        <v>5</v>
      </c>
      <c r="J24" s="1903">
        <f t="shared" si="2"/>
        <v>0</v>
      </c>
    </row>
    <row r="25" spans="1:12" ht="12" customHeight="1" x14ac:dyDescent="0.2">
      <c r="A25" s="1888" t="s">
        <v>1614</v>
      </c>
      <c r="B25" s="1889"/>
      <c r="C25" s="1890" t="s">
        <v>2076</v>
      </c>
      <c r="D25" s="1890" t="s">
        <v>2076</v>
      </c>
      <c r="E25" s="1893"/>
      <c r="F25" s="1892" t="s">
        <v>2106</v>
      </c>
      <c r="H25" s="1903">
        <f t="shared" si="0"/>
        <v>5</v>
      </c>
      <c r="I25" s="1903">
        <f t="shared" si="1"/>
        <v>5</v>
      </c>
      <c r="J25" s="1903">
        <f t="shared" si="2"/>
        <v>0</v>
      </c>
    </row>
    <row r="26" spans="1:12" ht="12" customHeight="1" x14ac:dyDescent="0.2">
      <c r="A26" s="1888" t="s">
        <v>1615</v>
      </c>
      <c r="B26" s="1889"/>
      <c r="C26" s="1890" t="s">
        <v>2076</v>
      </c>
      <c r="D26" s="1890" t="s">
        <v>2076</v>
      </c>
      <c r="E26" s="1893"/>
      <c r="F26" s="1892" t="s">
        <v>2107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2076</v>
      </c>
      <c r="D28" s="1890" t="s">
        <v>2076</v>
      </c>
      <c r="E28" s="1893"/>
      <c r="F28" s="1892" t="s">
        <v>2108</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2076</v>
      </c>
      <c r="D30" s="1890" t="s">
        <v>2076</v>
      </c>
      <c r="E30" s="1893"/>
      <c r="F30" s="1892" t="s">
        <v>2109</v>
      </c>
      <c r="H30" s="1903">
        <f t="shared" si="0"/>
        <v>5</v>
      </c>
      <c r="I30" s="1903">
        <f t="shared" si="1"/>
        <v>5</v>
      </c>
      <c r="J30" s="1903">
        <f t="shared" si="2"/>
        <v>0</v>
      </c>
    </row>
    <row r="31" spans="1:12" ht="12" customHeight="1" x14ac:dyDescent="0.2">
      <c r="A31" s="1888" t="s">
        <v>1620</v>
      </c>
      <c r="B31" s="1889"/>
      <c r="C31" s="1890" t="s">
        <v>2076</v>
      </c>
      <c r="D31" s="1890" t="s">
        <v>2076</v>
      </c>
      <c r="E31" s="1893"/>
      <c r="F31" s="1892" t="s">
        <v>2184</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2076</v>
      </c>
      <c r="D33" s="1890" t="s">
        <v>2076</v>
      </c>
      <c r="E33" s="1893"/>
      <c r="F33" s="1892" t="s">
        <v>2110</v>
      </c>
      <c r="H33" s="1903">
        <f t="shared" si="0"/>
        <v>5</v>
      </c>
      <c r="I33" s="1903">
        <f t="shared" si="1"/>
        <v>5</v>
      </c>
      <c r="J33" s="1903">
        <f t="shared" si="2"/>
        <v>0</v>
      </c>
    </row>
    <row r="34" spans="1:11" ht="12" customHeight="1" x14ac:dyDescent="0.25">
      <c r="A34" s="1895"/>
      <c r="B34" s="1895"/>
      <c r="C34" s="1895"/>
      <c r="D34" s="1895"/>
      <c r="E34" s="1895"/>
      <c r="F34" s="1895"/>
      <c r="H34" s="1903">
        <f>SUM(H11:H32)</f>
        <v>60</v>
      </c>
      <c r="I34" s="1903">
        <f>SUM(I11:I32)</f>
        <v>60</v>
      </c>
      <c r="J34" s="1903">
        <f>SUM(J11:J32)</f>
        <v>0</v>
      </c>
      <c r="K34" s="1903">
        <f>SUM(H34:J34)</f>
        <v>120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Wilmington CUSD 209U</v>
      </c>
      <c r="J6" s="2336"/>
      <c r="Q6" s="1686"/>
    </row>
    <row r="7" spans="1:17" x14ac:dyDescent="0.2">
      <c r="A7" s="2337" t="s">
        <v>924</v>
      </c>
      <c r="B7" s="2338"/>
      <c r="C7" s="2338"/>
      <c r="D7" s="2338"/>
      <c r="E7" s="2339"/>
      <c r="F7" s="1018"/>
      <c r="G7" s="1010"/>
      <c r="H7" s="1017" t="s">
        <v>390</v>
      </c>
      <c r="I7" s="2340" t="str">
        <f>COVER!A13</f>
        <v>56099209U26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104339</v>
      </c>
      <c r="F12" s="1040"/>
      <c r="G12" s="1834">
        <f t="shared" ref="G12:G18" si="0">SUM(E12:F12)</f>
        <v>104339</v>
      </c>
      <c r="H12" s="1041">
        <v>104131</v>
      </c>
      <c r="I12" s="1040"/>
      <c r="J12" s="1834">
        <f t="shared" ref="J12:J18" si="1">SUM(H12:I12)</f>
        <v>104131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99922</v>
      </c>
      <c r="F15" s="1834">
        <f>'Expenditures 15-22'!K122</f>
        <v>0</v>
      </c>
      <c r="G15" s="1834">
        <f t="shared" si="0"/>
        <v>99922</v>
      </c>
      <c r="H15" s="1041">
        <v>104031</v>
      </c>
      <c r="I15" s="1041"/>
      <c r="J15" s="1834">
        <f t="shared" si="1"/>
        <v>104031</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204261</v>
      </c>
      <c r="F19" s="1836">
        <f t="shared" si="2"/>
        <v>0</v>
      </c>
      <c r="G19" s="1836">
        <f t="shared" si="2"/>
        <v>204261</v>
      </c>
      <c r="H19" s="1836">
        <f t="shared" si="2"/>
        <v>208162</v>
      </c>
      <c r="I19" s="1836">
        <f t="shared" si="2"/>
        <v>0</v>
      </c>
      <c r="J19" s="1836">
        <f t="shared" si="2"/>
        <v>208162</v>
      </c>
    </row>
    <row r="20" spans="1:10" ht="13.5" thickTop="1" x14ac:dyDescent="0.2">
      <c r="A20" s="1036">
        <v>9</v>
      </c>
      <c r="B20" s="2347" t="s">
        <v>1703</v>
      </c>
      <c r="C20" s="2347"/>
      <c r="D20" s="2348"/>
      <c r="E20" s="1047"/>
      <c r="F20" s="1047"/>
      <c r="G20" s="1047"/>
      <c r="H20" s="1047"/>
      <c r="I20" s="1047"/>
      <c r="J20" s="1837">
        <f>IF(AND(G19&gt;0,J19&gt;0),(((J19-G19)/G19)),"Enter Budget Data")</f>
        <v>1.9098114667019158E-2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2111</v>
      </c>
    </row>
    <row r="6" spans="1:2" x14ac:dyDescent="0.2">
      <c r="A6" s="1069">
        <v>2</v>
      </c>
      <c r="B6" s="329" t="s">
        <v>2112</v>
      </c>
    </row>
    <row r="7" spans="1:2" x14ac:dyDescent="0.2">
      <c r="A7" s="1069">
        <v>3</v>
      </c>
      <c r="B7" s="329" t="s">
        <v>2113</v>
      </c>
    </row>
    <row r="8" spans="1:2" x14ac:dyDescent="0.2">
      <c r="A8" s="1069">
        <v>4</v>
      </c>
      <c r="B8" s="329" t="s">
        <v>2114</v>
      </c>
    </row>
    <row r="9" spans="1:2" x14ac:dyDescent="0.2">
      <c r="A9" s="1069">
        <v>5</v>
      </c>
      <c r="B9" s="329" t="s">
        <v>2178</v>
      </c>
    </row>
    <row r="10" spans="1:2" x14ac:dyDescent="0.2">
      <c r="A10" s="1069">
        <v>6</v>
      </c>
      <c r="B10" s="329" t="s">
        <v>2179</v>
      </c>
    </row>
    <row r="11" spans="1:2" x14ac:dyDescent="0.2">
      <c r="A11" s="1069">
        <v>7</v>
      </c>
      <c r="B11" s="329" t="s">
        <v>2180</v>
      </c>
    </row>
    <row r="12" spans="1:2" x14ac:dyDescent="0.2">
      <c r="A12" s="1069">
        <v>8</v>
      </c>
      <c r="B12" s="329" t="s">
        <v>2181</v>
      </c>
    </row>
    <row r="13" spans="1:2" x14ac:dyDescent="0.2">
      <c r="A13" s="1069">
        <v>9</v>
      </c>
      <c r="B13" s="329" t="s">
        <v>2182</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Wilmington CUSD 209U</v>
      </c>
    </row>
    <row r="65" spans="2:2" x14ac:dyDescent="0.2">
      <c r="B65" s="1071" t="str">
        <f>COVER!A13</f>
        <v>56099209U26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742950</xdr:colOff>
                <xdr:row>8</xdr:row>
                <xdr:rowOff>57150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742950</xdr:colOff>
                <xdr:row>12</xdr:row>
                <xdr:rowOff>57150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2052</v>
      </c>
      <c r="B4" s="2375"/>
      <c r="C4" s="2375"/>
      <c r="D4" s="2375"/>
      <c r="E4" s="2375"/>
      <c r="F4" s="2376"/>
      <c r="G4" s="1075"/>
      <c r="H4" s="1075"/>
    </row>
    <row r="5" spans="1:8" ht="14.25" customHeight="1" x14ac:dyDescent="0.2">
      <c r="A5" s="2377" t="s">
        <v>2053</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11870084</v>
      </c>
      <c r="C8" s="1838">
        <f>'Acct Summary 7-8'!D8</f>
        <v>1938309</v>
      </c>
      <c r="D8" s="1838">
        <f>'Acct Summary 7-8'!F8</f>
        <v>1600173</v>
      </c>
      <c r="E8" s="1838">
        <f>'Acct Summary 7-8'!I8</f>
        <v>52794</v>
      </c>
      <c r="F8" s="1838">
        <f>SUM(B8:E8)</f>
        <v>15461360</v>
      </c>
    </row>
    <row r="9" spans="1:8" s="1080" customFormat="1" ht="14.25" customHeight="1" thickBot="1" x14ac:dyDescent="0.25">
      <c r="A9" s="1079" t="s">
        <v>1436</v>
      </c>
      <c r="B9" s="1839">
        <f>'Acct Summary 7-8'!C17</f>
        <v>11959979</v>
      </c>
      <c r="C9" s="1839">
        <f>'Acct Summary 7-8'!D17</f>
        <v>1623688</v>
      </c>
      <c r="D9" s="1839">
        <f>'Acct Summary 7-8'!F17</f>
        <v>1485348</v>
      </c>
      <c r="E9" s="1838"/>
      <c r="F9" s="1838">
        <f>SUM(B9:E9)</f>
        <v>15069015</v>
      </c>
    </row>
    <row r="10" spans="1:8" s="1080" customFormat="1" ht="14.25" thickTop="1" thickBot="1" x14ac:dyDescent="0.25">
      <c r="A10" s="1081" t="s">
        <v>1437</v>
      </c>
      <c r="B10" s="1840">
        <f>(B8-B9)</f>
        <v>-89895</v>
      </c>
      <c r="C10" s="1840">
        <f>(C8-C9)</f>
        <v>314621</v>
      </c>
      <c r="D10" s="1840">
        <f>(D8-D9)</f>
        <v>114825</v>
      </c>
      <c r="E10" s="1839">
        <f>(E8-E9)</f>
        <v>52794</v>
      </c>
      <c r="F10" s="1841">
        <f>SUM(F8-F9)</f>
        <v>392345</v>
      </c>
    </row>
    <row r="11" spans="1:8" s="1080" customFormat="1" ht="14.25" thickTop="1" thickBot="1" x14ac:dyDescent="0.25">
      <c r="A11" s="1082" t="s">
        <v>1785</v>
      </c>
      <c r="B11" s="1842">
        <f>'Acct Summary 7-8'!C81</f>
        <v>11505792</v>
      </c>
      <c r="C11" s="1842">
        <f>'Acct Summary 7-8'!D81</f>
        <v>1272243</v>
      </c>
      <c r="D11" s="1842">
        <f>'Acct Summary 7-8'!F81</f>
        <v>1618920</v>
      </c>
      <c r="E11" s="1842">
        <f>'Acct Summary 7-8'!I81</f>
        <v>1737769</v>
      </c>
      <c r="F11" s="1843">
        <f>SUM(B11:E11)</f>
        <v>16134724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56099209U26</v>
      </c>
    </row>
    <row r="3" spans="1:2" x14ac:dyDescent="0.2">
      <c r="A3" t="s">
        <v>1013</v>
      </c>
      <c r="B3" s="138" t="str">
        <f>COVER!A15</f>
        <v>Will</v>
      </c>
    </row>
    <row r="4" spans="1:2" x14ac:dyDescent="0.2">
      <c r="A4" t="s">
        <v>1064</v>
      </c>
      <c r="B4" s="138" t="str">
        <f>COVER!A17</f>
        <v>Wilmington CUSD 209U</v>
      </c>
    </row>
    <row r="5" spans="1:2" x14ac:dyDescent="0.2">
      <c r="A5" t="s">
        <v>728</v>
      </c>
      <c r="B5" s="138" t="str">
        <f>COVER!A38</f>
        <v>Dr. Matt Swick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11505792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10643455</v>
      </c>
      <c r="D92" s="2" t="str">
        <f t="shared" si="0"/>
        <v>Error?</v>
      </c>
    </row>
    <row r="93" spans="1:4" x14ac:dyDescent="0.2">
      <c r="A93" s="5">
        <v>32</v>
      </c>
      <c r="B93" s="138">
        <f>'Assets-Liab 5-6'!C41</f>
        <v>11505792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1272243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1168304</v>
      </c>
      <c r="D123" s="2" t="str">
        <f t="shared" si="0"/>
        <v>Error?</v>
      </c>
    </row>
    <row r="124" spans="1:4" x14ac:dyDescent="0.2">
      <c r="A124" s="5">
        <v>63</v>
      </c>
      <c r="B124" s="138">
        <f>'Assets-Liab 5-6'!D41</f>
        <v>1272243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1588880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1588880</v>
      </c>
      <c r="D140" s="2" t="str">
        <f t="shared" si="1"/>
        <v>Error?</v>
      </c>
    </row>
    <row r="141" spans="1:4" x14ac:dyDescent="0.2">
      <c r="A141" s="5">
        <v>80</v>
      </c>
      <c r="B141" s="138">
        <f>'Assets-Liab 5-6'!E41</f>
        <v>1588880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1618920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1618920</v>
      </c>
      <c r="D170" s="2" t="str">
        <f t="shared" si="1"/>
        <v>Error?</v>
      </c>
    </row>
    <row r="171" spans="1:4" x14ac:dyDescent="0.2">
      <c r="A171" s="5">
        <v>110</v>
      </c>
      <c r="B171" s="138">
        <f>'Assets-Liab 5-6'!F41</f>
        <v>1618920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500299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171833</v>
      </c>
      <c r="D189" s="2" t="str">
        <f t="shared" si="1"/>
        <v>Error?</v>
      </c>
    </row>
    <row r="190" spans="1:4" x14ac:dyDescent="0.2">
      <c r="A190" s="5">
        <v>129</v>
      </c>
      <c r="B190" s="138">
        <f>'Assets-Liab 5-6'!G41</f>
        <v>500299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1567607</v>
      </c>
      <c r="D273" s="2" t="str">
        <f t="shared" si="3"/>
        <v>Error?</v>
      </c>
    </row>
    <row r="274" spans="1:4" x14ac:dyDescent="0.2">
      <c r="A274" s="5">
        <v>213</v>
      </c>
      <c r="B274" s="138">
        <f>'Assets-Liab 5-6'!M17</f>
        <v>32298918</v>
      </c>
      <c r="D274" s="2" t="str">
        <f t="shared" si="3"/>
        <v>Error?</v>
      </c>
    </row>
    <row r="275" spans="1:4" x14ac:dyDescent="0.2">
      <c r="A275" s="5">
        <v>214</v>
      </c>
      <c r="B275" s="138">
        <f>'Assets-Liab 5-6'!M18</f>
        <v>0</v>
      </c>
      <c r="D275" s="2" t="str">
        <f t="shared" si="3"/>
        <v>Error?</v>
      </c>
    </row>
    <row r="276" spans="1:4" x14ac:dyDescent="0.2">
      <c r="A276" s="5">
        <v>215</v>
      </c>
      <c r="B276" s="138">
        <f>'Assets-Liab 5-6'!M19</f>
        <v>238538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34105063</v>
      </c>
      <c r="C279" s="2" t="s">
        <v>594</v>
      </c>
      <c r="D279" s="2" t="str">
        <f t="shared" si="3"/>
        <v>Error?</v>
      </c>
    </row>
    <row r="280" spans="1:4" x14ac:dyDescent="0.2">
      <c r="A280" s="5">
        <v>219</v>
      </c>
      <c r="B280" s="138">
        <f>'Assets-Liab 5-6'!M40</f>
        <v>34105063</v>
      </c>
      <c r="D280" s="2" t="str">
        <f t="shared" si="3"/>
        <v>Error?</v>
      </c>
    </row>
    <row r="281" spans="1:4" x14ac:dyDescent="0.2">
      <c r="A281" s="5">
        <v>220</v>
      </c>
      <c r="B281" s="138">
        <f>'Assets-Liab 5-6'!M41</f>
        <v>34105063</v>
      </c>
      <c r="C281" s="2" t="s">
        <v>594</v>
      </c>
      <c r="D281" s="2" t="str">
        <f t="shared" si="3"/>
        <v>Error?</v>
      </c>
    </row>
    <row r="282" spans="1:4" x14ac:dyDescent="0.2">
      <c r="A282" s="5">
        <v>221</v>
      </c>
      <c r="B282" s="138">
        <f>'Assets-Liab 5-6'!N21</f>
        <v>1588880</v>
      </c>
      <c r="D282" s="2" t="str">
        <f t="shared" si="3"/>
        <v>Error?</v>
      </c>
    </row>
    <row r="283" spans="1:4" x14ac:dyDescent="0.2">
      <c r="A283" s="5">
        <v>222</v>
      </c>
      <c r="B283" s="138">
        <f>'Assets-Liab 5-6'!N22</f>
        <v>27704060</v>
      </c>
      <c r="D283" s="2" t="str">
        <f t="shared" si="3"/>
        <v>Error?</v>
      </c>
    </row>
    <row r="284" spans="1:4" x14ac:dyDescent="0.2">
      <c r="A284" s="5">
        <v>223</v>
      </c>
      <c r="B284" s="138">
        <f>'Assets-Liab 5-6'!N23</f>
        <v>29292940</v>
      </c>
      <c r="C284" s="2" t="s">
        <v>594</v>
      </c>
      <c r="D284" s="2" t="str">
        <f t="shared" si="3"/>
        <v>Error?</v>
      </c>
    </row>
    <row r="285" spans="1:4" x14ac:dyDescent="0.2">
      <c r="A285" s="5">
        <v>224</v>
      </c>
      <c r="B285" s="138">
        <f>'Assets-Liab 5-6'!N36</f>
        <v>29292940</v>
      </c>
      <c r="D285" s="2" t="str">
        <f t="shared" si="3"/>
        <v>Error?</v>
      </c>
    </row>
    <row r="286" spans="1:4" x14ac:dyDescent="0.2">
      <c r="A286" s="10">
        <v>225</v>
      </c>
      <c r="D286" s="2" t="str">
        <f t="shared" si="3"/>
        <v>OK</v>
      </c>
    </row>
    <row r="287" spans="1:4" x14ac:dyDescent="0.2">
      <c r="A287" s="5">
        <v>226</v>
      </c>
      <c r="B287" s="138">
        <f>'Assets-Liab 5-6'!N37</f>
        <v>29292940</v>
      </c>
      <c r="C287" s="2" t="s">
        <v>594</v>
      </c>
      <c r="D287" s="2" t="str">
        <f t="shared" si="3"/>
        <v>Error?</v>
      </c>
    </row>
    <row r="288" spans="1:4" x14ac:dyDescent="0.2">
      <c r="A288" s="5">
        <v>227</v>
      </c>
      <c r="B288" s="138">
        <f>'Assets-Liab 5-6'!N41</f>
        <v>29292940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14643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227657</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3417010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58649</v>
      </c>
      <c r="D717" s="2" t="str">
        <f t="shared" si="10"/>
        <v>Error?</v>
      </c>
    </row>
    <row r="718" spans="1:4" x14ac:dyDescent="0.2">
      <c r="A718" s="5">
        <v>657</v>
      </c>
      <c r="B718" s="138">
        <f>'Expenditures 15-22'!C14</f>
        <v>290483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3914711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132362</v>
      </c>
      <c r="D722" s="2" t="str">
        <f t="shared" si="10"/>
        <v>Error?</v>
      </c>
    </row>
    <row r="723" spans="1:4" x14ac:dyDescent="0.2">
      <c r="A723" s="5">
        <v>662</v>
      </c>
      <c r="B723" s="138">
        <f>'Expenditures 15-22'!C38</f>
        <v>65929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3810</v>
      </c>
      <c r="D726" s="2" t="str">
        <f t="shared" si="10"/>
        <v>Error?</v>
      </c>
    </row>
    <row r="727" spans="1:4" x14ac:dyDescent="0.2">
      <c r="A727" s="5">
        <v>666</v>
      </c>
      <c r="B727" s="138">
        <f>'Expenditures 15-22'!C42</f>
        <v>202101</v>
      </c>
      <c r="C727" s="2" t="s">
        <v>594</v>
      </c>
      <c r="D727" s="2" t="str">
        <f t="shared" si="10"/>
        <v>Error?</v>
      </c>
    </row>
    <row r="728" spans="1:4" x14ac:dyDescent="0.2">
      <c r="A728" s="5">
        <v>667</v>
      </c>
      <c r="B728" s="138">
        <f>'Expenditures 15-22'!C44</f>
        <v>128719</v>
      </c>
      <c r="D728" s="2" t="str">
        <f t="shared" si="10"/>
        <v>Error?</v>
      </c>
    </row>
    <row r="729" spans="1:4" x14ac:dyDescent="0.2">
      <c r="A729" s="5">
        <v>668</v>
      </c>
      <c r="B729" s="138">
        <f>'Expenditures 15-22'!C45</f>
        <v>249802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378521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82330</v>
      </c>
      <c r="D733" s="2" t="str">
        <f t="shared" si="10"/>
        <v>Error?</v>
      </c>
    </row>
    <row r="734" spans="1:4" x14ac:dyDescent="0.2">
      <c r="A734" s="5">
        <v>673</v>
      </c>
      <c r="B734" s="138">
        <f>'Expenditures 15-22'!C53</f>
        <v>82330</v>
      </c>
      <c r="C734" s="2" t="s">
        <v>594</v>
      </c>
      <c r="D734" s="2" t="str">
        <f t="shared" si="10"/>
        <v>Error?</v>
      </c>
    </row>
    <row r="735" spans="1:4" x14ac:dyDescent="0.2">
      <c r="A735" s="5">
        <v>674</v>
      </c>
      <c r="B735" s="138">
        <f>'Expenditures 15-22'!C55</f>
        <v>734320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734320</v>
      </c>
      <c r="C737" s="2" t="s">
        <v>594</v>
      </c>
      <c r="D737" s="2" t="str">
        <f t="shared" si="10"/>
        <v>Error?</v>
      </c>
    </row>
    <row r="738" spans="1:4" x14ac:dyDescent="0.2">
      <c r="A738" s="5">
        <v>677</v>
      </c>
      <c r="B738" s="138">
        <f>'Expenditures 15-22'!C59</f>
        <v>79050</v>
      </c>
      <c r="D738" s="2" t="str">
        <f t="shared" si="10"/>
        <v>Error?</v>
      </c>
    </row>
    <row r="739" spans="1:4" x14ac:dyDescent="0.2">
      <c r="A739" s="5">
        <v>678</v>
      </c>
      <c r="B739" s="138">
        <f>'Expenditures 15-22'!C60</f>
        <v>163336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271791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514177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1911449</v>
      </c>
      <c r="C755" s="2" t="s">
        <v>594</v>
      </c>
      <c r="D755" s="2" t="str">
        <f t="shared" si="10"/>
        <v>Error?</v>
      </c>
    </row>
    <row r="756" spans="1:4" x14ac:dyDescent="0.2">
      <c r="A756" s="5">
        <v>695</v>
      </c>
      <c r="B756" s="138">
        <f>'Expenditures 15-22'!C75</f>
        <v>9284</v>
      </c>
      <c r="D756" s="2" t="str">
        <f t="shared" si="10"/>
        <v>Error?</v>
      </c>
    </row>
    <row r="757" spans="1:4" x14ac:dyDescent="0.2">
      <c r="A757" s="5">
        <v>696</v>
      </c>
      <c r="B757" s="138">
        <f>'Expenditures 15-22'!C114</f>
        <v>5835444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867459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4380</v>
      </c>
      <c r="D775" s="2" t="str">
        <f t="shared" si="11"/>
        <v>Error?</v>
      </c>
    </row>
    <row r="776" spans="1:4" x14ac:dyDescent="0.2">
      <c r="A776" s="5">
        <v>715</v>
      </c>
      <c r="B776" s="138">
        <f>'Expenditures 15-22'!D14</f>
        <v>20227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914172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12386</v>
      </c>
      <c r="D780" s="2" t="str">
        <f t="shared" si="11"/>
        <v>Error?</v>
      </c>
    </row>
    <row r="781" spans="1:4" x14ac:dyDescent="0.2">
      <c r="A781" s="5">
        <v>720</v>
      </c>
      <c r="B781" s="138">
        <f>'Expenditures 15-22'!D38</f>
        <v>18816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31202</v>
      </c>
      <c r="C785" s="2" t="s">
        <v>594</v>
      </c>
      <c r="D785" s="2" t="str">
        <f t="shared" si="11"/>
        <v>Error?</v>
      </c>
    </row>
    <row r="786" spans="1:4" x14ac:dyDescent="0.2">
      <c r="A786" s="5">
        <v>725</v>
      </c>
      <c r="B786" s="138">
        <f>'Expenditures 15-22'!D44</f>
        <v>34882</v>
      </c>
      <c r="D786" s="2" t="str">
        <f t="shared" si="11"/>
        <v>Error?</v>
      </c>
    </row>
    <row r="787" spans="1:4" x14ac:dyDescent="0.2">
      <c r="A787" s="5">
        <v>726</v>
      </c>
      <c r="B787" s="138">
        <f>'Expenditures 15-22'!D45</f>
        <v>93127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128009</v>
      </c>
      <c r="C789" s="2" t="s">
        <v>594</v>
      </c>
      <c r="D789" s="2" t="str">
        <f t="shared" si="11"/>
        <v>Error?</v>
      </c>
    </row>
    <row r="790" spans="1:4" x14ac:dyDescent="0.2">
      <c r="A790" s="5">
        <v>729</v>
      </c>
      <c r="B790" s="138">
        <f>'Expenditures 15-22'!D49</f>
        <v>7642</v>
      </c>
      <c r="D790" s="2" t="str">
        <f t="shared" si="11"/>
        <v>Error?</v>
      </c>
    </row>
    <row r="791" spans="1:4" x14ac:dyDescent="0.2">
      <c r="A791" s="5">
        <v>730</v>
      </c>
      <c r="B791" s="138">
        <f>'Expenditures 15-22'!D50</f>
        <v>19789</v>
      </c>
      <c r="D791" s="2" t="str">
        <f t="shared" si="11"/>
        <v>Error?</v>
      </c>
    </row>
    <row r="792" spans="1:4" x14ac:dyDescent="0.2">
      <c r="A792" s="5">
        <v>731</v>
      </c>
      <c r="B792" s="138">
        <f>'Expenditures 15-22'!D53</f>
        <v>27431</v>
      </c>
      <c r="C792" s="2" t="s">
        <v>594</v>
      </c>
      <c r="D792" s="2" t="str">
        <f t="shared" si="11"/>
        <v>Error?</v>
      </c>
    </row>
    <row r="793" spans="1:4" x14ac:dyDescent="0.2">
      <c r="A793" s="5">
        <v>732</v>
      </c>
      <c r="B793" s="138">
        <f>'Expenditures 15-22'!D55</f>
        <v>203449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203449</v>
      </c>
      <c r="C795" s="2" t="s">
        <v>594</v>
      </c>
      <c r="D795" s="2" t="str">
        <f t="shared" si="11"/>
        <v>Error?</v>
      </c>
    </row>
    <row r="796" spans="1:4" x14ac:dyDescent="0.2">
      <c r="A796" s="5">
        <v>735</v>
      </c>
      <c r="B796" s="138">
        <f>'Expenditures 15-22'!D59</f>
        <v>19421</v>
      </c>
      <c r="D796" s="2" t="str">
        <f t="shared" si="11"/>
        <v>Error?</v>
      </c>
    </row>
    <row r="797" spans="1:4" x14ac:dyDescent="0.2">
      <c r="A797" s="5">
        <v>736</v>
      </c>
      <c r="B797" s="138">
        <f>'Expenditures 15-22'!D60</f>
        <v>30662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31444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81527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75113</v>
      </c>
      <c r="D812" s="2" t="str">
        <f t="shared" si="11"/>
        <v>Error?</v>
      </c>
    </row>
    <row r="813" spans="1:4" x14ac:dyDescent="0.2">
      <c r="A813" s="5">
        <v>752</v>
      </c>
      <c r="B813" s="138">
        <f>'Expenditures 15-22'!D74</f>
        <v>546731</v>
      </c>
      <c r="C813" s="2" t="s">
        <v>594</v>
      </c>
      <c r="D813" s="2" t="str">
        <f t="shared" si="11"/>
        <v>Error?</v>
      </c>
    </row>
    <row r="814" spans="1:4" x14ac:dyDescent="0.2">
      <c r="A814" s="5">
        <v>753</v>
      </c>
      <c r="B814" s="138">
        <f>'Expenditures 15-22'!D75</f>
        <v>1893</v>
      </c>
      <c r="D814" s="2" t="str">
        <f t="shared" si="11"/>
        <v>Error?</v>
      </c>
    </row>
    <row r="815" spans="1:4" x14ac:dyDescent="0.2">
      <c r="A815" s="5">
        <v>754</v>
      </c>
      <c r="B815" s="138">
        <f>'Expenditures 15-22'!D114</f>
        <v>1462796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42552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46682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52</v>
      </c>
      <c r="D842" s="2" t="str">
        <f t="shared" si="12"/>
        <v>Error?</v>
      </c>
    </row>
    <row r="843" spans="1:4" x14ac:dyDescent="0.2">
      <c r="A843" s="5">
        <v>782</v>
      </c>
      <c r="B843" s="138">
        <f>'Expenditures 15-22'!E42</f>
        <v>695</v>
      </c>
      <c r="C843" s="2" t="s">
        <v>594</v>
      </c>
      <c r="D843" s="2" t="str">
        <f t="shared" si="12"/>
        <v>Error?</v>
      </c>
    </row>
    <row r="844" spans="1:4" x14ac:dyDescent="0.2">
      <c r="A844" s="5">
        <v>783</v>
      </c>
      <c r="B844" s="138">
        <f>'Expenditures 15-22'!E44</f>
        <v>21340</v>
      </c>
      <c r="D844" s="2" t="str">
        <f t="shared" si="12"/>
        <v>Error?</v>
      </c>
    </row>
    <row r="845" spans="1:4" x14ac:dyDescent="0.2">
      <c r="A845" s="5">
        <v>784</v>
      </c>
      <c r="B845" s="138">
        <f>'Expenditures 15-22'!E45</f>
        <v>64542</v>
      </c>
      <c r="D845" s="2" t="str">
        <f t="shared" si="12"/>
        <v>Error?</v>
      </c>
    </row>
    <row r="846" spans="1:4" x14ac:dyDescent="0.2">
      <c r="A846" s="5">
        <v>785</v>
      </c>
      <c r="B846" s="138">
        <f>'Expenditures 15-22'!E46</f>
        <v>16394</v>
      </c>
      <c r="D846" s="2" t="str">
        <f t="shared" si="12"/>
        <v>Error?</v>
      </c>
    </row>
    <row r="847" spans="1:4" x14ac:dyDescent="0.2">
      <c r="A847" s="5">
        <v>786</v>
      </c>
      <c r="B847" s="138">
        <f>'Expenditures 15-22'!E47</f>
        <v>102276</v>
      </c>
      <c r="C847" s="2" t="s">
        <v>594</v>
      </c>
      <c r="D847" s="2" t="str">
        <f t="shared" si="12"/>
        <v>Error?</v>
      </c>
    </row>
    <row r="848" spans="1:4" x14ac:dyDescent="0.2">
      <c r="A848" s="5">
        <v>787</v>
      </c>
      <c r="B848" s="138">
        <f>'Expenditures 15-22'!E49</f>
        <v>85863</v>
      </c>
      <c r="D848" s="2" t="str">
        <f t="shared" si="12"/>
        <v>Error?</v>
      </c>
    </row>
    <row r="849" spans="1:4" x14ac:dyDescent="0.2">
      <c r="A849" s="5">
        <v>788</v>
      </c>
      <c r="B849" s="138">
        <f>'Expenditures 15-22'!E50</f>
        <v>1000</v>
      </c>
      <c r="D849" s="2" t="str">
        <f t="shared" si="12"/>
        <v>Error?</v>
      </c>
    </row>
    <row r="850" spans="1:4" x14ac:dyDescent="0.2">
      <c r="A850" s="5">
        <v>789</v>
      </c>
      <c r="B850" s="138">
        <f>'Expenditures 15-22'!E53</f>
        <v>86863</v>
      </c>
      <c r="C850" s="2" t="s">
        <v>594</v>
      </c>
      <c r="D850" s="2" t="str">
        <f t="shared" si="12"/>
        <v>Error?</v>
      </c>
    </row>
    <row r="851" spans="1:4" x14ac:dyDescent="0.2">
      <c r="A851" s="5">
        <v>790</v>
      </c>
      <c r="B851" s="138">
        <f>'Expenditures 15-22'!E55</f>
        <v>4054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4054</v>
      </c>
      <c r="C853" s="2" t="s">
        <v>594</v>
      </c>
      <c r="D853" s="2" t="str">
        <f t="shared" si="12"/>
        <v>Error?</v>
      </c>
    </row>
    <row r="854" spans="1:4" x14ac:dyDescent="0.2">
      <c r="A854" s="5">
        <v>793</v>
      </c>
      <c r="B854" s="138">
        <f>'Expenditures 15-22'!E59</f>
        <v>1451</v>
      </c>
      <c r="D854" s="2" t="str">
        <f t="shared" si="12"/>
        <v>Error?</v>
      </c>
    </row>
    <row r="855" spans="1:4" x14ac:dyDescent="0.2">
      <c r="A855" s="5">
        <v>794</v>
      </c>
      <c r="B855" s="138">
        <f>'Expenditures 15-22'!E60</f>
        <v>2050</v>
      </c>
      <c r="D855" s="2" t="str">
        <f t="shared" si="12"/>
        <v>Error?</v>
      </c>
    </row>
    <row r="856" spans="1:4" x14ac:dyDescent="0.2">
      <c r="A856" s="5">
        <v>795</v>
      </c>
      <c r="B856" s="138">
        <f>'Expenditures 15-22'!E61</f>
        <v>11143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208625</v>
      </c>
      <c r="C871" s="2" t="s">
        <v>594</v>
      </c>
      <c r="D871" s="2" t="str">
        <f t="shared" si="12"/>
        <v>Error?</v>
      </c>
    </row>
    <row r="872" spans="1:4" x14ac:dyDescent="0.2">
      <c r="A872" s="5">
        <v>811</v>
      </c>
      <c r="B872" s="138">
        <f>'Expenditures 15-22'!E75</f>
        <v>4448</v>
      </c>
      <c r="D872" s="2" t="str">
        <f t="shared" si="12"/>
        <v>Error?</v>
      </c>
    </row>
    <row r="873" spans="1:4" x14ac:dyDescent="0.2">
      <c r="A873" s="5">
        <v>812</v>
      </c>
      <c r="B873" s="138">
        <f>'Expenditures 15-22'!E114</f>
        <v>2574373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114903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188253</v>
      </c>
      <c r="D891" s="2" t="str">
        <f t="shared" si="12"/>
        <v>Error?</v>
      </c>
    </row>
    <row r="892" spans="1:4" x14ac:dyDescent="0.2">
      <c r="A892" s="5">
        <v>831</v>
      </c>
      <c r="B892" s="138">
        <f>'Expenditures 15-22'!F14</f>
        <v>41145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487507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1440</v>
      </c>
      <c r="D896" s="2" t="str">
        <f t="shared" si="13"/>
        <v>Error?</v>
      </c>
    </row>
    <row r="897" spans="1:4" x14ac:dyDescent="0.2">
      <c r="A897" s="5">
        <v>836</v>
      </c>
      <c r="B897" s="138">
        <f>'Expenditures 15-22'!F38</f>
        <v>2237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1484</v>
      </c>
      <c r="D900" s="2" t="str">
        <f t="shared" si="13"/>
        <v>Error?</v>
      </c>
    </row>
    <row r="901" spans="1:4" x14ac:dyDescent="0.2">
      <c r="A901" s="5">
        <v>840</v>
      </c>
      <c r="B901" s="138">
        <f>'Expenditures 15-22'!F42</f>
        <v>5161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132612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132612</v>
      </c>
      <c r="C905" s="2" t="s">
        <v>594</v>
      </c>
      <c r="D905" s="2" t="str">
        <f t="shared" si="13"/>
        <v>Error?</v>
      </c>
    </row>
    <row r="906" spans="1:4" x14ac:dyDescent="0.2">
      <c r="A906" s="5">
        <v>845</v>
      </c>
      <c r="B906" s="138">
        <f>'Expenditures 15-22'!F49</f>
        <v>33642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33642</v>
      </c>
      <c r="C908" s="2" t="s">
        <v>594</v>
      </c>
      <c r="D908" s="2" t="str">
        <f t="shared" si="13"/>
        <v>Error?</v>
      </c>
    </row>
    <row r="909" spans="1:4" x14ac:dyDescent="0.2">
      <c r="A909" s="5">
        <v>848</v>
      </c>
      <c r="B909" s="138">
        <f>'Expenditures 15-22'!F55</f>
        <v>2881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2881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14141</v>
      </c>
      <c r="D913" s="2" t="str">
        <f t="shared" si="13"/>
        <v>Error?</v>
      </c>
    </row>
    <row r="914" spans="1:4" x14ac:dyDescent="0.2">
      <c r="A914" s="5">
        <v>853</v>
      </c>
      <c r="B914" s="138">
        <f>'Expenditures 15-22'!F61</f>
        <v>295801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354479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664421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148</v>
      </c>
      <c r="D928" s="2" t="str">
        <f t="shared" si="13"/>
        <v>Error?</v>
      </c>
    </row>
    <row r="929" spans="1:4" x14ac:dyDescent="0.2">
      <c r="A929" s="5">
        <v>868</v>
      </c>
      <c r="B929" s="138">
        <f>'Expenditures 15-22'!F74</f>
        <v>838865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1326372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970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10680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60790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60790</v>
      </c>
      <c r="C963" s="2" t="s">
        <v>594</v>
      </c>
      <c r="D963" s="2" t="str">
        <f t="shared" si="14"/>
        <v>Error?</v>
      </c>
    </row>
    <row r="964" spans="1:4" x14ac:dyDescent="0.2">
      <c r="A964" s="5">
        <v>903</v>
      </c>
      <c r="B964" s="138">
        <f>'Expenditures 15-22'!G49</f>
        <v>15847</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15847</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76637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87317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1789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13495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338946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6623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6623</v>
      </c>
      <c r="C1021" s="2" t="s">
        <v>594</v>
      </c>
      <c r="D1021" s="2" t="str">
        <f t="shared" si="14"/>
        <v>Error?</v>
      </c>
    </row>
    <row r="1022" spans="1:4" x14ac:dyDescent="0.2">
      <c r="A1022" s="5">
        <v>961</v>
      </c>
      <c r="B1022" s="138">
        <f>'Expenditures 15-22'!H49</f>
        <v>70267</v>
      </c>
      <c r="D1022" s="2" t="str">
        <f t="shared" si="14"/>
        <v>Error?</v>
      </c>
    </row>
    <row r="1023" spans="1:4" x14ac:dyDescent="0.2">
      <c r="A1023" s="5">
        <v>962</v>
      </c>
      <c r="B1023" s="138">
        <f>'Expenditures 15-22'!H50</f>
        <v>1220</v>
      </c>
      <c r="D1023" s="2" t="str">
        <f t="shared" ref="D1023:D1086" si="15">IF(ISBLANK(B1023),"OK",IF(A1023-B1023=0,"OK","Error?"))</f>
        <v>Error?</v>
      </c>
    </row>
    <row r="1024" spans="1:4" x14ac:dyDescent="0.2">
      <c r="A1024" s="5">
        <v>963</v>
      </c>
      <c r="B1024" s="138">
        <f>'Expenditures 15-22'!H53</f>
        <v>71487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3654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3654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81764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248554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669264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4404321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252252</v>
      </c>
      <c r="C1105" s="2" t="s">
        <v>594</v>
      </c>
      <c r="D1105" s="2" t="str">
        <f t="shared" si="16"/>
        <v>Error?</v>
      </c>
    </row>
    <row r="1106" spans="1:4" x14ac:dyDescent="0.2">
      <c r="A1106" s="5">
        <v>1045</v>
      </c>
      <c r="B1106" s="138">
        <f>'Expenditures 15-22'!K14</f>
        <v>407902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5712698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146188</v>
      </c>
      <c r="C1110" s="2" t="s">
        <v>594</v>
      </c>
      <c r="D1110" s="2" t="str">
        <f t="shared" si="16"/>
        <v>Error?</v>
      </c>
    </row>
    <row r="1111" spans="1:4" x14ac:dyDescent="0.2">
      <c r="A1111" s="5">
        <v>1050</v>
      </c>
      <c r="B1111" s="138">
        <f>'Expenditures 15-22'!K38</f>
        <v>87625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5346</v>
      </c>
      <c r="C1114" s="2" t="s">
        <v>594</v>
      </c>
      <c r="D1114" s="2" t="str">
        <f t="shared" si="16"/>
        <v>Error?</v>
      </c>
    </row>
    <row r="1115" spans="1:4" x14ac:dyDescent="0.2">
      <c r="A1115" s="5">
        <v>1054</v>
      </c>
      <c r="B1115" s="138">
        <f>'Expenditures 15-22'!K42</f>
        <v>239159</v>
      </c>
      <c r="C1115" s="2" t="s">
        <v>594</v>
      </c>
      <c r="D1115" s="2" t="str">
        <f t="shared" si="16"/>
        <v>Error?</v>
      </c>
    </row>
    <row r="1116" spans="1:4" x14ac:dyDescent="0.2">
      <c r="A1116" s="5">
        <v>1055</v>
      </c>
      <c r="B1116" s="138">
        <f>'Expenditures 15-22'!K44</f>
        <v>191564</v>
      </c>
      <c r="C1116" s="2" t="s">
        <v>594</v>
      </c>
      <c r="D1116" s="2" t="str">
        <f t="shared" si="16"/>
        <v>Error?</v>
      </c>
    </row>
    <row r="1117" spans="1:4" x14ac:dyDescent="0.2">
      <c r="A1117" s="5">
        <v>1056</v>
      </c>
      <c r="B1117" s="138">
        <f>'Expenditures 15-22'!K45</f>
        <v>600873</v>
      </c>
      <c r="C1117" s="2" t="s">
        <v>594</v>
      </c>
      <c r="D1117" s="2" t="str">
        <f t="shared" si="16"/>
        <v>Error?</v>
      </c>
    </row>
    <row r="1118" spans="1:4" x14ac:dyDescent="0.2">
      <c r="A1118" s="5">
        <v>1057</v>
      </c>
      <c r="B1118" s="138">
        <f>'Expenditures 15-22'!K46</f>
        <v>16394</v>
      </c>
      <c r="C1118" s="2" t="s">
        <v>594</v>
      </c>
      <c r="D1118" s="2" t="str">
        <f t="shared" si="16"/>
        <v>Error?</v>
      </c>
    </row>
    <row r="1119" spans="1:4" x14ac:dyDescent="0.2">
      <c r="A1119" s="5">
        <v>1058</v>
      </c>
      <c r="B1119" s="138">
        <f>'Expenditures 15-22'!K47</f>
        <v>808831</v>
      </c>
      <c r="C1119" s="2" t="s">
        <v>594</v>
      </c>
      <c r="D1119" s="2" t="str">
        <f t="shared" si="16"/>
        <v>Error?</v>
      </c>
    </row>
    <row r="1120" spans="1:4" x14ac:dyDescent="0.2">
      <c r="A1120" s="5">
        <v>1059</v>
      </c>
      <c r="B1120" s="138">
        <f>'Expenditures 15-22'!K49</f>
        <v>213261</v>
      </c>
      <c r="C1120" s="2" t="s">
        <v>594</v>
      </c>
      <c r="D1120" s="2" t="str">
        <f t="shared" si="16"/>
        <v>Error?</v>
      </c>
    </row>
    <row r="1121" spans="1:4" x14ac:dyDescent="0.2">
      <c r="A1121" s="5">
        <v>1060</v>
      </c>
      <c r="B1121" s="138">
        <f>'Expenditures 15-22'!K50</f>
        <v>104339</v>
      </c>
      <c r="C1121" s="2" t="s">
        <v>594</v>
      </c>
      <c r="D1121" s="2" t="str">
        <f t="shared" si="16"/>
        <v>Error?</v>
      </c>
    </row>
    <row r="1122" spans="1:4" x14ac:dyDescent="0.2">
      <c r="A1122" s="5">
        <v>1061</v>
      </c>
      <c r="B1122" s="138">
        <f>'Expenditures 15-22'!K53</f>
        <v>317600</v>
      </c>
      <c r="C1122" s="2" t="s">
        <v>594</v>
      </c>
      <c r="D1122" s="2" t="str">
        <f t="shared" si="16"/>
        <v>Error?</v>
      </c>
    </row>
    <row r="1123" spans="1:4" x14ac:dyDescent="0.2">
      <c r="A1123" s="5">
        <v>1062</v>
      </c>
      <c r="B1123" s="138">
        <f>'Expenditures 15-22'!K55</f>
        <v>944704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944704</v>
      </c>
      <c r="C1125" s="2" t="s">
        <v>594</v>
      </c>
      <c r="D1125" s="2" t="str">
        <f t="shared" si="16"/>
        <v>Error?</v>
      </c>
    </row>
    <row r="1126" spans="1:4" x14ac:dyDescent="0.2">
      <c r="A1126" s="5">
        <v>1065</v>
      </c>
      <c r="B1126" s="138">
        <f>'Expenditures 15-22'!K59</f>
        <v>99922</v>
      </c>
      <c r="C1126" s="2" t="s">
        <v>594</v>
      </c>
      <c r="D1126" s="2" t="str">
        <f t="shared" si="16"/>
        <v>Error?</v>
      </c>
    </row>
    <row r="1127" spans="1:4" x14ac:dyDescent="0.2">
      <c r="A1127" s="5">
        <v>1066</v>
      </c>
      <c r="B1127" s="138">
        <f>'Expenditures 15-22'!K60</f>
        <v>210189</v>
      </c>
      <c r="C1127" s="2" t="s">
        <v>594</v>
      </c>
      <c r="D1127" s="2" t="str">
        <f t="shared" si="16"/>
        <v>Error?</v>
      </c>
    </row>
    <row r="1128" spans="1:4" x14ac:dyDescent="0.2">
      <c r="A1128" s="5">
        <v>1067</v>
      </c>
      <c r="B1128" s="138">
        <f>'Expenditures 15-22'!K61</f>
        <v>306944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661461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1278516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79674</v>
      </c>
      <c r="C1142" s="2" t="s">
        <v>594</v>
      </c>
      <c r="D1142" s="2" t="str">
        <f t="shared" si="16"/>
        <v>Error?</v>
      </c>
    </row>
    <row r="1143" spans="1:4" x14ac:dyDescent="0.2">
      <c r="A1143" s="5">
        <v>1082</v>
      </c>
      <c r="B1143" s="138">
        <f>'Expenditures 15-22'!K74</f>
        <v>3668484</v>
      </c>
      <c r="C1143" s="2" t="s">
        <v>594</v>
      </c>
      <c r="D1143" s="2" t="str">
        <f t="shared" si="16"/>
        <v>Error?</v>
      </c>
    </row>
    <row r="1144" spans="1:4" x14ac:dyDescent="0.2">
      <c r="A1144" s="5">
        <v>1083</v>
      </c>
      <c r="B1144" s="138">
        <f>'Expenditures 15-22'!K75</f>
        <v>15625</v>
      </c>
      <c r="C1144" s="2" t="s">
        <v>594</v>
      </c>
      <c r="D1144" s="2" t="str">
        <f t="shared" si="16"/>
        <v>Error?</v>
      </c>
    </row>
    <row r="1145" spans="1:4" x14ac:dyDescent="0.2">
      <c r="A1145" s="5">
        <v>1084</v>
      </c>
      <c r="B1145" s="138">
        <f>'Expenditures 15-22'!K102</f>
        <v>2563172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11959979</v>
      </c>
      <c r="C1152" s="2" t="s">
        <v>594</v>
      </c>
      <c r="D1152" s="2" t="str">
        <f t="shared" si="17"/>
        <v>Error?</v>
      </c>
    </row>
    <row r="1153" spans="1:4" x14ac:dyDescent="0.2">
      <c r="A1153" s="5">
        <v>1092</v>
      </c>
      <c r="B1153" s="138">
        <f>'Expenditures 15-22'!K115</f>
        <v>-89895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728852</v>
      </c>
      <c r="D1221" s="2" t="str">
        <f t="shared" si="18"/>
        <v>Error?</v>
      </c>
    </row>
    <row r="1222" spans="1:4" x14ac:dyDescent="0.2">
      <c r="A1222" s="10">
        <v>1161</v>
      </c>
      <c r="D1222" s="2" t="str">
        <f t="shared" si="18"/>
        <v>OK</v>
      </c>
    </row>
    <row r="1223" spans="1:4" x14ac:dyDescent="0.2">
      <c r="A1223" s="5">
        <v>1162</v>
      </c>
      <c r="B1223" s="138">
        <f>'Expenditures 15-22'!C127</f>
        <v>728852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728852</v>
      </c>
      <c r="C1225" s="2" t="s">
        <v>594</v>
      </c>
      <c r="D1225" s="2" t="str">
        <f t="shared" si="18"/>
        <v>Error?</v>
      </c>
    </row>
    <row r="1226" spans="1:4" x14ac:dyDescent="0.2">
      <c r="A1226" s="5">
        <v>1165</v>
      </c>
      <c r="B1226" s="138">
        <f>'Expenditures 15-22'!C151</f>
        <v>728852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124419</v>
      </c>
      <c r="D1229" s="2" t="str">
        <f t="shared" si="18"/>
        <v>Error?</v>
      </c>
    </row>
    <row r="1230" spans="1:4" x14ac:dyDescent="0.2">
      <c r="A1230" s="10">
        <v>1169</v>
      </c>
      <c r="D1230" s="2" t="str">
        <f t="shared" si="18"/>
        <v>OK</v>
      </c>
    </row>
    <row r="1231" spans="1:4" x14ac:dyDescent="0.2">
      <c r="A1231" s="5">
        <v>1170</v>
      </c>
      <c r="B1231" s="138">
        <f>'Expenditures 15-22'!D127</f>
        <v>124419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124419</v>
      </c>
      <c r="C1233" s="2" t="s">
        <v>594</v>
      </c>
      <c r="D1233" s="2" t="str">
        <f t="shared" si="18"/>
        <v>Error?</v>
      </c>
    </row>
    <row r="1234" spans="1:4" x14ac:dyDescent="0.2">
      <c r="A1234" s="5">
        <v>1173</v>
      </c>
      <c r="B1234" s="138">
        <f>'Expenditures 15-22'!D151</f>
        <v>124419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447014</v>
      </c>
      <c r="D1237" s="2" t="str">
        <f t="shared" si="18"/>
        <v>Error?</v>
      </c>
    </row>
    <row r="1238" spans="1:4" x14ac:dyDescent="0.2">
      <c r="A1238" s="10">
        <v>1177</v>
      </c>
      <c r="D1238" s="2" t="str">
        <f t="shared" si="18"/>
        <v>OK</v>
      </c>
    </row>
    <row r="1239" spans="1:4" x14ac:dyDescent="0.2">
      <c r="A1239" s="5">
        <v>1178</v>
      </c>
      <c r="B1239" s="138">
        <f>'Expenditures 15-22'!E127</f>
        <v>447014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447014</v>
      </c>
      <c r="C1241" s="2" t="s">
        <v>594</v>
      </c>
      <c r="D1241" s="2" t="str">
        <f t="shared" si="18"/>
        <v>Error?</v>
      </c>
    </row>
    <row r="1242" spans="1:4" x14ac:dyDescent="0.2">
      <c r="A1242" s="5">
        <v>1181</v>
      </c>
      <c r="B1242" s="138">
        <f>'Expenditures 15-22'!E151</f>
        <v>447014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204982</v>
      </c>
      <c r="D1245" s="2" t="str">
        <f t="shared" si="18"/>
        <v>Error?</v>
      </c>
    </row>
    <row r="1246" spans="1:4" x14ac:dyDescent="0.2">
      <c r="A1246" s="10">
        <v>1185</v>
      </c>
      <c r="D1246" s="2" t="str">
        <f t="shared" si="18"/>
        <v>OK</v>
      </c>
    </row>
    <row r="1247" spans="1:4" x14ac:dyDescent="0.2">
      <c r="A1247" s="5">
        <v>1186</v>
      </c>
      <c r="B1247" s="138">
        <f>'Expenditures 15-22'!F127</f>
        <v>204982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204982</v>
      </c>
      <c r="C1249" s="2" t="s">
        <v>594</v>
      </c>
      <c r="D1249" s="2" t="str">
        <f t="shared" si="18"/>
        <v>Error?</v>
      </c>
    </row>
    <row r="1250" spans="1:4" x14ac:dyDescent="0.2">
      <c r="A1250" s="5">
        <v>1189</v>
      </c>
      <c r="B1250" s="138">
        <f>'Expenditures 15-22'!F151</f>
        <v>204982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118421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118421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118421</v>
      </c>
      <c r="C1258" s="2" t="s">
        <v>594</v>
      </c>
      <c r="D1258" s="2" t="str">
        <f t="shared" si="18"/>
        <v>Error?</v>
      </c>
    </row>
    <row r="1259" spans="1:4" x14ac:dyDescent="0.2">
      <c r="A1259" s="5">
        <v>1198</v>
      </c>
      <c r="B1259" s="138">
        <f>'Expenditures 15-22'!G151</f>
        <v>118421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1623688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1623688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1623688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1623688</v>
      </c>
      <c r="C1288" s="2" t="s">
        <v>594</v>
      </c>
      <c r="D1288" s="2" t="str">
        <f t="shared" si="19"/>
        <v>Error?</v>
      </c>
    </row>
    <row r="1289" spans="1:4" x14ac:dyDescent="0.2">
      <c r="A1289" s="5">
        <v>1228</v>
      </c>
      <c r="B1289" s="138">
        <f>'Expenditures 15-22'!K152</f>
        <v>314621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91411</v>
      </c>
      <c r="D1307" s="2" t="str">
        <f t="shared" si="19"/>
        <v>Error?</v>
      </c>
    </row>
    <row r="1308" spans="1:4" x14ac:dyDescent="0.2">
      <c r="A1308" s="5">
        <v>1247</v>
      </c>
      <c r="B1308" s="138">
        <f>'Expenditures 15-22'!E172</f>
        <v>91411</v>
      </c>
      <c r="C1308" s="2" t="s">
        <v>594</v>
      </c>
      <c r="D1308" s="2" t="str">
        <f t="shared" si="19"/>
        <v>Error?</v>
      </c>
    </row>
    <row r="1309" spans="1:4" x14ac:dyDescent="0.2">
      <c r="A1309" s="5">
        <v>1248</v>
      </c>
      <c r="B1309" s="138">
        <f>'Expenditures 15-22'!E174</f>
        <v>91411</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1640052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719148</v>
      </c>
      <c r="D1315" s="2" t="str">
        <f t="shared" si="19"/>
        <v>Error?</v>
      </c>
    </row>
    <row r="1316" spans="1:4" x14ac:dyDescent="0.2">
      <c r="A1316" s="5">
        <v>1255</v>
      </c>
      <c r="B1316" s="138">
        <f>'Expenditures 15-22'!H171</f>
        <v>3700</v>
      </c>
      <c r="D1316" s="2" t="str">
        <f t="shared" si="19"/>
        <v>Error?</v>
      </c>
    </row>
    <row r="1317" spans="1:4" x14ac:dyDescent="0.2">
      <c r="A1317" s="5">
        <v>1256</v>
      </c>
      <c r="B1317" s="138">
        <f>'Expenditures 15-22'!H172</f>
        <v>2362900</v>
      </c>
      <c r="C1317" s="2" t="s">
        <v>594</v>
      </c>
      <c r="D1317" s="2" t="str">
        <f t="shared" si="19"/>
        <v>Error?</v>
      </c>
    </row>
    <row r="1318" spans="1:4" x14ac:dyDescent="0.2">
      <c r="A1318" s="5">
        <v>1257</v>
      </c>
      <c r="B1318" s="138">
        <f>'Expenditures 15-22'!H174</f>
        <v>2362900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1640052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719148</v>
      </c>
      <c r="C1329" s="2" t="s">
        <v>594</v>
      </c>
      <c r="D1329" s="2" t="str">
        <f t="shared" si="19"/>
        <v>Error?</v>
      </c>
    </row>
    <row r="1330" spans="1:4" x14ac:dyDescent="0.2">
      <c r="A1330" s="5">
        <v>1269</v>
      </c>
      <c r="B1330" s="138">
        <f>'Expenditures 15-22'!K171</f>
        <v>95111</v>
      </c>
      <c r="C1330" s="2" t="s">
        <v>594</v>
      </c>
      <c r="D1330" s="2" t="str">
        <f t="shared" si="19"/>
        <v>Error?</v>
      </c>
    </row>
    <row r="1331" spans="1:4" x14ac:dyDescent="0.2">
      <c r="A1331" s="5">
        <v>1270</v>
      </c>
      <c r="B1331" s="138">
        <f>'Expenditures 15-22'!K172</f>
        <v>2454311</v>
      </c>
      <c r="C1331" s="2" t="s">
        <v>594</v>
      </c>
      <c r="D1331" s="2" t="str">
        <f t="shared" si="19"/>
        <v>Error?</v>
      </c>
    </row>
    <row r="1332" spans="1:4" x14ac:dyDescent="0.2">
      <c r="A1332" s="5">
        <v>1271</v>
      </c>
      <c r="B1332" s="138">
        <f>'Expenditures 15-22'!K174</f>
        <v>2454311</v>
      </c>
      <c r="C1332" s="2" t="s">
        <v>594</v>
      </c>
      <c r="D1332" s="2" t="str">
        <f t="shared" si="19"/>
        <v>Error?</v>
      </c>
    </row>
    <row r="1333" spans="1:4" x14ac:dyDescent="0.2">
      <c r="A1333" s="5">
        <v>1272</v>
      </c>
      <c r="B1333" s="138">
        <f>'Expenditures 15-22'!K175</f>
        <v>225045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1394258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1394258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1394258</v>
      </c>
      <c r="C1353" s="2" t="s">
        <v>594</v>
      </c>
      <c r="D1353" s="2" t="str">
        <f t="shared" si="20"/>
        <v>Error?</v>
      </c>
    </row>
    <row r="1354" spans="1:4" x14ac:dyDescent="0.2">
      <c r="A1354" s="5">
        <v>1293</v>
      </c>
      <c r="B1354" s="138">
        <f>'Expenditures 15-22'!F182</f>
        <v>91090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91090</v>
      </c>
      <c r="C1358" s="2" t="s">
        <v>594</v>
      </c>
      <c r="D1358" s="2" t="str">
        <f t="shared" si="20"/>
        <v>Error?</v>
      </c>
    </row>
    <row r="1359" spans="1:4" x14ac:dyDescent="0.2">
      <c r="A1359" s="5">
        <v>1298</v>
      </c>
      <c r="B1359" s="138">
        <f>'Expenditures 15-22'!F210</f>
        <v>91090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1485348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1485348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1485348</v>
      </c>
      <c r="C1388" s="2" t="s">
        <v>594</v>
      </c>
      <c r="D1388" s="2" t="str">
        <f t="shared" si="20"/>
        <v>Error?</v>
      </c>
    </row>
    <row r="1389" spans="1:4" x14ac:dyDescent="0.2">
      <c r="A1389" s="5">
        <v>1328</v>
      </c>
      <c r="B1389" s="138">
        <f>'Expenditures 15-22'!K211</f>
        <v>114825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703</v>
      </c>
      <c r="D1407" s="2" t="str">
        <f t="shared" ref="D1407:D1470" si="21">IF(ISBLANK(B1407),"OK",IF(A1407-B1407=0,"OK","Error?"))</f>
        <v>Error?</v>
      </c>
    </row>
    <row r="1408" spans="1:4" x14ac:dyDescent="0.2">
      <c r="A1408" s="5">
        <v>1347</v>
      </c>
      <c r="B1408" s="138">
        <f>'Expenditures 15-22'!D223</f>
        <v>6859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59848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7027</v>
      </c>
      <c r="D1412" s="2" t="str">
        <f t="shared" si="21"/>
        <v>Error?</v>
      </c>
    </row>
    <row r="1413" spans="1:4" x14ac:dyDescent="0.2">
      <c r="A1413" s="5">
        <v>1352</v>
      </c>
      <c r="B1413" s="138">
        <f>'Expenditures 15-22'!D234</f>
        <v>14530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291</v>
      </c>
      <c r="D1416" s="2" t="str">
        <f t="shared" si="21"/>
        <v>Error?</v>
      </c>
    </row>
    <row r="1417" spans="1:4" x14ac:dyDescent="0.2">
      <c r="A1417" s="5">
        <v>1356</v>
      </c>
      <c r="B1417" s="138">
        <f>'Expenditures 15-22'!D238</f>
        <v>21848</v>
      </c>
      <c r="C1417" s="2" t="s">
        <v>594</v>
      </c>
      <c r="D1417" s="2" t="str">
        <f t="shared" si="21"/>
        <v>Error?</v>
      </c>
    </row>
    <row r="1418" spans="1:4" x14ac:dyDescent="0.2">
      <c r="A1418" s="5">
        <v>1357</v>
      </c>
      <c r="B1418" s="138">
        <f>'Expenditures 15-22'!D240</f>
        <v>2049</v>
      </c>
      <c r="D1418" s="2" t="str">
        <f t="shared" si="21"/>
        <v>Error?</v>
      </c>
    </row>
    <row r="1419" spans="1:4" x14ac:dyDescent="0.2">
      <c r="A1419" s="5">
        <v>1358</v>
      </c>
      <c r="B1419" s="138">
        <f>'Expenditures 15-22'!D241</f>
        <v>44480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46529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1322</v>
      </c>
      <c r="D1423" s="2" t="str">
        <f t="shared" si="21"/>
        <v>Error?</v>
      </c>
    </row>
    <row r="1424" spans="1:4" x14ac:dyDescent="0.2">
      <c r="A1424" s="5">
        <v>1363</v>
      </c>
      <c r="B1424" s="138">
        <f>'Expenditures 15-22'!D257</f>
        <v>1322</v>
      </c>
      <c r="C1424" s="2" t="s">
        <v>594</v>
      </c>
      <c r="D1424" s="2" t="str">
        <f t="shared" si="21"/>
        <v>Error?</v>
      </c>
    </row>
    <row r="1425" spans="1:4" x14ac:dyDescent="0.2">
      <c r="A1425" s="5">
        <v>1364</v>
      </c>
      <c r="B1425" s="138">
        <f>'Expenditures 15-22'!D259</f>
        <v>54581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54581</v>
      </c>
      <c r="C1427" s="2" t="s">
        <v>594</v>
      </c>
      <c r="D1427" s="2" t="str">
        <f t="shared" si="21"/>
        <v>Error?</v>
      </c>
    </row>
    <row r="1428" spans="1:4" x14ac:dyDescent="0.2">
      <c r="A1428" s="5">
        <v>1367</v>
      </c>
      <c r="B1428" s="138">
        <f>'Expenditures 15-22'!D263</f>
        <v>1260</v>
      </c>
      <c r="D1428" s="2" t="str">
        <f t="shared" si="21"/>
        <v>Error?</v>
      </c>
    </row>
    <row r="1429" spans="1:4" x14ac:dyDescent="0.2">
      <c r="A1429" s="5">
        <v>1368</v>
      </c>
      <c r="B1429" s="138">
        <f>'Expenditures 15-22'!D264</f>
        <v>36577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157094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54646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249577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283</v>
      </c>
      <c r="D1445" s="2" t="str">
        <f t="shared" si="21"/>
        <v>Error?</v>
      </c>
    </row>
    <row r="1446" spans="1:4" x14ac:dyDescent="0.2">
      <c r="A1446" s="5">
        <v>1385</v>
      </c>
      <c r="B1446" s="138">
        <f>'Expenditures 15-22'!D279</f>
        <v>374140</v>
      </c>
      <c r="C1446" s="2" t="s">
        <v>594</v>
      </c>
      <c r="D1446" s="2" t="str">
        <f t="shared" si="21"/>
        <v>Error?</v>
      </c>
    </row>
    <row r="1447" spans="1:4" x14ac:dyDescent="0.2">
      <c r="A1447" s="5">
        <v>1386</v>
      </c>
      <c r="B1447" s="138">
        <f>'Expenditures 15-22'!D280</f>
        <v>19</v>
      </c>
      <c r="D1447" s="2" t="str">
        <f t="shared" si="21"/>
        <v>Error?</v>
      </c>
    </row>
    <row r="1448" spans="1:4" x14ac:dyDescent="0.2">
      <c r="A1448" s="5">
        <v>1387</v>
      </c>
      <c r="B1448" s="138">
        <f>'Expenditures 15-22'!D295</f>
        <v>434007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703</v>
      </c>
      <c r="C1471" s="2" t="s">
        <v>594</v>
      </c>
      <c r="D1471" s="2" t="str">
        <f t="shared" ref="D1471:D1534" si="22">IF(ISBLANK(B1471),"OK",IF(A1471-B1471=0,"OK","Error?"))</f>
        <v>Error?</v>
      </c>
    </row>
    <row r="1472" spans="1:4" x14ac:dyDescent="0.2">
      <c r="A1472" s="5">
        <v>1411</v>
      </c>
      <c r="B1472" s="138">
        <f>'Expenditures 15-22'!K223</f>
        <v>6859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59848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7027</v>
      </c>
      <c r="C1476" s="2" t="s">
        <v>594</v>
      </c>
      <c r="D1476" s="2" t="str">
        <f t="shared" si="22"/>
        <v>Error?</v>
      </c>
    </row>
    <row r="1477" spans="1:4" x14ac:dyDescent="0.2">
      <c r="A1477" s="5">
        <v>1416</v>
      </c>
      <c r="B1477" s="138">
        <f>'Expenditures 15-22'!K234</f>
        <v>14530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291</v>
      </c>
      <c r="C1480" s="2" t="s">
        <v>594</v>
      </c>
      <c r="D1480" s="2" t="str">
        <f t="shared" si="22"/>
        <v>Error?</v>
      </c>
    </row>
    <row r="1481" spans="1:4" x14ac:dyDescent="0.2">
      <c r="A1481" s="5">
        <v>1420</v>
      </c>
      <c r="B1481" s="138">
        <f>'Expenditures 15-22'!K238</f>
        <v>21848</v>
      </c>
      <c r="C1481" s="2" t="s">
        <v>594</v>
      </c>
      <c r="D1481" s="2" t="str">
        <f t="shared" si="22"/>
        <v>Error?</v>
      </c>
    </row>
    <row r="1482" spans="1:4" x14ac:dyDescent="0.2">
      <c r="A1482" s="5">
        <v>1421</v>
      </c>
      <c r="B1482" s="138">
        <f>'Expenditures 15-22'!K240</f>
        <v>2049</v>
      </c>
      <c r="C1482" s="2" t="s">
        <v>594</v>
      </c>
      <c r="D1482" s="2" t="str">
        <f t="shared" si="22"/>
        <v>Error?</v>
      </c>
    </row>
    <row r="1483" spans="1:4" x14ac:dyDescent="0.2">
      <c r="A1483" s="5">
        <v>1422</v>
      </c>
      <c r="B1483" s="138">
        <f>'Expenditures 15-22'!K241</f>
        <v>44480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46529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1322</v>
      </c>
      <c r="C1487" s="2" t="s">
        <v>594</v>
      </c>
      <c r="D1487" s="2" t="str">
        <f t="shared" si="22"/>
        <v>Error?</v>
      </c>
    </row>
    <row r="1488" spans="1:4" x14ac:dyDescent="0.2">
      <c r="A1488" s="5">
        <v>1427</v>
      </c>
      <c r="B1488" s="138">
        <f>'Expenditures 15-22'!K257</f>
        <v>1322</v>
      </c>
      <c r="C1488" s="2" t="s">
        <v>594</v>
      </c>
      <c r="D1488" s="2" t="str">
        <f t="shared" si="22"/>
        <v>Error?</v>
      </c>
    </row>
    <row r="1489" spans="1:4" x14ac:dyDescent="0.2">
      <c r="A1489" s="5">
        <v>1428</v>
      </c>
      <c r="B1489" s="138">
        <f>'Expenditures 15-22'!K259</f>
        <v>54581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54581</v>
      </c>
      <c r="C1491" s="2" t="s">
        <v>594</v>
      </c>
      <c r="D1491" s="2" t="str">
        <f t="shared" si="22"/>
        <v>Error?</v>
      </c>
    </row>
    <row r="1492" spans="1:4" x14ac:dyDescent="0.2">
      <c r="A1492" s="5">
        <v>1431</v>
      </c>
      <c r="B1492" s="138">
        <f>'Expenditures 15-22'!K263</f>
        <v>1260</v>
      </c>
      <c r="C1492" s="2" t="s">
        <v>594</v>
      </c>
      <c r="D1492" s="2" t="str">
        <f t="shared" si="22"/>
        <v>Error?</v>
      </c>
    </row>
    <row r="1493" spans="1:4" x14ac:dyDescent="0.2">
      <c r="A1493" s="5">
        <v>1432</v>
      </c>
      <c r="B1493" s="138">
        <f>'Expenditures 15-22'!K264</f>
        <v>36577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157094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54646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249577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283</v>
      </c>
      <c r="C1509" s="2" t="s">
        <v>594</v>
      </c>
      <c r="D1509" s="2" t="str">
        <f t="shared" si="22"/>
        <v>Error?</v>
      </c>
    </row>
    <row r="1510" spans="1:4" x14ac:dyDescent="0.2">
      <c r="A1510" s="5">
        <v>1449</v>
      </c>
      <c r="B1510" s="138">
        <f>'Expenditures 15-22'!K279</f>
        <v>374140</v>
      </c>
      <c r="C1510" s="2" t="s">
        <v>594</v>
      </c>
      <c r="D1510" s="2" t="str">
        <f t="shared" si="22"/>
        <v>Error?</v>
      </c>
    </row>
    <row r="1511" spans="1:4" x14ac:dyDescent="0.2">
      <c r="A1511" s="5">
        <v>1450</v>
      </c>
      <c r="B1511" s="138">
        <f>'Expenditures 15-22'!K280</f>
        <v>19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434007</v>
      </c>
      <c r="C1517" s="2" t="s">
        <v>594</v>
      </c>
      <c r="D1517" s="2" t="str">
        <f t="shared" si="22"/>
        <v>Error?</v>
      </c>
    </row>
    <row r="1518" spans="1:4" x14ac:dyDescent="0.2">
      <c r="A1518" s="5">
        <v>1457</v>
      </c>
      <c r="B1518" s="138">
        <f>'Expenditures 15-22'!K296</f>
        <v>-165067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11581044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11505792</v>
      </c>
      <c r="C1630" s="2" t="s">
        <v>594</v>
      </c>
      <c r="D1630" s="2" t="str">
        <f t="shared" si="24"/>
        <v>Error?</v>
      </c>
    </row>
    <row r="1631" spans="1:4" x14ac:dyDescent="0.2">
      <c r="A1631" s="5">
        <v>1570</v>
      </c>
      <c r="B1631" s="138">
        <f>'Acct Summary 7-8'!D79</f>
        <v>957622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1272243</v>
      </c>
      <c r="C1644" s="2" t="s">
        <v>594</v>
      </c>
      <c r="D1644" s="2" t="str">
        <f t="shared" si="24"/>
        <v>Error?</v>
      </c>
    </row>
    <row r="1645" spans="1:4" x14ac:dyDescent="0.2">
      <c r="A1645" s="5">
        <v>1584</v>
      </c>
      <c r="B1645" s="138">
        <f>'Acct Summary 7-8'!E79</f>
        <v>1272424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1588880</v>
      </c>
      <c r="C1658" s="2" t="s">
        <v>594</v>
      </c>
      <c r="D1658" s="2" t="str">
        <f t="shared" si="24"/>
        <v>Error?</v>
      </c>
    </row>
    <row r="1659" spans="1:4" x14ac:dyDescent="0.2">
      <c r="A1659" s="5">
        <v>1598</v>
      </c>
      <c r="B1659" s="138">
        <f>'Acct Summary 7-8'!F79</f>
        <v>1504095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1618920</v>
      </c>
      <c r="C1672" s="2" t="s">
        <v>594</v>
      </c>
      <c r="D1672" s="2" t="str">
        <f t="shared" si="25"/>
        <v>Error?</v>
      </c>
    </row>
    <row r="1673" spans="1:4" x14ac:dyDescent="0.2">
      <c r="A1673" s="5">
        <v>1612</v>
      </c>
      <c r="B1673" s="138">
        <f>'Acct Summary 7-8'!G79</f>
        <v>665366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500299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6077669</v>
      </c>
      <c r="C1744" s="2" t="s">
        <v>594</v>
      </c>
      <c r="D1744" s="2" t="str">
        <f t="shared" si="26"/>
        <v>Error?</v>
      </c>
    </row>
    <row r="1745" spans="1:5" x14ac:dyDescent="0.2">
      <c r="A1745" s="5">
        <v>1684</v>
      </c>
      <c r="B1745" s="138">
        <f>'Tax Sched 23'!B5</f>
        <v>929791</v>
      </c>
      <c r="C1745" s="2" t="s">
        <v>594</v>
      </c>
      <c r="D1745" s="2" t="str">
        <f t="shared" si="26"/>
        <v>Error?</v>
      </c>
    </row>
    <row r="1746" spans="1:5" x14ac:dyDescent="0.2">
      <c r="A1746" s="5">
        <v>1685</v>
      </c>
      <c r="B1746" s="138">
        <f>'Tax Sched 23'!B6</f>
        <v>2354742</v>
      </c>
      <c r="C1746" s="2" t="s">
        <v>594</v>
      </c>
      <c r="D1746" s="2" t="str">
        <f t="shared" si="26"/>
        <v>Error?</v>
      </c>
    </row>
    <row r="1747" spans="1:5" x14ac:dyDescent="0.2">
      <c r="A1747" s="5">
        <v>1686</v>
      </c>
      <c r="B1747" s="138">
        <f>'Tax Sched 23'!B7</f>
        <v>366593</v>
      </c>
      <c r="C1747" s="2" t="s">
        <v>594</v>
      </c>
      <c r="D1747" s="2" t="str">
        <f t="shared" si="26"/>
        <v>Error?</v>
      </c>
    </row>
    <row r="1748" spans="1:5" x14ac:dyDescent="0.2">
      <c r="A1748" s="5">
        <v>1687</v>
      </c>
      <c r="B1748" s="138">
        <f>'Tax Sched 23'!B8</f>
        <v>103984</v>
      </c>
      <c r="C1748" s="2" t="s">
        <v>594</v>
      </c>
      <c r="D1748" s="2" t="str">
        <f t="shared" si="26"/>
        <v>Error?</v>
      </c>
    </row>
    <row r="1749" spans="1:5" x14ac:dyDescent="0.2">
      <c r="A1749" s="5">
        <v>1688</v>
      </c>
      <c r="B1749" s="138">
        <f>'Tax Sched 23'!B10</f>
        <v>38151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32713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10064766</v>
      </c>
      <c r="C1759" s="2" t="s">
        <v>594</v>
      </c>
      <c r="D1759" s="2" t="str">
        <f t="shared" si="26"/>
        <v>Error?</v>
      </c>
    </row>
    <row r="1760" spans="1:5" x14ac:dyDescent="0.2">
      <c r="A1760" s="5">
        <v>1699</v>
      </c>
      <c r="B1760" s="138">
        <f>'Tax Sched 23'!D4</f>
        <v>2948299</v>
      </c>
      <c r="C1760" s="2" t="s">
        <v>594</v>
      </c>
      <c r="D1760" s="2" t="str">
        <f t="shared" si="26"/>
        <v>Error?</v>
      </c>
    </row>
    <row r="1761" spans="1:5" x14ac:dyDescent="0.2">
      <c r="A1761" s="5">
        <v>1700</v>
      </c>
      <c r="B1761" s="138">
        <f>'Tax Sched 23'!D5</f>
        <v>451058</v>
      </c>
      <c r="C1761" s="2" t="s">
        <v>594</v>
      </c>
      <c r="D1761" s="2" t="str">
        <f t="shared" si="26"/>
        <v>Error?</v>
      </c>
    </row>
    <row r="1762" spans="1:5" s="8" customFormat="1" x14ac:dyDescent="0.2">
      <c r="A1762" s="5">
        <v>1701</v>
      </c>
      <c r="B1762" s="138">
        <f>'Tax Sched 23'!D6</f>
        <v>1114255</v>
      </c>
      <c r="C1762" s="2" t="s">
        <v>594</v>
      </c>
      <c r="D1762" s="2" t="str">
        <f t="shared" si="26"/>
        <v>Error?</v>
      </c>
      <c r="E1762" s="9"/>
    </row>
    <row r="1763" spans="1:5" x14ac:dyDescent="0.2">
      <c r="A1763" s="5">
        <v>1702</v>
      </c>
      <c r="B1763" s="138">
        <f>'Tax Sched 23'!D7</f>
        <v>177840</v>
      </c>
      <c r="C1763" s="2" t="s">
        <v>594</v>
      </c>
      <c r="D1763" s="2" t="str">
        <f t="shared" si="26"/>
        <v>Error?</v>
      </c>
    </row>
    <row r="1764" spans="1:5" x14ac:dyDescent="0.2">
      <c r="A1764" s="5">
        <v>1703</v>
      </c>
      <c r="B1764" s="138">
        <f>'Tax Sched 23'!D8</f>
        <v>192</v>
      </c>
      <c r="C1764" s="2" t="s">
        <v>594</v>
      </c>
      <c r="D1764" s="2" t="str">
        <f t="shared" si="26"/>
        <v>Error?</v>
      </c>
    </row>
    <row r="1765" spans="1:5" x14ac:dyDescent="0.2">
      <c r="A1765" s="5">
        <v>1704</v>
      </c>
      <c r="B1765" s="138">
        <f>'Tax Sched 23'!D10</f>
        <v>18467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15845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4726197</v>
      </c>
      <c r="C1775" s="2" t="s">
        <v>594</v>
      </c>
      <c r="D1775" s="2" t="str">
        <f t="shared" si="26"/>
        <v>Error?</v>
      </c>
    </row>
    <row r="1776" spans="1:5" x14ac:dyDescent="0.2">
      <c r="A1776" s="5">
        <v>1715</v>
      </c>
      <c r="B1776" s="138">
        <f>'Tax Sched 23'!C4</f>
        <v>3129370</v>
      </c>
      <c r="D1776" s="2" t="str">
        <f t="shared" si="26"/>
        <v>Error?</v>
      </c>
    </row>
    <row r="1777" spans="1:4" x14ac:dyDescent="0.2">
      <c r="A1777" s="5">
        <v>1716</v>
      </c>
      <c r="B1777" s="138">
        <f>'Tax Sched 23'!C5</f>
        <v>478733</v>
      </c>
      <c r="D1777" s="2" t="str">
        <f t="shared" si="26"/>
        <v>Error?</v>
      </c>
    </row>
    <row r="1778" spans="1:4" x14ac:dyDescent="0.2">
      <c r="A1778" s="5">
        <v>1717</v>
      </c>
      <c r="B1778" s="138">
        <f>'Tax Sched 23'!C6</f>
        <v>1240487</v>
      </c>
      <c r="D1778" s="2" t="str">
        <f t="shared" si="26"/>
        <v>Error?</v>
      </c>
    </row>
    <row r="1779" spans="1:4" x14ac:dyDescent="0.2">
      <c r="A1779" s="5">
        <v>1718</v>
      </c>
      <c r="B1779" s="138">
        <f>'Tax Sched 23'!C7</f>
        <v>188753</v>
      </c>
      <c r="D1779" s="2" t="str">
        <f t="shared" si="26"/>
        <v>Error?</v>
      </c>
    </row>
    <row r="1780" spans="1:4" x14ac:dyDescent="0.2">
      <c r="A1780" s="5">
        <v>1719</v>
      </c>
      <c r="B1780" s="138">
        <f>'Tax Sched 23'!C8</f>
        <v>103792</v>
      </c>
      <c r="D1780" s="2" t="str">
        <f t="shared" si="26"/>
        <v>Error?</v>
      </c>
    </row>
    <row r="1781" spans="1:4" x14ac:dyDescent="0.2">
      <c r="A1781" s="5">
        <v>1720</v>
      </c>
      <c r="B1781" s="138">
        <f>'Tax Sched 23'!C10</f>
        <v>19684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16868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5338569</v>
      </c>
      <c r="C1791" s="2" t="s">
        <v>594</v>
      </c>
      <c r="D1791" s="2" t="str">
        <f t="shared" ref="D1791:D1854" si="27">IF(ISBLANK(B1791),"OK",IF(A1791-B1791=0,"OK","Error?"))</f>
        <v>Error?</v>
      </c>
    </row>
    <row r="1792" spans="1:4" x14ac:dyDescent="0.2">
      <c r="A1792" s="5">
        <v>1731</v>
      </c>
      <c r="B1792" s="138">
        <f>'Tax Sched 23'!F4</f>
        <v>2840976</v>
      </c>
      <c r="C1792" s="2" t="s">
        <v>594</v>
      </c>
      <c r="D1792" s="2" t="str">
        <f t="shared" si="27"/>
        <v>Error?</v>
      </c>
    </row>
    <row r="1793" spans="1:4" x14ac:dyDescent="0.2">
      <c r="A1793" s="5">
        <v>1732</v>
      </c>
      <c r="B1793" s="138">
        <f>'Tax Sched 23'!F5</f>
        <v>434615</v>
      </c>
      <c r="C1793" s="2" t="s">
        <v>594</v>
      </c>
      <c r="D1793" s="2" t="str">
        <f t="shared" si="27"/>
        <v>Error?</v>
      </c>
    </row>
    <row r="1794" spans="1:4" x14ac:dyDescent="0.2">
      <c r="A1794" s="5">
        <v>1733</v>
      </c>
      <c r="B1794" s="138">
        <f>'Tax Sched 23'!F6</f>
        <v>1115652</v>
      </c>
      <c r="C1794" s="2" t="s">
        <v>594</v>
      </c>
      <c r="D1794" s="2" t="str">
        <f t="shared" si="27"/>
        <v>Error?</v>
      </c>
    </row>
    <row r="1795" spans="1:4" x14ac:dyDescent="0.2">
      <c r="A1795" s="5">
        <v>1734</v>
      </c>
      <c r="B1795" s="138">
        <f>'Tax Sched 23'!F7</f>
        <v>171362</v>
      </c>
      <c r="C1795" s="2" t="s">
        <v>594</v>
      </c>
      <c r="D1795" s="2" t="str">
        <f t="shared" si="27"/>
        <v>Error?</v>
      </c>
    </row>
    <row r="1796" spans="1:4" x14ac:dyDescent="0.2">
      <c r="A1796" s="5">
        <v>1735</v>
      </c>
      <c r="B1796" s="138">
        <f>'Tax Sched 23'!F8</f>
        <v>94224</v>
      </c>
      <c r="C1796" s="2" t="s">
        <v>594</v>
      </c>
      <c r="D1796" s="2" t="str">
        <f t="shared" si="27"/>
        <v>Error?</v>
      </c>
    </row>
    <row r="1797" spans="1:4" x14ac:dyDescent="0.2">
      <c r="A1797" s="5">
        <v>1736</v>
      </c>
      <c r="B1797" s="138">
        <f>'Tax Sched 23'!F10</f>
        <v>17867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15318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4836069</v>
      </c>
      <c r="C1807" s="2" t="s">
        <v>594</v>
      </c>
      <c r="D1807" s="2" t="str">
        <f t="shared" si="27"/>
        <v>Error?</v>
      </c>
    </row>
    <row r="1808" spans="1:4" x14ac:dyDescent="0.2">
      <c r="A1808" s="5">
        <v>1747</v>
      </c>
      <c r="B1808" s="138">
        <f>'Tax Sched 23'!E4</f>
        <v>5970346</v>
      </c>
      <c r="D1808" s="2" t="str">
        <f t="shared" si="27"/>
        <v>Error?</v>
      </c>
    </row>
    <row r="1809" spans="1:4" x14ac:dyDescent="0.2">
      <c r="A1809" s="5">
        <v>1748</v>
      </c>
      <c r="B1809" s="138">
        <f>'Tax Sched 23'!E5</f>
        <v>913348</v>
      </c>
      <c r="D1809" s="2" t="str">
        <f t="shared" si="27"/>
        <v>Error?</v>
      </c>
    </row>
    <row r="1810" spans="1:4" x14ac:dyDescent="0.2">
      <c r="A1810" s="5">
        <v>1749</v>
      </c>
      <c r="B1810" s="138">
        <f>'Tax Sched 23'!E6</f>
        <v>2356139</v>
      </c>
      <c r="D1810" s="2" t="str">
        <f t="shared" si="27"/>
        <v>Error?</v>
      </c>
    </row>
    <row r="1811" spans="1:4" x14ac:dyDescent="0.2">
      <c r="A1811" s="5">
        <v>1750</v>
      </c>
      <c r="B1811" s="138">
        <f>'Tax Sched 23'!E7</f>
        <v>360115</v>
      </c>
      <c r="D1811" s="2" t="str">
        <f t="shared" si="27"/>
        <v>Error?</v>
      </c>
    </row>
    <row r="1812" spans="1:4" x14ac:dyDescent="0.2">
      <c r="A1812" s="5">
        <v>1751</v>
      </c>
      <c r="B1812" s="138">
        <f>'Tax Sched 23'!E8</f>
        <v>198016</v>
      </c>
      <c r="D1812" s="2" t="str">
        <f t="shared" si="27"/>
        <v>Error?</v>
      </c>
    </row>
    <row r="1813" spans="1:4" x14ac:dyDescent="0.2">
      <c r="A1813" s="5">
        <v>1752</v>
      </c>
      <c r="B1813" s="138">
        <f>'Tax Sched 23'!E10</f>
        <v>37551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32186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10174638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30067088</v>
      </c>
      <c r="C1939" s="2" t="s">
        <v>594</v>
      </c>
      <c r="D1939" s="2" t="str">
        <f t="shared" si="29"/>
        <v>Error?</v>
      </c>
    </row>
    <row r="1940" spans="1:5" x14ac:dyDescent="0.2">
      <c r="A1940" s="5">
        <v>1879</v>
      </c>
      <c r="B1940" s="138">
        <f>'Short-Term Long-Term Debt 24'!F49</f>
        <v>6895000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32713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32713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32713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1567607</v>
      </c>
      <c r="D2008" s="2" t="str">
        <f t="shared" si="30"/>
        <v>Error?</v>
      </c>
    </row>
    <row r="2009" spans="1:4" x14ac:dyDescent="0.2">
      <c r="A2009" s="5">
        <v>1948</v>
      </c>
      <c r="B2009" s="138">
        <f>'Cap Outlay Deprec 26'!C8</f>
        <v>63240584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5023697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69942963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347236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72706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419942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102066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213141</v>
      </c>
      <c r="C2025" s="2" t="s">
        <v>594</v>
      </c>
      <c r="D2025" s="2" t="str">
        <f t="shared" si="30"/>
        <v>Error?</v>
      </c>
    </row>
    <row r="2026" spans="1:4" x14ac:dyDescent="0.2">
      <c r="A2026" s="5">
        <v>1965</v>
      </c>
      <c r="B2026" s="138">
        <f>'Cap Outlay Deprec 26'!F5</f>
        <v>1567607</v>
      </c>
      <c r="C2026" s="2" t="s">
        <v>594</v>
      </c>
      <c r="D2026" s="2" t="str">
        <f t="shared" si="30"/>
        <v>Error?</v>
      </c>
    </row>
    <row r="2027" spans="1:4" x14ac:dyDescent="0.2">
      <c r="A2027" s="5">
        <v>1966</v>
      </c>
      <c r="B2027" s="138">
        <f>'Cap Outlay Deprec 26'!F8</f>
        <v>63587820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4994337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70149764</v>
      </c>
      <c r="C2031" s="2" t="s">
        <v>594</v>
      </c>
      <c r="D2031" s="2" t="str">
        <f t="shared" si="30"/>
        <v>Error?</v>
      </c>
    </row>
    <row r="2032" spans="1:4" x14ac:dyDescent="0.2">
      <c r="A2032" s="10">
        <v>1971</v>
      </c>
      <c r="D2032" s="2" t="str">
        <f t="shared" si="30"/>
        <v>OK</v>
      </c>
    </row>
    <row r="2033" spans="1:4" x14ac:dyDescent="0.2">
      <c r="A2033" s="5">
        <v>1972</v>
      </c>
      <c r="B2033" s="138">
        <f>'Cap Outlay Deprec 26'!H8</f>
        <v>30249773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4710089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34959862</v>
      </c>
      <c r="C2037" s="2" t="s">
        <v>594</v>
      </c>
      <c r="D2037" s="2" t="str">
        <f t="shared" si="30"/>
        <v>Error?</v>
      </c>
    </row>
    <row r="2038" spans="1:4" x14ac:dyDescent="0.2">
      <c r="A2038" s="10">
        <v>1977</v>
      </c>
      <c r="D2038" s="2" t="str">
        <f t="shared" si="30"/>
        <v>OK</v>
      </c>
    </row>
    <row r="2039" spans="1:4" x14ac:dyDescent="0.2">
      <c r="A2039" s="5">
        <v>1978</v>
      </c>
      <c r="B2039" s="138">
        <f>'Cap Outlay Deprec 26'!I8</f>
        <v>1039129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147776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1186905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102066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102066</v>
      </c>
      <c r="C2049" s="2" t="s">
        <v>594</v>
      </c>
      <c r="D2049" s="2" t="str">
        <f t="shared" si="31"/>
        <v>Error?</v>
      </c>
    </row>
    <row r="2050" spans="1:4" x14ac:dyDescent="0.2">
      <c r="A2050" s="10">
        <v>1989</v>
      </c>
      <c r="D2050" s="2" t="str">
        <f t="shared" si="31"/>
        <v>OK</v>
      </c>
    </row>
    <row r="2051" spans="1:4" x14ac:dyDescent="0.2">
      <c r="A2051" s="5">
        <v>1990</v>
      </c>
      <c r="B2051" s="138">
        <f>'Cap Outlay Deprec 26'!K8</f>
        <v>31288902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4755799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36044701</v>
      </c>
      <c r="C2055" s="2" t="s">
        <v>594</v>
      </c>
      <c r="D2055" s="2" t="str">
        <f t="shared" si="31"/>
        <v>Error?</v>
      </c>
    </row>
    <row r="2056" spans="1:4" x14ac:dyDescent="0.2">
      <c r="A2056" s="5">
        <v>1995</v>
      </c>
      <c r="B2056" s="138">
        <f>'Cap Outlay Deprec 26'!L5</f>
        <v>1567607</v>
      </c>
      <c r="C2056" s="2" t="s">
        <v>594</v>
      </c>
      <c r="D2056" s="2" t="str">
        <f t="shared" si="31"/>
        <v>Error?</v>
      </c>
    </row>
    <row r="2057" spans="1:4" x14ac:dyDescent="0.2">
      <c r="A2057" s="5">
        <v>1996</v>
      </c>
      <c r="B2057" s="138">
        <f>'Cap Outlay Deprec 26'!L8</f>
        <v>32298918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238538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34105063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2314618</v>
      </c>
      <c r="C2088" s="2" t="s">
        <v>594</v>
      </c>
      <c r="D2088" s="2" t="str">
        <f t="shared" si="31"/>
        <v>Error?</v>
      </c>
    </row>
    <row r="2089" spans="1:4" x14ac:dyDescent="0.2">
      <c r="A2089" s="5">
        <v>2028</v>
      </c>
      <c r="B2089" s="138">
        <f>'Expenditures 15-22'!K92</f>
        <v>248554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14643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862337</v>
      </c>
      <c r="D2435" s="2" t="str">
        <f t="shared" si="37"/>
        <v>Error?</v>
      </c>
    </row>
    <row r="2436" spans="1:4" x14ac:dyDescent="0.2">
      <c r="A2436" s="10">
        <v>2375</v>
      </c>
      <c r="D2436" s="2" t="str">
        <f t="shared" si="37"/>
        <v>OK</v>
      </c>
    </row>
    <row r="2437" spans="1:4" x14ac:dyDescent="0.2">
      <c r="A2437" s="5">
        <v>2376</v>
      </c>
      <c r="B2437" s="138">
        <f>'Assets-Liab 5-6'!D38</f>
        <v>103939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328466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7548347</v>
      </c>
      <c r="C2551" s="2" t="s">
        <v>594</v>
      </c>
      <c r="D2551" s="2" t="str">
        <f t="shared" si="38"/>
        <v>Error?</v>
      </c>
    </row>
    <row r="2552" spans="1:4" x14ac:dyDescent="0.2">
      <c r="A2552" s="10">
        <v>2491</v>
      </c>
      <c r="D2552" s="2" t="str">
        <f t="shared" si="38"/>
        <v>OK</v>
      </c>
    </row>
    <row r="2553" spans="1:4" x14ac:dyDescent="0.2">
      <c r="A2553" s="5">
        <v>2492</v>
      </c>
      <c r="B2553" s="138">
        <f>'Acct Summary 7-8'!C6</f>
        <v>2970242</v>
      </c>
      <c r="C2553" s="2" t="s">
        <v>594</v>
      </c>
      <c r="D2553" s="2" t="str">
        <f t="shared" si="38"/>
        <v>Error?</v>
      </c>
    </row>
    <row r="2554" spans="1:4" x14ac:dyDescent="0.2">
      <c r="A2554" s="5">
        <v>2493</v>
      </c>
      <c r="B2554" s="138">
        <f>'Acct Summary 7-8'!C7</f>
        <v>1351495</v>
      </c>
      <c r="C2554" s="2" t="s">
        <v>594</v>
      </c>
      <c r="D2554" s="2" t="str">
        <f t="shared" si="38"/>
        <v>Error?</v>
      </c>
    </row>
    <row r="2555" spans="1:4" x14ac:dyDescent="0.2">
      <c r="A2555" s="5">
        <v>2494</v>
      </c>
      <c r="B2555" s="138">
        <f>'Acct Summary 7-8'!C8</f>
        <v>11870084</v>
      </c>
      <c r="C2555" s="2" t="s">
        <v>594</v>
      </c>
      <c r="D2555" s="2" t="str">
        <f t="shared" si="38"/>
        <v>Error?</v>
      </c>
    </row>
    <row r="2556" spans="1:4" x14ac:dyDescent="0.2">
      <c r="A2556" s="5">
        <v>2495</v>
      </c>
      <c r="B2556" s="138">
        <f>'Acct Summary 7-8'!C12</f>
        <v>5712698</v>
      </c>
      <c r="C2556" s="2" t="s">
        <v>594</v>
      </c>
      <c r="D2556" s="2" t="str">
        <f t="shared" si="38"/>
        <v>Error?</v>
      </c>
    </row>
    <row r="2557" spans="1:4" x14ac:dyDescent="0.2">
      <c r="A2557" s="5">
        <v>2496</v>
      </c>
      <c r="B2557" s="138">
        <f>'Acct Summary 7-8'!C13</f>
        <v>3668484</v>
      </c>
      <c r="C2557" s="2" t="s">
        <v>594</v>
      </c>
      <c r="D2557" s="2" t="str">
        <f t="shared" si="38"/>
        <v>Error?</v>
      </c>
    </row>
    <row r="2558" spans="1:4" x14ac:dyDescent="0.2">
      <c r="A2558" s="5">
        <v>2497</v>
      </c>
      <c r="B2558" s="138">
        <f>'Acct Summary 7-8'!C14</f>
        <v>15625</v>
      </c>
      <c r="C2558" s="2" t="s">
        <v>594</v>
      </c>
      <c r="D2558" s="2" t="str">
        <f t="shared" si="38"/>
        <v>Error?</v>
      </c>
    </row>
    <row r="2559" spans="1:4" x14ac:dyDescent="0.2">
      <c r="A2559" s="5">
        <v>2498</v>
      </c>
      <c r="B2559" s="138">
        <f>'Acct Summary 7-8'!C15</f>
        <v>2563172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11959979</v>
      </c>
      <c r="C2561" s="2" t="s">
        <v>594</v>
      </c>
      <c r="D2561" s="2" t="str">
        <f t="shared" si="39"/>
        <v>Error?</v>
      </c>
    </row>
    <row r="2562" spans="1:4" x14ac:dyDescent="0.2">
      <c r="A2562" s="5">
        <v>2501</v>
      </c>
      <c r="B2562" s="138">
        <f>'Acct Summary 7-8'!C20</f>
        <v>-89895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1188309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750000</v>
      </c>
      <c r="C2567" s="2" t="s">
        <v>594</v>
      </c>
      <c r="D2567" s="2" t="str">
        <f t="shared" si="39"/>
        <v>Error?</v>
      </c>
    </row>
    <row r="2568" spans="1:4" x14ac:dyDescent="0.2">
      <c r="A2568" s="5">
        <v>2507</v>
      </c>
      <c r="B2568" s="138">
        <f>'Acct Summary 7-8'!D8</f>
        <v>1938309</v>
      </c>
      <c r="C2568" s="2" t="s">
        <v>594</v>
      </c>
      <c r="D2568" s="2" t="str">
        <f t="shared" si="39"/>
        <v>Error?</v>
      </c>
    </row>
    <row r="2569" spans="1:4" x14ac:dyDescent="0.2">
      <c r="A2569" s="5">
        <v>2508</v>
      </c>
      <c r="B2569" s="138">
        <f>'Acct Summary 7-8'!D13</f>
        <v>1623688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1623688</v>
      </c>
      <c r="C2573" s="2" t="s">
        <v>594</v>
      </c>
      <c r="D2573" s="2" t="str">
        <f t="shared" si="39"/>
        <v>Error?</v>
      </c>
    </row>
    <row r="2574" spans="1:4" x14ac:dyDescent="0.2">
      <c r="A2574" s="5">
        <v>2513</v>
      </c>
      <c r="B2574" s="138">
        <f>'Acct Summary 7-8'!D20</f>
        <v>314621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432955</v>
      </c>
      <c r="C2591" s="2" t="s">
        <v>594</v>
      </c>
      <c r="D2591" s="2" t="str">
        <f t="shared" si="39"/>
        <v>Error?</v>
      </c>
    </row>
    <row r="2592" spans="1:4" x14ac:dyDescent="0.2">
      <c r="A2592" s="10">
        <v>2531</v>
      </c>
      <c r="D2592" s="2" t="str">
        <f t="shared" si="39"/>
        <v>OK</v>
      </c>
    </row>
    <row r="2593" spans="1:4" x14ac:dyDescent="0.2">
      <c r="A2593" s="5">
        <v>2532</v>
      </c>
      <c r="B2593" s="138">
        <f>'Acct Summary 7-8'!F6</f>
        <v>967218</v>
      </c>
      <c r="C2593" s="2" t="s">
        <v>594</v>
      </c>
      <c r="D2593" s="2" t="str">
        <f t="shared" si="39"/>
        <v>Error?</v>
      </c>
    </row>
    <row r="2594" spans="1:4" x14ac:dyDescent="0.2">
      <c r="A2594" s="5">
        <v>2533</v>
      </c>
      <c r="B2594" s="138">
        <f>'Acct Summary 7-8'!F7</f>
        <v>200000</v>
      </c>
      <c r="C2594" s="2" t="s">
        <v>594</v>
      </c>
      <c r="D2594" s="2" t="str">
        <f t="shared" si="39"/>
        <v>Error?</v>
      </c>
    </row>
    <row r="2595" spans="1:4" x14ac:dyDescent="0.2">
      <c r="A2595" s="5">
        <v>2534</v>
      </c>
      <c r="B2595" s="138">
        <f>'Acct Summary 7-8'!F8</f>
        <v>1600173</v>
      </c>
      <c r="C2595" s="2" t="s">
        <v>594</v>
      </c>
      <c r="D2595" s="2" t="str">
        <f t="shared" si="39"/>
        <v>Error?</v>
      </c>
    </row>
    <row r="2596" spans="1:4" x14ac:dyDescent="0.2">
      <c r="A2596" s="5">
        <v>2535</v>
      </c>
      <c r="B2596" s="138">
        <f>'Acct Summary 7-8'!F13</f>
        <v>1485348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1485348</v>
      </c>
      <c r="C2600" s="2" t="s">
        <v>594</v>
      </c>
      <c r="D2600" s="2" t="str">
        <f t="shared" si="39"/>
        <v>Error?</v>
      </c>
    </row>
    <row r="2601" spans="1:4" x14ac:dyDescent="0.2">
      <c r="A2601" s="5">
        <v>2540</v>
      </c>
      <c r="B2601" s="138">
        <f>'Acct Summary 7-8'!F20</f>
        <v>114825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268940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268940</v>
      </c>
      <c r="C2606" s="2" t="s">
        <v>594</v>
      </c>
      <c r="D2606" s="2" t="str">
        <f t="shared" si="39"/>
        <v>Error?</v>
      </c>
    </row>
    <row r="2607" spans="1:4" x14ac:dyDescent="0.2">
      <c r="A2607" s="5">
        <v>2546</v>
      </c>
      <c r="B2607" s="138">
        <f>'Acct Summary 7-8'!G12</f>
        <v>59848</v>
      </c>
      <c r="C2607" s="2" t="s">
        <v>594</v>
      </c>
      <c r="D2607" s="2" t="str">
        <f t="shared" si="39"/>
        <v>Error?</v>
      </c>
    </row>
    <row r="2608" spans="1:4" x14ac:dyDescent="0.2">
      <c r="A2608" s="5">
        <v>2547</v>
      </c>
      <c r="B2608" s="138">
        <f>'Acct Summary 7-8'!G13</f>
        <v>374140</v>
      </c>
      <c r="C2608" s="2" t="s">
        <v>594</v>
      </c>
      <c r="D2608" s="2" t="str">
        <f t="shared" si="39"/>
        <v>Error?</v>
      </c>
    </row>
    <row r="2609" spans="1:4" x14ac:dyDescent="0.2">
      <c r="A2609" s="5">
        <v>2548</v>
      </c>
      <c r="B2609" s="138">
        <f>'Acct Summary 7-8'!G14</f>
        <v>19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434007</v>
      </c>
      <c r="C2612" s="2" t="s">
        <v>594</v>
      </c>
      <c r="D2612" s="2" t="str">
        <f t="shared" si="39"/>
        <v>Error?</v>
      </c>
    </row>
    <row r="2613" spans="1:4" x14ac:dyDescent="0.2">
      <c r="A2613" s="5">
        <v>2552</v>
      </c>
      <c r="B2613" s="138">
        <f>'Acct Summary 7-8'!G20</f>
        <v>-165067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2391456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2679356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2454311</v>
      </c>
      <c r="C2634" s="2" t="s">
        <v>594</v>
      </c>
      <c r="D2634" s="2" t="str">
        <f t="shared" si="40"/>
        <v>Error?</v>
      </c>
    </row>
    <row r="2635" spans="1:4" x14ac:dyDescent="0.2">
      <c r="A2635" s="5">
        <v>2574</v>
      </c>
      <c r="B2635" s="138">
        <f>'Acct Summary 7-8'!E17</f>
        <v>2454311</v>
      </c>
      <c r="C2635" s="2" t="s">
        <v>594</v>
      </c>
      <c r="D2635" s="2" t="str">
        <f t="shared" si="40"/>
        <v>Error?</v>
      </c>
    </row>
    <row r="2636" spans="1:4" x14ac:dyDescent="0.2">
      <c r="A2636" s="5">
        <v>2575</v>
      </c>
      <c r="B2636" s="138">
        <f>'Acct Summary 7-8'!E20</f>
        <v>225045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2314618</v>
      </c>
      <c r="C2789" s="2" t="s">
        <v>594</v>
      </c>
      <c r="D2789" s="2" t="str">
        <f t="shared" si="42"/>
        <v>Error?</v>
      </c>
    </row>
    <row r="2790" spans="1:4" x14ac:dyDescent="0.2">
      <c r="A2790" s="5">
        <v>2729</v>
      </c>
      <c r="B2790" s="138">
        <f>'Expenditures 15-22'!E102</f>
        <v>2314618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1737769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1328448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1737769</v>
      </c>
      <c r="D2912" s="2" t="str">
        <f t="shared" si="44"/>
        <v>Error?</v>
      </c>
    </row>
    <row r="2913" spans="1:4" x14ac:dyDescent="0.2">
      <c r="A2913" s="5">
        <v>2852</v>
      </c>
      <c r="B2913" s="138">
        <f>'Assets-Liab 5-6'!I41</f>
        <v>1737769</v>
      </c>
      <c r="C2913" s="2" t="s">
        <v>594</v>
      </c>
      <c r="D2913" s="2" t="str">
        <f t="shared" si="44"/>
        <v>Error?</v>
      </c>
    </row>
    <row r="2914" spans="1:4" x14ac:dyDescent="0.2">
      <c r="A2914" s="5">
        <v>2853</v>
      </c>
      <c r="B2914" s="138">
        <f>'Assets-Liab 5-6'!L33</f>
        <v>285612</v>
      </c>
      <c r="D2914" s="2" t="str">
        <f t="shared" si="44"/>
        <v>Error?</v>
      </c>
    </row>
    <row r="2915" spans="1:4" x14ac:dyDescent="0.2">
      <c r="A2915" s="10">
        <v>2854</v>
      </c>
      <c r="D2915" s="2" t="str">
        <f t="shared" si="44"/>
        <v>OK</v>
      </c>
    </row>
    <row r="2916" spans="1:4" x14ac:dyDescent="0.2">
      <c r="A2916" s="5">
        <v>2855</v>
      </c>
      <c r="B2916" s="138">
        <f>'Assets-Liab 5-6'!L34</f>
        <v>285612</v>
      </c>
      <c r="C2916" s="2" t="s">
        <v>594</v>
      </c>
      <c r="D2916" s="2" t="str">
        <f t="shared" si="44"/>
        <v>Error?</v>
      </c>
    </row>
    <row r="2917" spans="1:4" x14ac:dyDescent="0.2">
      <c r="A2917" s="5">
        <v>2856</v>
      </c>
      <c r="B2917" s="138">
        <f>'Assets-Liab 5-6'!L41</f>
        <v>1328448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4500</v>
      </c>
      <c r="D2949" s="2" t="str">
        <f t="shared" si="45"/>
        <v>Error?</v>
      </c>
    </row>
    <row r="2950" spans="1:4" x14ac:dyDescent="0.2">
      <c r="A2950" s="5">
        <v>2889</v>
      </c>
      <c r="B2950" s="138">
        <f>'Expenditures 15-22'!E79</f>
        <v>2296503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13615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4500</v>
      </c>
      <c r="C2973" s="2" t="s">
        <v>594</v>
      </c>
      <c r="D2973" s="2" t="str">
        <f t="shared" si="45"/>
        <v>Error?</v>
      </c>
    </row>
    <row r="2974" spans="1:4" x14ac:dyDescent="0.2">
      <c r="A2974" s="5">
        <v>2913</v>
      </c>
      <c r="B2974" s="138">
        <f>'Expenditures 15-22'!K79</f>
        <v>2296503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13615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75531</v>
      </c>
      <c r="D3055" s="2" t="str">
        <f t="shared" si="46"/>
        <v>Error?</v>
      </c>
    </row>
    <row r="3056" spans="1:4" x14ac:dyDescent="0.2">
      <c r="A3056" s="5">
        <v>2995</v>
      </c>
      <c r="B3056" s="138">
        <f>'Expenditures 15-22'!D10</f>
        <v>13172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133781</v>
      </c>
      <c r="D3058" s="2" t="str">
        <f t="shared" si="46"/>
        <v>Error?</v>
      </c>
    </row>
    <row r="3059" spans="1:4" x14ac:dyDescent="0.2">
      <c r="A3059" s="5">
        <v>2998</v>
      </c>
      <c r="B3059" s="138">
        <f>'Expenditures 15-22'!G10</f>
        <v>4750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227234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1042836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6895000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52794</v>
      </c>
      <c r="C3225" s="2" t="s">
        <v>594</v>
      </c>
      <c r="D3225" s="2" t="str">
        <f t="shared" si="49"/>
        <v>Error?</v>
      </c>
    </row>
    <row r="3226" spans="1:4" x14ac:dyDescent="0.2">
      <c r="A3226" s="5">
        <v>3165</v>
      </c>
      <c r="B3226" s="138">
        <f>'Acct Summary 7-8'!I8</f>
        <v>52794</v>
      </c>
      <c r="C3226" s="2" t="s">
        <v>594</v>
      </c>
      <c r="D3226" s="2" t="str">
        <f t="shared" si="49"/>
        <v>Error?</v>
      </c>
    </row>
    <row r="3227" spans="1:4" x14ac:dyDescent="0.2">
      <c r="A3227" s="5">
        <v>3166</v>
      </c>
      <c r="B3227" s="138">
        <f>'Acct Summary 7-8'!I20</f>
        <v>52794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14643</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14643</v>
      </c>
      <c r="C3232" s="2" t="s">
        <v>594</v>
      </c>
      <c r="D3232" s="2" t="str">
        <f t="shared" si="49"/>
        <v>Error?</v>
      </c>
    </row>
    <row r="3233" spans="1:4" x14ac:dyDescent="0.2">
      <c r="A3233" s="5">
        <v>3172</v>
      </c>
      <c r="B3233" s="138">
        <f>'Acct Summary 7-8'!C78</f>
        <v>-75252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314621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114825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-165067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7122657</v>
      </c>
      <c r="C3274" s="2" t="s">
        <v>594</v>
      </c>
      <c r="D3274" s="2" t="str">
        <f t="shared" si="50"/>
        <v>Error?</v>
      </c>
    </row>
    <row r="3275" spans="1:4" x14ac:dyDescent="0.2">
      <c r="A3275" s="5">
        <v>3214</v>
      </c>
      <c r="B3275" s="138">
        <f>'Acct Summary 7-8'!E75</f>
        <v>7031246</v>
      </c>
      <c r="D3275" s="2" t="str">
        <f t="shared" si="50"/>
        <v>Error?</v>
      </c>
    </row>
    <row r="3276" spans="1:4" x14ac:dyDescent="0.2">
      <c r="A3276" s="5">
        <v>3215</v>
      </c>
      <c r="B3276" s="138">
        <f>'Acct Summary 7-8'!E76</f>
        <v>7031246</v>
      </c>
      <c r="C3276" s="2" t="s">
        <v>594</v>
      </c>
      <c r="D3276" s="2" t="str">
        <f t="shared" si="50"/>
        <v>Error?</v>
      </c>
    </row>
    <row r="3277" spans="1:4" x14ac:dyDescent="0.2">
      <c r="A3277" s="5">
        <v>3216</v>
      </c>
      <c r="B3277" s="138">
        <f>'Acct Summary 7-8'!E77</f>
        <v>91411</v>
      </c>
      <c r="C3277" s="2" t="s">
        <v>594</v>
      </c>
      <c r="D3277" s="2" t="str">
        <f t="shared" si="50"/>
        <v>Error?</v>
      </c>
    </row>
    <row r="3278" spans="1:4" x14ac:dyDescent="0.2">
      <c r="A3278" s="5">
        <v>3217</v>
      </c>
      <c r="B3278" s="138">
        <f>'Acct Summary 7-8'!E78</f>
        <v>316456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14643</v>
      </c>
      <c r="C3318" s="2" t="s">
        <v>594</v>
      </c>
      <c r="D3318" s="2" t="str">
        <f t="shared" si="50"/>
        <v>Error?</v>
      </c>
    </row>
    <row r="3319" spans="1:4" x14ac:dyDescent="0.2">
      <c r="A3319" s="5">
        <v>3258</v>
      </c>
      <c r="B3319" s="138">
        <f>'Acct Summary 7-8'!I77</f>
        <v>-14643</v>
      </c>
      <c r="C3319" s="2" t="s">
        <v>594</v>
      </c>
      <c r="D3319" s="2" t="str">
        <f t="shared" si="50"/>
        <v>Error?</v>
      </c>
    </row>
    <row r="3320" spans="1:4" x14ac:dyDescent="0.2">
      <c r="A3320" s="5">
        <v>3259</v>
      </c>
      <c r="B3320" s="138">
        <f>'Acct Summary 7-8'!I78</f>
        <v>38151</v>
      </c>
      <c r="C3320" s="2" t="s">
        <v>594</v>
      </c>
      <c r="D3320" s="2" t="str">
        <f t="shared" si="50"/>
        <v>Error?</v>
      </c>
    </row>
    <row r="3321" spans="1:4" x14ac:dyDescent="0.2">
      <c r="A3321" s="5">
        <v>3260</v>
      </c>
      <c r="B3321" s="138">
        <f>'Acct Summary 7-8'!I79</f>
        <v>1699618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1737769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13913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323662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338555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52048</v>
      </c>
      <c r="D3387" s="2" t="str">
        <f t="shared" si="51"/>
        <v>Error?</v>
      </c>
    </row>
    <row r="3388" spans="1:4" x14ac:dyDescent="0.2">
      <c r="A3388" s="5">
        <v>3327</v>
      </c>
      <c r="B3388" s="138">
        <f>'Expenditures 15-22'!D217</f>
        <v>238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52048</v>
      </c>
      <c r="C3390" s="2" t="s">
        <v>594</v>
      </c>
      <c r="D3390" s="2" t="str">
        <f t="shared" si="51"/>
        <v>Error?</v>
      </c>
    </row>
    <row r="3391" spans="1:4" x14ac:dyDescent="0.2">
      <c r="A3391" s="5">
        <v>3330</v>
      </c>
      <c r="B3391" s="138">
        <f>'Expenditures 15-22'!K217</f>
        <v>238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11505792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1272243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1588880</v>
      </c>
      <c r="D3417" s="2" t="str">
        <f t="shared" si="52"/>
        <v>Error?</v>
      </c>
    </row>
    <row r="3418" spans="1:4" x14ac:dyDescent="0.2">
      <c r="A3418" s="10">
        <v>3357</v>
      </c>
      <c r="D3418" s="2" t="str">
        <f t="shared" si="52"/>
        <v>OK</v>
      </c>
    </row>
    <row r="3419" spans="1:4" x14ac:dyDescent="0.2">
      <c r="A3419" s="5">
        <v>3358</v>
      </c>
      <c r="B3419" s="138">
        <f>'Assets-Liab 5-6'!F4</f>
        <v>1618920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500299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1737769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1328448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161123</v>
      </c>
      <c r="C3446" s="2" t="s">
        <v>594</v>
      </c>
      <c r="D3446" s="2" t="str">
        <f t="shared" si="52"/>
        <v>Error?</v>
      </c>
    </row>
    <row r="3447" spans="1:4" x14ac:dyDescent="0.2">
      <c r="A3447" s="5">
        <v>3386</v>
      </c>
      <c r="B3447" s="138">
        <f>'Tax Sched 23'!D16</f>
        <v>241</v>
      </c>
      <c r="C3447" s="2" t="s">
        <v>594</v>
      </c>
      <c r="D3447" s="2" t="str">
        <f t="shared" si="52"/>
        <v>Error?</v>
      </c>
    </row>
    <row r="3448" spans="1:4" x14ac:dyDescent="0.2">
      <c r="A3448" s="5">
        <v>3387</v>
      </c>
      <c r="B3448" s="138">
        <f>'Tax Sched 23'!C16</f>
        <v>160882</v>
      </c>
      <c r="D3448" s="2" t="str">
        <f t="shared" si="52"/>
        <v>Error?</v>
      </c>
    </row>
    <row r="3449" spans="1:4" x14ac:dyDescent="0.2">
      <c r="A3449" s="5">
        <v>3388</v>
      </c>
      <c r="B3449" s="138">
        <f>'Tax Sched 23'!F16</f>
        <v>146055</v>
      </c>
      <c r="C3449" s="2" t="s">
        <v>594</v>
      </c>
      <c r="D3449" s="2" t="str">
        <f t="shared" si="52"/>
        <v>Error?</v>
      </c>
    </row>
    <row r="3450" spans="1:4" x14ac:dyDescent="0.2">
      <c r="A3450" s="5">
        <v>3389</v>
      </c>
      <c r="B3450" s="138">
        <f>'Tax Sched 23'!E16</f>
        <v>306937</v>
      </c>
      <c r="D3450" s="2" t="str">
        <f t="shared" si="52"/>
        <v>Error?</v>
      </c>
    </row>
    <row r="3451" spans="1:4" x14ac:dyDescent="0.2">
      <c r="A3451" s="5">
        <v>3390</v>
      </c>
      <c r="B3451" s="138">
        <f>'Cap Outlay Deprec 26'!C15</f>
        <v>111075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111075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286870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586808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12456892</v>
      </c>
      <c r="C4122" s="2" t="s">
        <v>594</v>
      </c>
      <c r="D4122" s="2" t="str">
        <f t="shared" si="63"/>
        <v>Error?</v>
      </c>
    </row>
    <row r="4123" spans="1:4" x14ac:dyDescent="0.2">
      <c r="A4123" s="5">
        <v>4062</v>
      </c>
      <c r="B4123" s="138">
        <f>'Acct Summary 7-8'!D10</f>
        <v>1938309</v>
      </c>
      <c r="C4123" s="2" t="s">
        <v>594</v>
      </c>
      <c r="D4123" s="2" t="str">
        <f t="shared" si="63"/>
        <v>Error?</v>
      </c>
    </row>
    <row r="4124" spans="1:4" x14ac:dyDescent="0.2">
      <c r="A4124" s="5">
        <v>4063</v>
      </c>
      <c r="B4124" s="138">
        <f>'Acct Summary 7-8'!E10</f>
        <v>2679356</v>
      </c>
      <c r="C4124" s="2" t="s">
        <v>594</v>
      </c>
      <c r="D4124" s="2" t="str">
        <f t="shared" si="63"/>
        <v>Error?</v>
      </c>
    </row>
    <row r="4125" spans="1:4" x14ac:dyDescent="0.2">
      <c r="A4125" s="5">
        <v>4064</v>
      </c>
      <c r="B4125" s="138">
        <f>'Acct Summary 7-8'!F10</f>
        <v>1600173</v>
      </c>
      <c r="C4125" s="2" t="s">
        <v>594</v>
      </c>
      <c r="D4125" s="2" t="str">
        <f t="shared" si="63"/>
        <v>Error?</v>
      </c>
    </row>
    <row r="4126" spans="1:4" x14ac:dyDescent="0.2">
      <c r="A4126" s="5">
        <v>4065</v>
      </c>
      <c r="B4126" s="138">
        <f>'Acct Summary 7-8'!G10</f>
        <v>268940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52794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586808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12546787</v>
      </c>
      <c r="C4136" s="2" t="s">
        <v>594</v>
      </c>
      <c r="D4136" s="2" t="str">
        <f t="shared" si="63"/>
        <v>Error?</v>
      </c>
    </row>
    <row r="4137" spans="1:4" x14ac:dyDescent="0.2">
      <c r="A4137" s="5">
        <v>4076</v>
      </c>
      <c r="B4137" s="138">
        <f>'Acct Summary 7-8'!D19</f>
        <v>1623688</v>
      </c>
      <c r="C4137" s="2" t="s">
        <v>594</v>
      </c>
      <c r="D4137" s="2" t="str">
        <f t="shared" si="63"/>
        <v>Error?</v>
      </c>
    </row>
    <row r="4138" spans="1:4" x14ac:dyDescent="0.2">
      <c r="A4138" s="5">
        <v>4077</v>
      </c>
      <c r="B4138" s="138">
        <f>'Acct Summary 7-8'!E19</f>
        <v>2454311</v>
      </c>
      <c r="C4138" s="2" t="s">
        <v>594</v>
      </c>
      <c r="D4138" s="2" t="str">
        <f t="shared" si="63"/>
        <v>Error?</v>
      </c>
    </row>
    <row r="4139" spans="1:4" x14ac:dyDescent="0.2">
      <c r="A4139" s="5">
        <v>4078</v>
      </c>
      <c r="B4139" s="138">
        <f>'Acct Summary 7-8'!F19</f>
        <v>1485348</v>
      </c>
      <c r="C4139" s="2" t="s">
        <v>594</v>
      </c>
      <c r="D4139" s="2" t="str">
        <f t="shared" si="63"/>
        <v>Error?</v>
      </c>
    </row>
    <row r="4140" spans="1:4" x14ac:dyDescent="0.2">
      <c r="A4140" s="5">
        <v>4079</v>
      </c>
      <c r="B4140" s="138">
        <f>'Acct Summary 7-8'!G19</f>
        <v>434007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29292940</v>
      </c>
      <c r="C4171" s="2" t="s">
        <v>594</v>
      </c>
      <c r="D4171" s="2" t="str">
        <f t="shared" si="64"/>
        <v>Error?</v>
      </c>
    </row>
    <row r="4172" spans="1:4" x14ac:dyDescent="0.2">
      <c r="A4172" s="5">
        <v>4111</v>
      </c>
      <c r="B4172" s="138">
        <f>'Short-Term Long-Term Debt 24'!J49</f>
        <v>27704060</v>
      </c>
      <c r="C4172" s="2" t="s">
        <v>594</v>
      </c>
      <c r="D4172" s="2" t="str">
        <f t="shared" si="64"/>
        <v>Error?</v>
      </c>
    </row>
    <row r="4173" spans="1:4" x14ac:dyDescent="0.2">
      <c r="A4173" s="5">
        <v>4112</v>
      </c>
      <c r="B4173" s="138">
        <f>'Short-Term Long-Term Debt 24'!H49</f>
        <v>719148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-6950000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2559.7999999999997</v>
      </c>
      <c r="C4265" s="2" t="s">
        <v>594</v>
      </c>
      <c r="D4265" s="2" t="str">
        <f t="shared" si="65"/>
        <v>Error?</v>
      </c>
      <c r="E4265" s="128"/>
    </row>
    <row r="4266" spans="1:5" x14ac:dyDescent="0.2">
      <c r="A4266" s="12">
        <v>4205</v>
      </c>
      <c r="B4266" s="138">
        <f>('FP Info 3'!F10)*100000</f>
        <v>391.6</v>
      </c>
      <c r="C4266" s="2" t="s">
        <v>594</v>
      </c>
      <c r="D4266" s="2" t="str">
        <f t="shared" si="65"/>
        <v>Error?</v>
      </c>
      <c r="E4266" s="128"/>
    </row>
    <row r="4267" spans="1:5" x14ac:dyDescent="0.2">
      <c r="A4267" s="12">
        <v>4206</v>
      </c>
      <c r="B4267" s="138">
        <f>('FP Info 3'!H10)*100000</f>
        <v>154.4</v>
      </c>
      <c r="C4267" s="2" t="s">
        <v>594</v>
      </c>
      <c r="D4267" s="2" t="str">
        <f t="shared" si="65"/>
        <v>Error?</v>
      </c>
      <c r="E4267" s="128"/>
    </row>
    <row r="4268" spans="1:5" x14ac:dyDescent="0.2">
      <c r="A4268" s="12">
        <v>4207</v>
      </c>
      <c r="B4268" s="138">
        <f>('FP Info 3'!J10)*100000</f>
        <v>3106</v>
      </c>
      <c r="C4268" s="2" t="s">
        <v>594</v>
      </c>
      <c r="D4268" s="2" t="str">
        <f t="shared" si="65"/>
        <v>Error?</v>
      </c>
    </row>
    <row r="4269" spans="1:5" x14ac:dyDescent="0.2">
      <c r="A4269" s="12">
        <v>4208</v>
      </c>
      <c r="B4269" s="138">
        <f>'FP Info 3'!J16</f>
        <v>16134724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17591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287900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287900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12892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287900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16.100000000000001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287900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7249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233234857</v>
      </c>
      <c r="D4995" s="2" t="str">
        <f t="shared" si="77"/>
        <v>Error?</v>
      </c>
    </row>
    <row r="4996" spans="1:4" x14ac:dyDescent="0.2">
      <c r="A4996" s="12">
        <v>4935</v>
      </c>
      <c r="B4996" s="138">
        <f>'FP Info 3'!H31</f>
        <v>32186410.266000003</v>
      </c>
      <c r="D4996" s="2" t="str">
        <f t="shared" si="77"/>
        <v>Error?</v>
      </c>
    </row>
    <row r="4997" spans="1:4" x14ac:dyDescent="0.2">
      <c r="A4997" s="12">
        <v>4936</v>
      </c>
      <c r="B4997" s="138">
        <f>'FP Info 3'!H37</f>
        <v>29292940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6077669</v>
      </c>
      <c r="D5061" s="2" t="str">
        <f t="shared" si="78"/>
        <v>Error?</v>
      </c>
    </row>
    <row r="5062" spans="1:4" x14ac:dyDescent="0.2">
      <c r="A5062" s="10">
        <v>5001</v>
      </c>
      <c r="D5062" s="2" t="str">
        <f t="shared" si="78"/>
        <v>OK</v>
      </c>
    </row>
    <row r="5063" spans="1:4" x14ac:dyDescent="0.2">
      <c r="A5063" s="5">
        <v>5002</v>
      </c>
      <c r="B5063" s="138">
        <f>'Revenues 9-14'!C7</f>
        <v>32713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6110382</v>
      </c>
      <c r="C5066" s="2" t="s">
        <v>594</v>
      </c>
      <c r="D5066" s="2" t="str">
        <f t="shared" si="78"/>
        <v>Error?</v>
      </c>
    </row>
    <row r="5067" spans="1:4" x14ac:dyDescent="0.2">
      <c r="A5067" s="5">
        <v>5006</v>
      </c>
      <c r="B5067" s="138">
        <f>'Revenues 9-14'!C14</f>
        <v>1261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253357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254618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10983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10983</v>
      </c>
      <c r="C5087" s="2" t="s">
        <v>594</v>
      </c>
      <c r="D5087" s="2" t="str">
        <f t="shared" si="78"/>
        <v>Error?</v>
      </c>
    </row>
    <row r="5088" spans="1:4" x14ac:dyDescent="0.2">
      <c r="A5088" s="5">
        <v>5027</v>
      </c>
      <c r="B5088" s="138">
        <f>'Revenues 9-14'!C65</f>
        <v>91738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91738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23769</v>
      </c>
      <c r="D5095" s="2" t="str">
        <f t="shared" si="78"/>
        <v>Error?</v>
      </c>
    </row>
    <row r="5096" spans="1:4" x14ac:dyDescent="0.2">
      <c r="A5096" s="5">
        <v>5035</v>
      </c>
      <c r="B5096" s="138">
        <f>'Revenues 9-14'!C75</f>
        <v>288643</v>
      </c>
      <c r="C5096" s="2" t="s">
        <v>594</v>
      </c>
      <c r="D5096" s="2" t="str">
        <f t="shared" si="78"/>
        <v>Error?</v>
      </c>
    </row>
    <row r="5097" spans="1:4" x14ac:dyDescent="0.2">
      <c r="A5097" s="5">
        <v>5036</v>
      </c>
      <c r="B5097" s="138">
        <f>'Revenues 9-14'!C77</f>
        <v>27644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10246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37890</v>
      </c>
      <c r="C5102" s="2" t="s">
        <v>594</v>
      </c>
      <c r="D5102" s="2" t="str">
        <f t="shared" si="78"/>
        <v>Error?</v>
      </c>
    </row>
    <row r="5103" spans="1:4" x14ac:dyDescent="0.2">
      <c r="A5103" s="5">
        <v>5042</v>
      </c>
      <c r="B5103" s="138">
        <f>'Revenues 9-14'!C84</f>
        <v>81165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81165</v>
      </c>
      <c r="C5112" s="2" t="s">
        <v>594</v>
      </c>
      <c r="D5112" s="2" t="str">
        <f t="shared" si="78"/>
        <v>Error?</v>
      </c>
    </row>
    <row r="5113" spans="1:4" x14ac:dyDescent="0.2">
      <c r="A5113" s="5">
        <v>5052</v>
      </c>
      <c r="B5113" s="138">
        <f>'Revenues 9-14'!C95</f>
        <v>103368</v>
      </c>
      <c r="D5113" s="2" t="str">
        <f t="shared" si="78"/>
        <v>Error?</v>
      </c>
    </row>
    <row r="5114" spans="1:4" x14ac:dyDescent="0.2">
      <c r="A5114" s="5">
        <v>5053</v>
      </c>
      <c r="B5114" s="138">
        <f>'Revenues 9-14'!C96</f>
        <v>257831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236948</v>
      </c>
      <c r="D5117" s="2" t="str">
        <f t="shared" si="78"/>
        <v>Error?</v>
      </c>
    </row>
    <row r="5118" spans="1:4" x14ac:dyDescent="0.2">
      <c r="A5118" s="5">
        <v>5057</v>
      </c>
      <c r="B5118" s="138">
        <f>'Revenues 9-14'!C106</f>
        <v>30365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672928</v>
      </c>
      <c r="C5120" s="2" t="s">
        <v>594</v>
      </c>
      <c r="D5120" s="2" t="str">
        <f t="shared" si="79"/>
        <v>Error?</v>
      </c>
    </row>
    <row r="5121" spans="1:4" x14ac:dyDescent="0.2">
      <c r="A5121" s="5">
        <v>5060</v>
      </c>
      <c r="B5121" s="138">
        <f>'Revenues 9-14'!C109</f>
        <v>7548347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2449916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2449916</v>
      </c>
      <c r="C5132" s="2" t="s">
        <v>594</v>
      </c>
      <c r="D5132" s="2" t="str">
        <f t="shared" si="79"/>
        <v>Error?</v>
      </c>
    </row>
    <row r="5133" spans="1:4" x14ac:dyDescent="0.2">
      <c r="A5133" s="5">
        <v>5072</v>
      </c>
      <c r="B5133" s="138">
        <f>'Revenues 9-14'!C124</f>
        <v>52560</v>
      </c>
      <c r="D5133" s="2" t="str">
        <f t="shared" si="79"/>
        <v>Error?</v>
      </c>
    </row>
    <row r="5134" spans="1:4" x14ac:dyDescent="0.2">
      <c r="A5134" s="5">
        <v>5073</v>
      </c>
      <c r="B5134" s="138">
        <f>'Revenues 9-14'!C125</f>
        <v>93085</v>
      </c>
      <c r="D5134" s="2" t="str">
        <f t="shared" si="79"/>
        <v>Error?</v>
      </c>
    </row>
    <row r="5135" spans="1:4" x14ac:dyDescent="0.2">
      <c r="A5135" s="5">
        <v>5074</v>
      </c>
      <c r="B5135" s="138">
        <f>'Revenues 9-14'!C126</f>
        <v>11243</v>
      </c>
      <c r="D5135" s="2" t="str">
        <f t="shared" si="79"/>
        <v>Error?</v>
      </c>
    </row>
    <row r="5136" spans="1:4" x14ac:dyDescent="0.2">
      <c r="A5136" s="10">
        <v>5075</v>
      </c>
      <c r="D5136" s="2" t="str">
        <f t="shared" si="79"/>
        <v>OK</v>
      </c>
    </row>
    <row r="5137" spans="1:4" x14ac:dyDescent="0.2">
      <c r="A5137" s="5">
        <v>5076</v>
      </c>
      <c r="B5137" s="138">
        <f>'Revenues 9-14'!C127</f>
        <v>122531</v>
      </c>
      <c r="D5137" s="2" t="str">
        <f t="shared" si="79"/>
        <v>Error?</v>
      </c>
    </row>
    <row r="5138" spans="1:4" x14ac:dyDescent="0.2">
      <c r="A5138" s="10">
        <v>5077</v>
      </c>
      <c r="D5138" s="2" t="str">
        <f t="shared" si="79"/>
        <v>OK</v>
      </c>
    </row>
    <row r="5139" spans="1:4" x14ac:dyDescent="0.2">
      <c r="A5139" s="5">
        <v>5078</v>
      </c>
      <c r="B5139" s="138">
        <f>'Revenues 9-14'!C128</f>
        <v>19022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3201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301642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39940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39940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3975</v>
      </c>
      <c r="D5167" s="2" t="str">
        <f t="shared" si="79"/>
        <v>Error?</v>
      </c>
    </row>
    <row r="5168" spans="1:4" x14ac:dyDescent="0.2">
      <c r="A5168" s="5">
        <v>5107</v>
      </c>
      <c r="B5168" s="138">
        <f>'Revenues 9-14'!C147</f>
        <v>22335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145185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520326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2970242</v>
      </c>
      <c r="C5223" s="2" t="s">
        <v>594</v>
      </c>
      <c r="D5223" s="2" t="str">
        <f t="shared" si="80"/>
        <v>Error?</v>
      </c>
    </row>
    <row r="5224" spans="1:4" x14ac:dyDescent="0.2">
      <c r="A5224" s="5">
        <v>5163</v>
      </c>
      <c r="B5224" s="138">
        <f>'Revenues 9-14'!C176</f>
        <v>831625</v>
      </c>
      <c r="D5224" s="2" t="str">
        <f t="shared" si="80"/>
        <v>Error?</v>
      </c>
    </row>
    <row r="5225" spans="1:4" x14ac:dyDescent="0.2">
      <c r="A5225" s="5">
        <v>5164</v>
      </c>
      <c r="B5225" s="138">
        <f>'Revenues 9-14'!C178</f>
        <v>831625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236145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50725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286870</v>
      </c>
      <c r="C5246" s="2" t="s">
        <v>594</v>
      </c>
      <c r="D5246" s="2" t="str">
        <f t="shared" si="80"/>
        <v>Error?</v>
      </c>
    </row>
    <row r="5247" spans="1:4" x14ac:dyDescent="0.2">
      <c r="A5247" s="5">
        <v>5186</v>
      </c>
      <c r="B5247" s="138">
        <f>'Revenues 9-14'!C203</f>
        <v>198845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198845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2503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519870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1351495</v>
      </c>
      <c r="C5326" s="2" t="s">
        <v>594</v>
      </c>
      <c r="D5326" s="2" t="str">
        <f t="shared" si="82"/>
        <v>Error?</v>
      </c>
    </row>
    <row r="5327" spans="1:4" x14ac:dyDescent="0.2">
      <c r="A5327" s="5">
        <v>5266</v>
      </c>
      <c r="B5327" s="138">
        <f>'Revenues 9-14'!C275</f>
        <v>11870084</v>
      </c>
      <c r="C5327" s="2" t="s">
        <v>594</v>
      </c>
      <c r="D5327" s="2" t="str">
        <f t="shared" si="82"/>
        <v>Error?</v>
      </c>
    </row>
    <row r="5328" spans="1:4" x14ac:dyDescent="0.2">
      <c r="A5328" s="5">
        <v>5267</v>
      </c>
      <c r="B5328" s="138">
        <f>'Revenues 9-14'!D5</f>
        <v>929791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929791</v>
      </c>
      <c r="C5334" s="2" t="s">
        <v>594</v>
      </c>
      <c r="D5334" s="2" t="str">
        <f t="shared" si="82"/>
        <v>Error?</v>
      </c>
    </row>
    <row r="5335" spans="1:4" x14ac:dyDescent="0.2">
      <c r="A5335" s="5">
        <v>5274</v>
      </c>
      <c r="B5335" s="138">
        <f>'Revenues 9-14'!D14</f>
        <v>192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74400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74592</v>
      </c>
      <c r="C5339" s="2" t="s">
        <v>594</v>
      </c>
      <c r="D5339" s="2" t="str">
        <f t="shared" si="82"/>
        <v>Error?</v>
      </c>
    </row>
    <row r="5340" spans="1:4" x14ac:dyDescent="0.2">
      <c r="A5340" s="5">
        <v>5279</v>
      </c>
      <c r="B5340" s="138">
        <f>'Revenues 9-14'!D65</f>
        <v>9444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9444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8050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8050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71432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70000</v>
      </c>
      <c r="D5354" s="2" t="str">
        <f t="shared" si="82"/>
        <v>Error?</v>
      </c>
    </row>
    <row r="5355" spans="1:4" x14ac:dyDescent="0.2">
      <c r="A5355" s="5">
        <v>5294</v>
      </c>
      <c r="B5355" s="138">
        <f>'Revenues 9-14'!D108</f>
        <v>166432</v>
      </c>
      <c r="C5355" s="2" t="s">
        <v>594</v>
      </c>
      <c r="D5355" s="2" t="str">
        <f t="shared" si="82"/>
        <v>Error?</v>
      </c>
    </row>
    <row r="5356" spans="1:4" x14ac:dyDescent="0.2">
      <c r="A5356" s="5">
        <v>5295</v>
      </c>
      <c r="B5356" s="138">
        <f>'Revenues 9-14'!D109</f>
        <v>1188309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750000</v>
      </c>
      <c r="D5422" s="2" t="str">
        <f t="shared" si="83"/>
        <v>Error?</v>
      </c>
    </row>
    <row r="5423" spans="1:4" x14ac:dyDescent="0.2">
      <c r="A5423" s="5">
        <v>5362</v>
      </c>
      <c r="B5423" s="138">
        <f>'Revenues 9-14'!D178</f>
        <v>750000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750000</v>
      </c>
      <c r="C5507" s="2" t="s">
        <v>594</v>
      </c>
      <c r="D5507" s="2" t="str">
        <f t="shared" si="85"/>
        <v>Error?</v>
      </c>
    </row>
    <row r="5508" spans="1:4" x14ac:dyDescent="0.2">
      <c r="A5508" s="5">
        <v>5447</v>
      </c>
      <c r="B5508" s="138">
        <f>'Revenues 9-14'!D275</f>
        <v>1938309</v>
      </c>
      <c r="C5508" s="2" t="s">
        <v>594</v>
      </c>
      <c r="D5508" s="2" t="str">
        <f t="shared" si="85"/>
        <v>Error?</v>
      </c>
    </row>
    <row r="5509" spans="1:4" x14ac:dyDescent="0.2">
      <c r="A5509" s="5">
        <v>5448</v>
      </c>
      <c r="B5509" s="138">
        <f>'Revenues 9-14'!E5</f>
        <v>2354742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2354742</v>
      </c>
      <c r="C5513" s="2" t="s">
        <v>594</v>
      </c>
      <c r="D5513" s="2" t="str">
        <f t="shared" si="85"/>
        <v>Error?</v>
      </c>
    </row>
    <row r="5514" spans="1:4" x14ac:dyDescent="0.2">
      <c r="A5514" s="5">
        <v>5453</v>
      </c>
      <c r="B5514" s="138">
        <f>'Revenues 9-14'!E14</f>
        <v>486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30486</v>
      </c>
      <c r="C5518" s="2" t="s">
        <v>594</v>
      </c>
      <c r="D5518" s="2" t="str">
        <f t="shared" si="85"/>
        <v>Error?</v>
      </c>
    </row>
    <row r="5519" spans="1:4" x14ac:dyDescent="0.2">
      <c r="A5519" s="5">
        <v>5458</v>
      </c>
      <c r="B5519" s="138">
        <f>'Revenues 9-14'!E65</f>
        <v>6228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2391456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2679356</v>
      </c>
      <c r="C5552" s="2" t="s">
        <v>594</v>
      </c>
      <c r="D5552" s="2" t="str">
        <f t="shared" si="85"/>
        <v>Error?</v>
      </c>
    </row>
    <row r="5553" spans="1:4" x14ac:dyDescent="0.2">
      <c r="A5553" s="5">
        <v>5492</v>
      </c>
      <c r="B5553" s="138">
        <f>'Revenues 9-14'!F5</f>
        <v>366593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366593</v>
      </c>
      <c r="C5557" s="2" t="s">
        <v>594</v>
      </c>
      <c r="D5557" s="2" t="str">
        <f t="shared" si="85"/>
        <v>Error?</v>
      </c>
    </row>
    <row r="5558" spans="1:4" x14ac:dyDescent="0.2">
      <c r="A5558" s="5">
        <v>5497</v>
      </c>
      <c r="B5558" s="138">
        <f>'Revenues 9-14'!F14</f>
        <v>76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33000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33076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13286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13286</v>
      </c>
      <c r="C5582" s="2" t="s">
        <v>594</v>
      </c>
      <c r="D5582" s="2" t="str">
        <f t="shared" si="86"/>
        <v>Error?</v>
      </c>
    </row>
    <row r="5583" spans="1:4" x14ac:dyDescent="0.2">
      <c r="A5583" s="5">
        <v>5522</v>
      </c>
      <c r="B5583" s="138">
        <f>'Revenues 9-14'!F96</f>
        <v>20000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20000</v>
      </c>
      <c r="C5587" s="2" t="s">
        <v>594</v>
      </c>
      <c r="D5587" s="2" t="str">
        <f t="shared" si="86"/>
        <v>Error?</v>
      </c>
    </row>
    <row r="5588" spans="1:4" x14ac:dyDescent="0.2">
      <c r="A5588" s="5">
        <v>5527</v>
      </c>
      <c r="B5588" s="138">
        <f>'Revenues 9-14'!F109</f>
        <v>432955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419115</v>
      </c>
      <c r="D5615" s="2" t="str">
        <f t="shared" si="86"/>
        <v>Error?</v>
      </c>
    </row>
    <row r="5616" spans="1:4" x14ac:dyDescent="0.2">
      <c r="A5616" s="10">
        <v>5555</v>
      </c>
      <c r="D5616" s="2" t="str">
        <f t="shared" si="86"/>
        <v>OK</v>
      </c>
    </row>
    <row r="5617" spans="1:4" x14ac:dyDescent="0.2">
      <c r="A5617" s="5">
        <v>5556</v>
      </c>
      <c r="B5617" s="138">
        <f>'Revenues 9-14'!F152</f>
        <v>531043</v>
      </c>
      <c r="D5617" s="2" t="str">
        <f t="shared" si="86"/>
        <v>Error?</v>
      </c>
    </row>
    <row r="5618" spans="1:4" x14ac:dyDescent="0.2">
      <c r="A5618" s="5">
        <v>5557</v>
      </c>
      <c r="B5618" s="138">
        <f>'Revenues 9-14'!F154</f>
        <v>950158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17060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967218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967218</v>
      </c>
      <c r="C5653" s="2" t="s">
        <v>594</v>
      </c>
      <c r="D5653" s="2" t="str">
        <f t="shared" si="87"/>
        <v>Error?</v>
      </c>
    </row>
    <row r="5654" spans="1:4" x14ac:dyDescent="0.2">
      <c r="A5654" s="5">
        <v>5593</v>
      </c>
      <c r="B5654" s="138">
        <f>'Revenues 9-14'!F176</f>
        <v>200000</v>
      </c>
      <c r="D5654" s="2" t="str">
        <f t="shared" si="87"/>
        <v>Error?</v>
      </c>
    </row>
    <row r="5655" spans="1:4" x14ac:dyDescent="0.2">
      <c r="A5655" s="5">
        <v>5594</v>
      </c>
      <c r="B5655" s="138">
        <f>'Revenues 9-14'!F178</f>
        <v>200000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200000</v>
      </c>
      <c r="C5719" s="2" t="s">
        <v>594</v>
      </c>
      <c r="D5719" s="2" t="str">
        <f t="shared" si="88"/>
        <v>Error?</v>
      </c>
    </row>
    <row r="5720" spans="1:4" x14ac:dyDescent="0.2">
      <c r="A5720" s="5">
        <v>5659</v>
      </c>
      <c r="B5720" s="138">
        <f>'Revenues 9-14'!F275</f>
        <v>1600173</v>
      </c>
      <c r="C5720" s="2" t="s">
        <v>594</v>
      </c>
      <c r="D5720" s="2" t="str">
        <f t="shared" si="88"/>
        <v>Error?</v>
      </c>
    </row>
    <row r="5721" spans="1:4" x14ac:dyDescent="0.2">
      <c r="A5721" s="5">
        <v>5660</v>
      </c>
      <c r="B5721" s="138">
        <f>'Revenues 9-14'!G5</f>
        <v>103984</v>
      </c>
      <c r="D5721" s="2" t="str">
        <f t="shared" si="88"/>
        <v>Error?</v>
      </c>
    </row>
    <row r="5722" spans="1:4" x14ac:dyDescent="0.2">
      <c r="A5722" s="5">
        <v>5661</v>
      </c>
      <c r="B5722" s="138">
        <f>'Revenues 9-14'!G7</f>
        <v>0</v>
      </c>
      <c r="D5722" s="2" t="str">
        <f t="shared" si="88"/>
        <v>Error?</v>
      </c>
    </row>
    <row r="5723" spans="1:4" x14ac:dyDescent="0.2">
      <c r="A5723" s="5">
        <v>5662</v>
      </c>
      <c r="B5723" s="138">
        <f>'Revenues 9-14'!G8</f>
        <v>161123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265107</v>
      </c>
      <c r="C5725" s="2" t="s">
        <v>594</v>
      </c>
      <c r="D5725" s="2" t="str">
        <f t="shared" si="88"/>
        <v>Error?</v>
      </c>
    </row>
    <row r="5726" spans="1:4" x14ac:dyDescent="0.2">
      <c r="A5726" s="5">
        <v>5665</v>
      </c>
      <c r="B5726" s="138">
        <f>'Revenues 9-14'!G14</f>
        <v>49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v>
      </c>
      <c r="C5730" s="2" t="s">
        <v>594</v>
      </c>
      <c r="D5730" s="2" t="str">
        <f t="shared" si="88"/>
        <v>Error?</v>
      </c>
    </row>
    <row r="5731" spans="1:4" x14ac:dyDescent="0.2">
      <c r="A5731" s="5">
        <v>5670</v>
      </c>
      <c r="B5731" s="138">
        <f>'Revenues 9-14'!G65</f>
        <v>3784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3784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268940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38151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38151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14643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14643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52794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268940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52794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264874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50388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1221.83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-75252</v>
      </c>
      <c r="D6267" s="2" t="str">
        <f t="shared" si="96"/>
        <v>Error?</v>
      </c>
      <c r="E6267" s="2" t="s">
        <v>199</v>
      </c>
    </row>
    <row r="6268" spans="1:5" x14ac:dyDescent="0.2">
      <c r="A6268">
        <v>6207</v>
      </c>
      <c r="B6268" s="138">
        <f>'Acct Summary 7-8'!D82</f>
        <v>314621</v>
      </c>
      <c r="D6268" s="2" t="str">
        <f t="shared" si="96"/>
        <v>Error?</v>
      </c>
      <c r="E6268" s="2" t="s">
        <v>199</v>
      </c>
    </row>
    <row r="6269" spans="1:5" x14ac:dyDescent="0.2">
      <c r="A6269">
        <v>6208</v>
      </c>
      <c r="B6269" s="138">
        <f>'Acct Summary 7-8'!E82</f>
        <v>316456</v>
      </c>
      <c r="D6269" s="2" t="str">
        <f t="shared" si="96"/>
        <v>Error?</v>
      </c>
      <c r="E6269" s="2" t="s">
        <v>199</v>
      </c>
    </row>
    <row r="6270" spans="1:5" x14ac:dyDescent="0.2">
      <c r="A6270">
        <v>6209</v>
      </c>
      <c r="B6270" s="138">
        <f>'Acct Summary 7-8'!F82</f>
        <v>114825</v>
      </c>
      <c r="D6270" s="2" t="str">
        <f t="shared" si="96"/>
        <v>Error?</v>
      </c>
      <c r="E6270" s="2" t="s">
        <v>199</v>
      </c>
    </row>
    <row r="6271" spans="1:5" x14ac:dyDescent="0.2">
      <c r="A6271">
        <v>6210</v>
      </c>
      <c r="B6271" s="138">
        <f>'Acct Summary 7-8'!G82</f>
        <v>-165067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38151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-6.5403581083336116E-3</v>
      </c>
      <c r="D6276" s="2" t="str">
        <f t="shared" si="97"/>
        <v>Error?</v>
      </c>
      <c r="E6276" s="2" t="s">
        <v>199</v>
      </c>
    </row>
    <row r="6277" spans="1:5" x14ac:dyDescent="0.2">
      <c r="A6277">
        <v>6216</v>
      </c>
      <c r="B6277" s="138">
        <f>'Acct Summary 7-8'!D83</f>
        <v>0.24729631053187165</v>
      </c>
      <c r="D6277" s="2" t="str">
        <f t="shared" si="97"/>
        <v>Error?</v>
      </c>
      <c r="E6277" s="2" t="s">
        <v>199</v>
      </c>
    </row>
    <row r="6278" spans="1:5" x14ac:dyDescent="0.2">
      <c r="A6278">
        <v>6217</v>
      </c>
      <c r="B6278" s="138">
        <f>'Acct Summary 7-8'!E83</f>
        <v>0.19916922612154472</v>
      </c>
      <c r="D6278" s="2" t="str">
        <f t="shared" si="97"/>
        <v>Error?</v>
      </c>
      <c r="E6278" s="2" t="s">
        <v>199</v>
      </c>
    </row>
    <row r="6279" spans="1:5" x14ac:dyDescent="0.2">
      <c r="A6279">
        <v>6218</v>
      </c>
      <c r="B6279" s="138">
        <f>'Acct Summary 7-8'!F83</f>
        <v>7.0926914239122382E-2</v>
      </c>
      <c r="D6279" s="2" t="str">
        <f t="shared" si="97"/>
        <v>Error?</v>
      </c>
      <c r="E6279" s="2" t="s">
        <v>199</v>
      </c>
    </row>
    <row r="6280" spans="1:5" x14ac:dyDescent="0.2">
      <c r="A6280">
        <v>6219</v>
      </c>
      <c r="B6280" s="138">
        <f>'Acct Summary 7-8'!G83</f>
        <v>-0.32993669785468288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2.1954011148777541E-2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12000</v>
      </c>
      <c r="D6339" s="2" t="str">
        <f t="shared" si="98"/>
        <v>Error?</v>
      </c>
      <c r="E6339" s="2" t="s">
        <v>199</v>
      </c>
    </row>
    <row r="6340" spans="1:5" x14ac:dyDescent="0.2">
      <c r="A6340">
        <v>6279</v>
      </c>
      <c r="B6340" s="138">
        <f>'Revenues 9-14'!C102</f>
        <v>32416</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59125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81516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4413</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4413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2746</v>
      </c>
      <c r="D6981" s="2" t="str">
        <f t="shared" si="108"/>
        <v>Error?</v>
      </c>
    </row>
    <row r="6982" spans="1:4" x14ac:dyDescent="0.2">
      <c r="A6982">
        <v>6921</v>
      </c>
      <c r="B6982" s="138">
        <f>'Expenditures 15-22'!K85</f>
        <v>2746</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245808</v>
      </c>
      <c r="D6987" s="2" t="str">
        <f t="shared" si="108"/>
        <v>Error?</v>
      </c>
    </row>
    <row r="6988" spans="1:4" x14ac:dyDescent="0.2">
      <c r="A6988">
        <v>6927</v>
      </c>
      <c r="B6988" s="138">
        <f>'Expenditures 15-22'!K88</f>
        <v>245808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248554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4413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8934</v>
      </c>
      <c r="D7246" s="2" t="str">
        <f t="shared" si="112"/>
        <v>Error?</v>
      </c>
    </row>
    <row r="7247" spans="1:4" x14ac:dyDescent="0.2">
      <c r="A7247">
        <f t="shared" si="113"/>
        <v>7186</v>
      </c>
      <c r="B7247" s="138">
        <f>'Expenditures 15-22'!E7</f>
        <v>970</v>
      </c>
      <c r="D7247" s="2" t="str">
        <f t="shared" si="112"/>
        <v>Error?</v>
      </c>
    </row>
    <row r="7248" spans="1:4" x14ac:dyDescent="0.2">
      <c r="A7248">
        <f t="shared" si="113"/>
        <v>7187</v>
      </c>
      <c r="B7248" s="138">
        <f>'Expenditures 15-22'!F7</f>
        <v>7527</v>
      </c>
      <c r="D7248" s="2" t="str">
        <f t="shared" si="112"/>
        <v>Error?</v>
      </c>
    </row>
    <row r="7249" spans="1:4" x14ac:dyDescent="0.2">
      <c r="A7249">
        <f t="shared" si="113"/>
        <v>7188</v>
      </c>
      <c r="B7249" s="138">
        <f>'Expenditures 15-22'!G7</f>
        <v>4960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1186905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12000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22335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34335</v>
      </c>
      <c r="D7719" s="2" t="str">
        <f t="shared" si="126"/>
        <v>Error?</v>
      </c>
      <c r="E7719" s="2" t="s">
        <v>881</v>
      </c>
    </row>
    <row r="7720" spans="1:6" x14ac:dyDescent="0.2">
      <c r="A7720">
        <v>7659</v>
      </c>
      <c r="B7720" s="138">
        <f>'Rest Tax Levies-Tort Im 25'!H14</f>
        <v>32713</v>
      </c>
      <c r="D7720" s="2" t="str">
        <f t="shared" si="126"/>
        <v>Error?</v>
      </c>
      <c r="E7720" s="2" t="s">
        <v>881</v>
      </c>
    </row>
    <row r="7721" spans="1:6" x14ac:dyDescent="0.2">
      <c r="A7721">
        <v>7660</v>
      </c>
      <c r="B7721" s="138">
        <f>'Rest Tax Levies-Tort Im 25'!K14</f>
        <v>34335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25193</v>
      </c>
      <c r="D7797" s="2" t="str">
        <f t="shared" si="127"/>
        <v>Error?</v>
      </c>
      <c r="E7797" s="4" t="s">
        <v>2017</v>
      </c>
    </row>
    <row r="7798" spans="1:5" x14ac:dyDescent="0.2">
      <c r="A7798">
        <v>7737</v>
      </c>
      <c r="B7798" s="138">
        <f>'Contracts Paid in CY 29'!F141</f>
        <v>25193</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0" sqref="B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Wilmington CUSD 209U</v>
      </c>
      <c r="B7" s="2422"/>
      <c r="C7" s="2422"/>
      <c r="D7" s="2423"/>
      <c r="E7" s="2424" t="str">
        <f>COVER!A13</f>
        <v>56099209U26</v>
      </c>
      <c r="F7" s="2425"/>
      <c r="G7" s="2431" t="str">
        <f>COVER!T23</f>
        <v>066-005100</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Mack &amp; Associates, P.C.</v>
      </c>
      <c r="H9" s="2437"/>
      <c r="I9" s="2437"/>
      <c r="J9" s="2437"/>
      <c r="K9" s="2437"/>
      <c r="L9" s="2438"/>
    </row>
    <row r="10" spans="1:29" ht="13.5" customHeight="1" x14ac:dyDescent="0.2">
      <c r="A10" s="2411" t="str">
        <f>COVER!A38</f>
        <v>Dr. Matt Swick</v>
      </c>
      <c r="B10" s="2412"/>
      <c r="C10" s="2412"/>
      <c r="D10" s="2412"/>
      <c r="E10" s="2412"/>
      <c r="F10" s="2413"/>
      <c r="G10" s="2405" t="str">
        <f>COVER!T17</f>
        <v>116 E. Washington Street, Suite One</v>
      </c>
      <c r="H10" s="2406"/>
      <c r="I10" s="2406"/>
      <c r="J10" s="2406"/>
      <c r="K10" s="2406"/>
      <c r="L10" s="2407"/>
    </row>
    <row r="11" spans="1:29" ht="13.5" customHeight="1" x14ac:dyDescent="0.2">
      <c r="A11" s="1185" t="s">
        <v>1599</v>
      </c>
      <c r="B11" s="1186"/>
      <c r="C11" s="1187"/>
      <c r="D11" s="1192"/>
      <c r="E11" s="1187"/>
      <c r="F11" s="1191"/>
      <c r="G11" s="2405" t="str">
        <f>COVER!T19</f>
        <v>Morris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tmack@mackcpas.com</v>
      </c>
      <c r="J13" s="2418"/>
      <c r="K13" s="2418"/>
      <c r="L13" s="2419"/>
    </row>
    <row r="14" spans="1:29" ht="13.5" customHeight="1" x14ac:dyDescent="0.2">
      <c r="A14" s="2405" t="str">
        <f>COVER!A19</f>
        <v>209 Wildcat Court</v>
      </c>
      <c r="B14" s="2406"/>
      <c r="C14" s="2406"/>
      <c r="D14" s="2406"/>
      <c r="E14" s="2406"/>
      <c r="F14" s="2407"/>
      <c r="G14" s="1196" t="s">
        <v>1247</v>
      </c>
      <c r="H14" s="1194"/>
      <c r="I14" s="1194"/>
      <c r="J14" s="1194"/>
      <c r="K14" s="1194"/>
      <c r="L14" s="1195"/>
    </row>
    <row r="15" spans="1:29" ht="13.5" customHeight="1" x14ac:dyDescent="0.2">
      <c r="A15" s="2405" t="str">
        <f>COVER!A21</f>
        <v xml:space="preserve">Wilmington  </v>
      </c>
      <c r="B15" s="2406"/>
      <c r="C15" s="2406"/>
      <c r="D15" s="2406"/>
      <c r="E15" s="2406"/>
      <c r="F15" s="2407"/>
      <c r="G15" s="2402" t="str">
        <f>COVER!T15</f>
        <v>Tawnya Mack, CPA</v>
      </c>
      <c r="H15" s="2403"/>
      <c r="I15" s="2403"/>
      <c r="J15" s="2403"/>
      <c r="K15" s="2403"/>
      <c r="L15" s="2404"/>
    </row>
    <row r="16" spans="1:29" ht="12.2" customHeight="1" x14ac:dyDescent="0.2">
      <c r="A16" s="2427">
        <f>COVER!A25</f>
        <v>60481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 942-3306</v>
      </c>
      <c r="H18" s="2422"/>
      <c r="I18" s="2422"/>
      <c r="J18" s="2422"/>
      <c r="K18" s="2421" t="str">
        <f>COVER!X21</f>
        <v>(815) 942-9430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Wilmington CUSD 209U</v>
      </c>
      <c r="B1" s="2420"/>
      <c r="C1" s="2420"/>
      <c r="D1" s="2420"/>
    </row>
    <row r="2" spans="1:11" s="1215" customFormat="1" ht="12.75" x14ac:dyDescent="0.2">
      <c r="A2" s="2444" t="str">
        <f>'Single Audit Cover'!E7</f>
        <v>56099209U26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Wilmington CUSD 209U</v>
      </c>
      <c r="B1" s="2447"/>
      <c r="C1" s="2447"/>
      <c r="D1" s="2447"/>
      <c r="E1" s="2447"/>
    </row>
    <row r="2" spans="1:5" x14ac:dyDescent="0.2">
      <c r="A2" s="2448" t="str">
        <f>'Single Audit Cover'!E7</f>
        <v>56099209U26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2589395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50388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-1068</v>
      </c>
    </row>
    <row r="19" spans="1:4" ht="13.5" thickBot="1" x14ac:dyDescent="0.25">
      <c r="A19" s="1265" t="s">
        <v>1297</v>
      </c>
      <c r="D19" s="1266">
        <f>SUM(D10:D17)</f>
        <v>2638715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2638715</v>
      </c>
    </row>
    <row r="33" spans="1:4" x14ac:dyDescent="0.2">
      <c r="D33" s="1269"/>
    </row>
    <row r="34" spans="1:4" x14ac:dyDescent="0.2">
      <c r="A34" s="317" t="s">
        <v>1294</v>
      </c>
    </row>
    <row r="35" spans="1:4" x14ac:dyDescent="0.2">
      <c r="A35" s="317" t="s">
        <v>1293</v>
      </c>
      <c r="B35" s="1258" t="s">
        <v>1292</v>
      </c>
      <c r="D35" s="1270">
        <v>2638715</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2638715</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Wilmington CUSD 209U</v>
      </c>
      <c r="B1" s="2460"/>
      <c r="C1" s="2460"/>
      <c r="D1" s="2460"/>
      <c r="E1" s="2460"/>
      <c r="F1" s="2460"/>
    </row>
    <row r="2" spans="1:7" ht="13.5" customHeight="1" x14ac:dyDescent="0.2">
      <c r="A2" s="2461" t="str">
        <f>'Single Audit Cover'!E7</f>
        <v>56099209U26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2126</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2127</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2128</v>
      </c>
      <c r="C17" s="1285" t="s">
        <v>2129</v>
      </c>
      <c r="D17" s="2452">
        <v>0</v>
      </c>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1833</v>
      </c>
      <c r="B32" s="2453"/>
      <c r="C32" s="2453"/>
      <c r="D32" s="2453"/>
      <c r="E32" s="2453"/>
      <c r="F32" s="2453"/>
    </row>
    <row r="33" spans="1:6" ht="13.5" customHeight="1" x14ac:dyDescent="0.2">
      <c r="A33" s="328" t="s">
        <v>1509</v>
      </c>
      <c r="B33" s="328"/>
      <c r="C33" s="1288">
        <v>50388</v>
      </c>
      <c r="D33" s="1928"/>
      <c r="E33" s="1286"/>
    </row>
    <row r="34" spans="1:6" ht="13.5" customHeight="1" x14ac:dyDescent="0.2">
      <c r="A34" s="328" t="s">
        <v>1946</v>
      </c>
      <c r="B34" s="328"/>
      <c r="C34" s="1289">
        <v>0</v>
      </c>
      <c r="D34" s="1928" t="s">
        <v>1671</v>
      </c>
      <c r="E34" s="2454">
        <f>+C33+C34</f>
        <v>50388</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593</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9" sqref="D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Wilmington CUSD 209U</v>
      </c>
      <c r="C1" s="2464"/>
      <c r="D1" s="2464"/>
      <c r="E1" s="2464"/>
      <c r="F1" s="2464"/>
      <c r="G1" s="2464"/>
      <c r="H1" s="2464"/>
      <c r="I1" s="2464"/>
      <c r="J1" s="2464"/>
      <c r="K1" s="2464"/>
      <c r="L1" s="2464"/>
      <c r="M1" s="2464"/>
    </row>
    <row r="2" spans="2:14" ht="15" x14ac:dyDescent="0.2">
      <c r="B2" s="2461" t="str">
        <f>'Single Audit Cover'!E7</f>
        <v>56099209U26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2130</v>
      </c>
      <c r="C11" s="1338"/>
      <c r="D11" s="1339"/>
      <c r="E11" s="1340"/>
      <c r="F11" s="1340"/>
      <c r="G11" s="1340"/>
      <c r="H11" s="1340"/>
      <c r="I11" s="1340"/>
      <c r="J11" s="1340"/>
      <c r="K11" s="1340"/>
      <c r="L11" s="1340">
        <f>+G11+I11+K11</f>
        <v>0</v>
      </c>
      <c r="M11" s="1340"/>
    </row>
    <row r="12" spans="2:14" ht="20.100000000000001" customHeight="1" x14ac:dyDescent="0.2">
      <c r="B12" s="1337" t="s">
        <v>2131</v>
      </c>
      <c r="C12" s="1341"/>
      <c r="D12" s="1342"/>
      <c r="E12" s="1343"/>
      <c r="F12" s="1343"/>
      <c r="G12" s="1343"/>
      <c r="H12" s="1343"/>
      <c r="I12" s="1343"/>
      <c r="J12" s="1343"/>
      <c r="K12" s="1343"/>
      <c r="L12" s="1340">
        <f t="shared" ref="L12:L27" si="0">+G12+I12+K12</f>
        <v>0</v>
      </c>
      <c r="M12" s="1343"/>
    </row>
    <row r="13" spans="2:14" ht="20.100000000000001" customHeight="1" x14ac:dyDescent="0.2">
      <c r="B13" s="1337" t="s">
        <v>2132</v>
      </c>
      <c r="C13" s="1341"/>
      <c r="D13" s="1342"/>
      <c r="E13" s="1343"/>
      <c r="F13" s="1343"/>
      <c r="G13" s="1343"/>
      <c r="H13" s="1343"/>
      <c r="I13" s="1343"/>
      <c r="J13" s="1343"/>
      <c r="K13" s="1343"/>
      <c r="L13" s="1340">
        <f t="shared" si="0"/>
        <v>0</v>
      </c>
      <c r="M13" s="1343"/>
    </row>
    <row r="14" spans="2:14" ht="20.100000000000001" customHeight="1" x14ac:dyDescent="0.2">
      <c r="B14" s="1337" t="s">
        <v>2133</v>
      </c>
      <c r="C14" s="1341">
        <v>10.555</v>
      </c>
      <c r="D14" s="1342" t="s">
        <v>2134</v>
      </c>
      <c r="E14" s="1343"/>
      <c r="F14" s="1343">
        <v>193553</v>
      </c>
      <c r="G14" s="1343"/>
      <c r="H14" s="1343"/>
      <c r="I14" s="1343">
        <v>193553</v>
      </c>
      <c r="J14" s="1343"/>
      <c r="K14" s="1343">
        <v>0</v>
      </c>
      <c r="L14" s="1340">
        <f t="shared" si="0"/>
        <v>193553</v>
      </c>
      <c r="M14" s="1343" t="s">
        <v>2135</v>
      </c>
    </row>
    <row r="15" spans="2:14" ht="20.100000000000001" customHeight="1" x14ac:dyDescent="0.2">
      <c r="B15" s="1337" t="s">
        <v>2137</v>
      </c>
      <c r="C15" s="1341">
        <v>10.555</v>
      </c>
      <c r="D15" s="1342" t="s">
        <v>2136</v>
      </c>
      <c r="E15" s="1343">
        <v>189676</v>
      </c>
      <c r="F15" s="1343">
        <v>42593</v>
      </c>
      <c r="G15" s="1343">
        <v>189676</v>
      </c>
      <c r="H15" s="1343"/>
      <c r="I15" s="1343">
        <v>42593</v>
      </c>
      <c r="J15" s="1343"/>
      <c r="K15" s="1343">
        <v>0</v>
      </c>
      <c r="L15" s="1340">
        <f t="shared" si="0"/>
        <v>232269</v>
      </c>
      <c r="M15" s="1343" t="s">
        <v>2135</v>
      </c>
    </row>
    <row r="16" spans="2:14" ht="20.100000000000001" customHeight="1" x14ac:dyDescent="0.2">
      <c r="B16" s="1337" t="s">
        <v>2138</v>
      </c>
      <c r="C16" s="1341">
        <v>10.555</v>
      </c>
      <c r="D16" s="1342">
        <v>2018</v>
      </c>
      <c r="E16" s="1343"/>
      <c r="F16" s="1343">
        <v>50388</v>
      </c>
      <c r="G16" s="1343"/>
      <c r="H16" s="1343"/>
      <c r="I16" s="1343">
        <v>50388</v>
      </c>
      <c r="J16" s="1343"/>
      <c r="K16" s="1343">
        <v>0</v>
      </c>
      <c r="L16" s="1340">
        <f t="shared" si="0"/>
        <v>50388</v>
      </c>
      <c r="M16" s="1343" t="s">
        <v>2135</v>
      </c>
    </row>
    <row r="17" spans="2:14" ht="20.100000000000001" customHeight="1" x14ac:dyDescent="0.2">
      <c r="B17" s="1337" t="s">
        <v>2139</v>
      </c>
      <c r="C17" s="1341">
        <v>10.553000000000001</v>
      </c>
      <c r="D17" s="1342" t="s">
        <v>2140</v>
      </c>
      <c r="E17" s="1343"/>
      <c r="F17" s="1343">
        <v>42893</v>
      </c>
      <c r="G17" s="1343"/>
      <c r="H17" s="1343"/>
      <c r="I17" s="1343">
        <v>42893</v>
      </c>
      <c r="J17" s="1343"/>
      <c r="K17" s="1343">
        <v>0</v>
      </c>
      <c r="L17" s="1340">
        <f t="shared" si="0"/>
        <v>42893</v>
      </c>
      <c r="M17" s="1343" t="s">
        <v>2135</v>
      </c>
    </row>
    <row r="18" spans="2:14" ht="20.100000000000001" customHeight="1" x14ac:dyDescent="0.2">
      <c r="B18" s="1337" t="s">
        <v>2141</v>
      </c>
      <c r="C18" s="1341">
        <v>10.553000000000001</v>
      </c>
      <c r="D18" s="1342" t="s">
        <v>2185</v>
      </c>
      <c r="E18" s="1343">
        <v>46104</v>
      </c>
      <c r="F18" s="1343">
        <v>7831</v>
      </c>
      <c r="G18" s="1343">
        <v>46104</v>
      </c>
      <c r="H18" s="1343"/>
      <c r="I18" s="1343">
        <v>7831</v>
      </c>
      <c r="J18" s="1343"/>
      <c r="K18" s="1343">
        <v>0</v>
      </c>
      <c r="L18" s="1340">
        <f t="shared" si="0"/>
        <v>53935</v>
      </c>
      <c r="M18" s="1343" t="s">
        <v>2135</v>
      </c>
    </row>
    <row r="19" spans="2:14" ht="20.100000000000001" customHeight="1" x14ac:dyDescent="0.2">
      <c r="B19" s="1337" t="s">
        <v>2142</v>
      </c>
      <c r="C19" s="1341"/>
      <c r="D19" s="1342"/>
      <c r="E19" s="1343">
        <f>SUM(E14:E18)</f>
        <v>235780</v>
      </c>
      <c r="F19" s="1343">
        <f>SUM(F14:F18)</f>
        <v>337258</v>
      </c>
      <c r="G19" s="1343">
        <f>SUM(G14:G18)</f>
        <v>235780</v>
      </c>
      <c r="H19" s="1343"/>
      <c r="I19" s="1343">
        <f>SUM(I14:I18)</f>
        <v>337258</v>
      </c>
      <c r="J19" s="1343"/>
      <c r="K19" s="1343">
        <f>SUM(K14:K18)</f>
        <v>0</v>
      </c>
      <c r="L19" s="1340">
        <f t="shared" si="0"/>
        <v>573038</v>
      </c>
      <c r="M19" s="1343"/>
    </row>
    <row r="20" spans="2:14" ht="20.100000000000001" customHeight="1" x14ac:dyDescent="0.2">
      <c r="B20" s="1337" t="s">
        <v>2144</v>
      </c>
      <c r="C20" s="1341"/>
      <c r="D20" s="1342"/>
      <c r="E20" s="1343"/>
      <c r="F20" s="1343"/>
      <c r="G20" s="1343"/>
      <c r="H20" s="1343"/>
      <c r="I20" s="1343"/>
      <c r="J20" s="1343"/>
      <c r="K20" s="1343"/>
      <c r="L20" s="1340">
        <f t="shared" si="0"/>
        <v>0</v>
      </c>
      <c r="M20" s="1343"/>
    </row>
    <row r="21" spans="2:14" ht="20.100000000000001" customHeight="1" x14ac:dyDescent="0.2">
      <c r="B21" s="1337" t="s">
        <v>2145</v>
      </c>
      <c r="C21" s="1341">
        <v>84.040999999999997</v>
      </c>
      <c r="D21" s="1342" t="s">
        <v>2143</v>
      </c>
      <c r="E21" s="1343">
        <v>0</v>
      </c>
      <c r="F21" s="1343">
        <v>2069525</v>
      </c>
      <c r="G21" s="1343"/>
      <c r="H21" s="1343"/>
      <c r="I21" s="1343">
        <v>2069589</v>
      </c>
      <c r="J21" s="1343"/>
      <c r="K21" s="1343">
        <v>0</v>
      </c>
      <c r="L21" s="1340">
        <f t="shared" si="0"/>
        <v>2069589</v>
      </c>
      <c r="M21" s="1343" t="s">
        <v>2135</v>
      </c>
    </row>
    <row r="22" spans="2:14" ht="20.100000000000001" customHeight="1" x14ac:dyDescent="0.2">
      <c r="B22" s="1337" t="s">
        <v>2146</v>
      </c>
      <c r="C22" s="1341"/>
      <c r="D22" s="1342"/>
      <c r="E22" s="1343"/>
      <c r="F22" s="1343"/>
      <c r="G22" s="1343"/>
      <c r="H22" s="1343"/>
      <c r="I22" s="1343"/>
      <c r="J22" s="1343"/>
      <c r="K22" s="1343"/>
      <c r="L22" s="1340">
        <f t="shared" si="0"/>
        <v>0</v>
      </c>
      <c r="M22" s="1343"/>
    </row>
    <row r="23" spans="2:14" ht="20.100000000000001" customHeight="1" x14ac:dyDescent="0.2">
      <c r="B23" s="1337" t="s">
        <v>2147</v>
      </c>
      <c r="C23" s="1341"/>
      <c r="D23" s="1342"/>
      <c r="E23" s="1343"/>
      <c r="F23" s="1343"/>
      <c r="G23" s="1343"/>
      <c r="H23" s="1343"/>
      <c r="I23" s="1343"/>
      <c r="J23" s="1343"/>
      <c r="K23" s="1343"/>
      <c r="L23" s="1340">
        <f t="shared" si="0"/>
        <v>0</v>
      </c>
      <c r="M23" s="1343"/>
    </row>
    <row r="24" spans="2:14" ht="20.100000000000001" customHeight="1" x14ac:dyDescent="0.2">
      <c r="B24" s="1337" t="s">
        <v>2148</v>
      </c>
      <c r="C24" s="1341">
        <v>84.027000000000001</v>
      </c>
      <c r="D24" s="1342" t="s">
        <v>2150</v>
      </c>
      <c r="E24" s="1343"/>
      <c r="F24" s="1343">
        <v>2503</v>
      </c>
      <c r="G24" s="1343"/>
      <c r="H24" s="1343"/>
      <c r="I24" s="1343">
        <v>2503</v>
      </c>
      <c r="J24" s="1343"/>
      <c r="K24" s="1343">
        <v>0</v>
      </c>
      <c r="L24" s="1340">
        <f t="shared" si="0"/>
        <v>2503</v>
      </c>
      <c r="M24" s="1343" t="s">
        <v>2135</v>
      </c>
    </row>
    <row r="25" spans="2:14" ht="20.100000000000001" customHeight="1" x14ac:dyDescent="0.2">
      <c r="B25" s="1337" t="s">
        <v>2149</v>
      </c>
      <c r="C25" s="1341">
        <v>84.173000000000002</v>
      </c>
      <c r="D25" s="1342" t="s">
        <v>2151</v>
      </c>
      <c r="E25" s="1343"/>
      <c r="F25" s="1343">
        <v>101</v>
      </c>
      <c r="G25" s="1343"/>
      <c r="H25" s="1343"/>
      <c r="I25" s="1343">
        <v>101</v>
      </c>
      <c r="J25" s="1343"/>
      <c r="K25" s="1343">
        <v>0</v>
      </c>
      <c r="L25" s="1340">
        <f t="shared" si="0"/>
        <v>101</v>
      </c>
      <c r="M25" s="1343" t="s">
        <v>2135</v>
      </c>
    </row>
    <row r="26" spans="2:14" ht="20.100000000000001" customHeight="1" x14ac:dyDescent="0.2">
      <c r="B26" s="1337" t="s">
        <v>2152</v>
      </c>
      <c r="C26" s="1341"/>
      <c r="D26" s="1342"/>
      <c r="E26" s="1343">
        <f>+SUM(E24:E25)</f>
        <v>0</v>
      </c>
      <c r="F26" s="1343">
        <f>SUM(F24:F25)</f>
        <v>2604</v>
      </c>
      <c r="G26" s="1343">
        <f>SUM(G24:G25)</f>
        <v>0</v>
      </c>
      <c r="H26" s="1343"/>
      <c r="I26" s="1343">
        <f>SUM(I24:I25)</f>
        <v>2604</v>
      </c>
      <c r="J26" s="1343"/>
      <c r="K26" s="1343">
        <f>SUM(K24:K25)</f>
        <v>0</v>
      </c>
      <c r="L26" s="1340">
        <f t="shared" si="0"/>
        <v>2604</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2116</v>
      </c>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15" sqref="C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Wilmington CUSD 209U</v>
      </c>
      <c r="C1" s="2464"/>
      <c r="D1" s="2464"/>
      <c r="E1" s="2464"/>
      <c r="F1" s="2464"/>
      <c r="G1" s="2464"/>
      <c r="H1" s="2464"/>
      <c r="I1" s="2464"/>
      <c r="J1" s="2464"/>
      <c r="K1" s="2464"/>
      <c r="L1" s="2464"/>
      <c r="M1" s="2464"/>
    </row>
    <row r="2" spans="2:14" ht="15" x14ac:dyDescent="0.2">
      <c r="B2" s="2461" t="str">
        <f>'Single Audit Cover'!E7</f>
        <v>56099209U26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2153</v>
      </c>
      <c r="C11" s="1338"/>
      <c r="D11" s="1339"/>
      <c r="E11" s="1340"/>
      <c r="F11" s="1340"/>
      <c r="G11" s="1340"/>
      <c r="H11" s="1340"/>
      <c r="I11" s="1340"/>
      <c r="J11" s="1340"/>
      <c r="K11" s="1340"/>
      <c r="L11" s="1340">
        <f>+G11+I11+K11</f>
        <v>0</v>
      </c>
      <c r="M11" s="1340"/>
    </row>
    <row r="12" spans="2:14" ht="20.100000000000001" customHeight="1" x14ac:dyDescent="0.2">
      <c r="B12" s="1337" t="s">
        <v>2154</v>
      </c>
      <c r="C12" s="1341"/>
      <c r="D12" s="1342"/>
      <c r="E12" s="1343"/>
      <c r="F12" s="1343"/>
      <c r="G12" s="1343"/>
      <c r="H12" s="1343"/>
      <c r="I12" s="1343"/>
      <c r="J12" s="1343"/>
      <c r="K12" s="1343"/>
      <c r="L12" s="1340">
        <f t="shared" ref="L12:L27" si="0">+G12+I12+K12</f>
        <v>0</v>
      </c>
      <c r="M12" s="1343"/>
    </row>
    <row r="13" spans="2:14" ht="20.100000000000001" customHeight="1" x14ac:dyDescent="0.2">
      <c r="B13" s="1337" t="s">
        <v>2155</v>
      </c>
      <c r="C13" s="1341">
        <v>84.01</v>
      </c>
      <c r="D13" s="1342" t="s">
        <v>2156</v>
      </c>
      <c r="E13" s="1343"/>
      <c r="F13" s="1343">
        <v>137168</v>
      </c>
      <c r="G13" s="1343"/>
      <c r="H13" s="1343"/>
      <c r="I13" s="1343">
        <v>239768</v>
      </c>
      <c r="J13" s="1343"/>
      <c r="K13" s="1343">
        <v>0</v>
      </c>
      <c r="L13" s="1340">
        <f t="shared" si="0"/>
        <v>239768</v>
      </c>
      <c r="M13" s="1343">
        <v>280589</v>
      </c>
    </row>
    <row r="14" spans="2:14" ht="20.100000000000001" customHeight="1" x14ac:dyDescent="0.2">
      <c r="B14" s="1337" t="s">
        <v>2157</v>
      </c>
      <c r="C14" s="1341">
        <v>84.01</v>
      </c>
      <c r="D14" s="1342" t="s">
        <v>2158</v>
      </c>
      <c r="E14" s="1343">
        <v>132426</v>
      </c>
      <c r="F14" s="1343">
        <v>61677</v>
      </c>
      <c r="G14" s="1343">
        <v>187246</v>
      </c>
      <c r="H14" s="1343"/>
      <c r="I14" s="1343">
        <v>6857</v>
      </c>
      <c r="J14" s="1343"/>
      <c r="K14" s="1343">
        <v>0</v>
      </c>
      <c r="L14" s="1340">
        <f t="shared" si="0"/>
        <v>194103</v>
      </c>
      <c r="M14" s="1343">
        <v>222739</v>
      </c>
    </row>
    <row r="15" spans="2:14" ht="20.100000000000001" customHeight="1" x14ac:dyDescent="0.2">
      <c r="B15" s="1337" t="s">
        <v>2159</v>
      </c>
      <c r="C15" s="1341">
        <v>84.367000000000004</v>
      </c>
      <c r="D15" s="1342" t="s">
        <v>2160</v>
      </c>
      <c r="E15" s="1343"/>
      <c r="F15" s="1343">
        <v>2395</v>
      </c>
      <c r="G15" s="1343"/>
      <c r="H15" s="1343"/>
      <c r="I15" s="1343">
        <v>2395</v>
      </c>
      <c r="J15" s="1343"/>
      <c r="K15" s="1343">
        <v>0</v>
      </c>
      <c r="L15" s="1340">
        <f t="shared" si="0"/>
        <v>2395</v>
      </c>
      <c r="M15" s="1343">
        <v>2456</v>
      </c>
    </row>
    <row r="16" spans="2:14" ht="20.100000000000001" customHeight="1" x14ac:dyDescent="0.2">
      <c r="B16" s="1337" t="s">
        <v>2161</v>
      </c>
      <c r="C16" s="1341">
        <v>84.367000000000004</v>
      </c>
      <c r="D16" s="1342" t="s">
        <v>2162</v>
      </c>
      <c r="E16" s="1343">
        <v>45792</v>
      </c>
      <c r="F16" s="1343">
        <v>10497</v>
      </c>
      <c r="G16" s="1343">
        <v>52790</v>
      </c>
      <c r="H16" s="1343"/>
      <c r="I16" s="1343">
        <v>3499</v>
      </c>
      <c r="J16" s="1343"/>
      <c r="K16" s="1343">
        <v>0</v>
      </c>
      <c r="L16" s="1340">
        <f t="shared" si="0"/>
        <v>56289</v>
      </c>
      <c r="M16" s="1343">
        <v>58684</v>
      </c>
    </row>
    <row r="17" spans="2:14" ht="20.100000000000001" customHeight="1" x14ac:dyDescent="0.2">
      <c r="B17" s="1337" t="s">
        <v>2163</v>
      </c>
      <c r="C17" s="1341"/>
      <c r="D17" s="1342"/>
      <c r="E17" s="1343">
        <f>SUM(E13:E16)</f>
        <v>178218</v>
      </c>
      <c r="F17" s="1343">
        <f>SUM(F13:F16)</f>
        <v>211737</v>
      </c>
      <c r="G17" s="1343">
        <f>SUM(G13:G16)</f>
        <v>240036</v>
      </c>
      <c r="H17" s="1343"/>
      <c r="I17" s="1343">
        <f>SUM(I13:I16)</f>
        <v>252519</v>
      </c>
      <c r="J17" s="1343"/>
      <c r="K17" s="1343">
        <f>SUM(K13:K16)</f>
        <v>0</v>
      </c>
      <c r="L17" s="1340">
        <f t="shared" si="0"/>
        <v>492555</v>
      </c>
      <c r="M17" s="1343">
        <f>SUM(M13:M16)</f>
        <v>564468</v>
      </c>
    </row>
    <row r="18" spans="2:14" ht="20.100000000000001" customHeight="1" x14ac:dyDescent="0.2">
      <c r="B18" s="1337" t="s">
        <v>2164</v>
      </c>
      <c r="C18" s="1341"/>
      <c r="D18" s="1342"/>
      <c r="E18" s="1343">
        <f>+E17+' SEFA'!E26+' SEFA'!E21</f>
        <v>178218</v>
      </c>
      <c r="F18" s="1343">
        <f>+F17+' SEFA'!F26+' SEFA'!F21</f>
        <v>2283866</v>
      </c>
      <c r="G18" s="1343">
        <f>+G17+' SEFA'!G26+' SEFA'!G21</f>
        <v>240036</v>
      </c>
      <c r="H18" s="1343"/>
      <c r="I18" s="1343">
        <f>+I17+' SEFA'!I26+' SEFA'!I21</f>
        <v>2324712</v>
      </c>
      <c r="J18" s="1343"/>
      <c r="K18" s="1343">
        <f>+K17+' SEFA'!K26+' SEFA'!K21</f>
        <v>0</v>
      </c>
      <c r="L18" s="1340">
        <f t="shared" si="0"/>
        <v>2564748</v>
      </c>
      <c r="M18" s="1343">
        <f>+M17</f>
        <v>564468</v>
      </c>
    </row>
    <row r="19" spans="2:14" ht="20.100000000000001" customHeight="1" x14ac:dyDescent="0.2">
      <c r="B19" s="1337" t="s">
        <v>2165</v>
      </c>
      <c r="C19" s="1341"/>
      <c r="D19" s="1342"/>
      <c r="E19" s="1343"/>
      <c r="F19" s="1343"/>
      <c r="G19" s="1343"/>
      <c r="H19" s="1343"/>
      <c r="I19" s="1343"/>
      <c r="J19" s="1343"/>
      <c r="K19" s="1343"/>
      <c r="L19" s="1340">
        <f t="shared" si="0"/>
        <v>0</v>
      </c>
      <c r="M19" s="1343"/>
    </row>
    <row r="20" spans="2:14" ht="20.100000000000001" customHeight="1" x14ac:dyDescent="0.2">
      <c r="B20" s="1337" t="s">
        <v>2166</v>
      </c>
      <c r="C20" s="1341"/>
      <c r="D20" s="1342"/>
      <c r="E20" s="1343"/>
      <c r="F20" s="1343"/>
      <c r="G20" s="1343"/>
      <c r="H20" s="1343"/>
      <c r="I20" s="1343"/>
      <c r="J20" s="1343"/>
      <c r="K20" s="1343"/>
      <c r="L20" s="1340">
        <f t="shared" si="0"/>
        <v>0</v>
      </c>
      <c r="M20" s="1343"/>
    </row>
    <row r="21" spans="2:14" ht="20.100000000000001" customHeight="1" x14ac:dyDescent="0.2">
      <c r="B21" s="1337" t="s">
        <v>2167</v>
      </c>
      <c r="C21" s="1341">
        <v>93.778000000000006</v>
      </c>
      <c r="D21" s="1342" t="s">
        <v>2168</v>
      </c>
      <c r="E21" s="1343"/>
      <c r="F21" s="1343">
        <v>13797</v>
      </c>
      <c r="G21" s="1343"/>
      <c r="H21" s="1343"/>
      <c r="I21" s="1343">
        <v>17950</v>
      </c>
      <c r="J21" s="1343"/>
      <c r="K21" s="1343">
        <v>0</v>
      </c>
      <c r="L21" s="1340">
        <f t="shared" si="0"/>
        <v>17950</v>
      </c>
      <c r="M21" s="1343" t="s">
        <v>2129</v>
      </c>
    </row>
    <row r="22" spans="2:14" ht="20.100000000000001" customHeight="1" x14ac:dyDescent="0.2">
      <c r="B22" s="1337" t="s">
        <v>2169</v>
      </c>
      <c r="C22" s="1341">
        <v>93.778000000000006</v>
      </c>
      <c r="D22" s="1342" t="s">
        <v>2170</v>
      </c>
      <c r="E22" s="1343">
        <v>19019</v>
      </c>
      <c r="F22" s="1343">
        <v>3794</v>
      </c>
      <c r="G22" s="1343">
        <v>23764</v>
      </c>
      <c r="H22" s="1343"/>
      <c r="I22" s="1343"/>
      <c r="J22" s="1343"/>
      <c r="K22" s="1343">
        <v>0</v>
      </c>
      <c r="L22" s="1340">
        <f t="shared" si="0"/>
        <v>23764</v>
      </c>
      <c r="M22" s="1343" t="s">
        <v>2129</v>
      </c>
    </row>
    <row r="23" spans="2:14" ht="20.100000000000001" customHeight="1" x14ac:dyDescent="0.2">
      <c r="B23" s="1337" t="s">
        <v>2171</v>
      </c>
      <c r="C23" s="1341"/>
      <c r="D23" s="1342"/>
      <c r="E23" s="1343">
        <f>SUM(E21:E22)</f>
        <v>19019</v>
      </c>
      <c r="F23" s="1343">
        <f>SUM(F21:F22)</f>
        <v>17591</v>
      </c>
      <c r="G23" s="1343">
        <f>SUM(G21:G22)</f>
        <v>23764</v>
      </c>
      <c r="H23" s="1343"/>
      <c r="I23" s="1343">
        <f>SUM(I21:I22)</f>
        <v>17950</v>
      </c>
      <c r="J23" s="1343"/>
      <c r="K23" s="1343">
        <f>SUM(K21:K22)</f>
        <v>0</v>
      </c>
      <c r="L23" s="1340">
        <f t="shared" si="0"/>
        <v>41714</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2172</v>
      </c>
      <c r="C25" s="1341"/>
      <c r="D25" s="1342"/>
      <c r="E25" s="1343">
        <f>+E23+E18+' SEFA'!E19</f>
        <v>433017</v>
      </c>
      <c r="F25" s="1343">
        <f>+F23+F18+' SEFA'!F19</f>
        <v>2638715</v>
      </c>
      <c r="G25" s="1343">
        <f>+G23+G18+' SEFA'!G19</f>
        <v>499580</v>
      </c>
      <c r="H25" s="1343"/>
      <c r="I25" s="1343">
        <f>+I23+I18+' SEFA'!I19</f>
        <v>2679920</v>
      </c>
      <c r="J25" s="1343"/>
      <c r="K25" s="1343">
        <f>+K23+K18+' SEFA'!K19</f>
        <v>0</v>
      </c>
      <c r="L25" s="1340">
        <f t="shared" si="0"/>
        <v>3179500</v>
      </c>
      <c r="M25" s="1343">
        <f>+M18</f>
        <v>564468</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1" sqref="G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Wilmington CUSD 209U</v>
      </c>
      <c r="C1" s="2479"/>
      <c r="D1" s="2479"/>
      <c r="E1" s="2479"/>
      <c r="F1" s="2479"/>
      <c r="G1" s="2479"/>
      <c r="H1" s="2479"/>
      <c r="I1" s="2479"/>
      <c r="J1" s="1422"/>
    </row>
    <row r="2" spans="2:10" s="317" customFormat="1" ht="12.75" customHeight="1" x14ac:dyDescent="0.2">
      <c r="B2" s="2480" t="str">
        <f>'Single Audit Cover'!E7</f>
        <v>56099209U26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2173</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2173</v>
      </c>
      <c r="E29" s="2485"/>
      <c r="F29" s="2485"/>
      <c r="G29" s="2485"/>
      <c r="H29" s="2485"/>
      <c r="I29" s="2485"/>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6" t="s">
        <v>1852</v>
      </c>
      <c r="D37" s="2487"/>
      <c r="E37" s="2487"/>
      <c r="F37" s="2488"/>
      <c r="G37" s="2486" t="s">
        <v>1674</v>
      </c>
      <c r="H37" s="2487"/>
      <c r="I37" s="2488"/>
    </row>
    <row r="38" spans="2:9" ht="16.5" customHeight="1" x14ac:dyDescent="0.2">
      <c r="B38" s="1444">
        <v>84.040999999999997</v>
      </c>
      <c r="C38" s="2474" t="s">
        <v>2174</v>
      </c>
      <c r="D38" s="2475"/>
      <c r="E38" s="2475"/>
      <c r="F38" s="2476"/>
      <c r="G38" s="2489">
        <v>2069589</v>
      </c>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2069589</v>
      </c>
      <c r="H43" s="2470"/>
      <c r="I43" s="2470"/>
    </row>
    <row r="44" spans="2:9" ht="12.75" customHeight="1" x14ac:dyDescent="0.2"/>
    <row r="45" spans="2:9" ht="12.75" customHeight="1" x14ac:dyDescent="0.2">
      <c r="B45" s="1435" t="s">
        <v>1949</v>
      </c>
      <c r="D45" s="2471">
        <v>2679920</v>
      </c>
      <c r="E45" s="2472"/>
    </row>
    <row r="46" spans="2:9" ht="5.25" customHeight="1" x14ac:dyDescent="0.2">
      <c r="B46" s="1445"/>
      <c r="D46" s="1446"/>
      <c r="E46" s="1447"/>
    </row>
    <row r="47" spans="2:9" ht="12.75" customHeight="1" x14ac:dyDescent="0.2">
      <c r="B47" s="1300" t="s">
        <v>1676</v>
      </c>
      <c r="C47" s="1300"/>
      <c r="D47" s="1448">
        <f>+G43/D45</f>
        <v>0.77225775396280483</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2077</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Wilmington CUSD 209U</v>
      </c>
      <c r="C1" s="2478"/>
      <c r="D1" s="2478"/>
      <c r="E1" s="2478"/>
      <c r="F1" s="2478"/>
      <c r="G1" s="2478"/>
      <c r="H1" s="2478"/>
      <c r="I1" s="2478"/>
      <c r="J1" s="2478"/>
      <c r="K1" s="2478"/>
      <c r="L1" s="1374"/>
      <c r="M1" s="1374"/>
    </row>
    <row r="2" spans="1:13" ht="12" customHeight="1" x14ac:dyDescent="0.2">
      <c r="B2" s="2480" t="str">
        <f>'Single Audit Cover'!E7</f>
        <v>56099209U26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t="s">
        <v>2129</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Wilmington CUSD 209U</v>
      </c>
      <c r="C1" s="2501"/>
      <c r="D1" s="2501"/>
      <c r="E1" s="2501"/>
      <c r="F1" s="2501"/>
      <c r="G1" s="2501"/>
      <c r="H1" s="2501"/>
      <c r="I1" s="2501"/>
      <c r="J1" s="2501"/>
      <c r="K1" s="2501"/>
      <c r="L1" s="1465"/>
    </row>
    <row r="2" spans="1:12" ht="12.75" customHeight="1" x14ac:dyDescent="0.2">
      <c r="B2" s="2502" t="str">
        <f>'Single Audit Cover'!E7</f>
        <v>56099209U26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t="s">
        <v>2129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Wilmington CUSD 209U</v>
      </c>
      <c r="C1" s="2478"/>
      <c r="D1" s="2478"/>
      <c r="E1" s="1491"/>
    </row>
    <row r="2" spans="2:5" s="1282" customFormat="1" ht="12.75" customHeight="1" x14ac:dyDescent="0.2">
      <c r="B2" s="2480" t="str">
        <f>'Single Audit Cover'!E7</f>
        <v>56099209U26</v>
      </c>
      <c r="C2" s="2480"/>
      <c r="D2" s="2480"/>
      <c r="E2" s="1492"/>
    </row>
    <row r="3" spans="2:5" ht="12.75" customHeight="1" x14ac:dyDescent="0.2">
      <c r="B3" s="2494" t="s">
        <v>1867</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t="s">
        <v>2175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233234857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2.5597999999999999E-2</v>
      </c>
      <c r="E10" s="356" t="s">
        <v>1062</v>
      </c>
      <c r="F10" s="355">
        <v>3.9160000000000002E-3</v>
      </c>
      <c r="G10" s="356" t="s">
        <v>1062</v>
      </c>
      <c r="H10" s="355">
        <v>1.544E-3</v>
      </c>
      <c r="I10" s="356" t="s">
        <v>1063</v>
      </c>
      <c r="J10" s="1754">
        <f>ROUND(D10+F10+H10,5)</f>
        <v>3.1060000000000001E-2</v>
      </c>
      <c r="K10" s="222"/>
      <c r="L10" s="355">
        <v>1.6100000000000001E-4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15461360</v>
      </c>
      <c r="E16" s="356"/>
      <c r="F16" s="1755">
        <f>SUM('Acct Summary 7-8'!C17,'Acct Summary 7-8'!D17,'Acct Summary 7-8'!F17)</f>
        <v>15069015</v>
      </c>
      <c r="G16" s="356"/>
      <c r="H16" s="1755">
        <f>SUM(D16-F16)</f>
        <v>392345</v>
      </c>
      <c r="I16" s="222"/>
      <c r="J16" s="1755">
        <f>SUM('Acct Summary 7-8'!C81,'Acct Summary 7-8'!D81,'Acct Summary 7-8'!F81,'Acct Summary 7-8'!I81)</f>
        <v>16134724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32186410.266000003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29292940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Wilmington CUSD 209U</v>
      </c>
      <c r="E7" s="391"/>
      <c r="G7" s="252"/>
      <c r="H7" s="387"/>
      <c r="I7" s="387"/>
      <c r="J7" s="387"/>
      <c r="K7" s="387"/>
      <c r="L7" s="329"/>
      <c r="M7" s="329"/>
      <c r="N7" s="329"/>
      <c r="O7" s="329"/>
      <c r="P7" s="329"/>
    </row>
    <row r="8" spans="1:18" ht="12.75" x14ac:dyDescent="0.2">
      <c r="A8" s="329"/>
      <c r="B8" s="329"/>
      <c r="C8" s="389" t="s">
        <v>1187</v>
      </c>
      <c r="D8" s="392" t="str">
        <f>COVER!A13</f>
        <v>56099209U26</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16134724</v>
      </c>
      <c r="I12" s="404"/>
      <c r="J12" s="404"/>
      <c r="K12" s="405">
        <f>TRUNC((H12/H13*100000),5)/100000</f>
        <v>1.0435514080999999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15461360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15069015</v>
      </c>
      <c r="I17" s="404"/>
      <c r="J17" s="416"/>
      <c r="K17" s="405">
        <f>TRUNC((H17/H18*100000),5)/100000</f>
        <v>0.97462415980000006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15461360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16134724</v>
      </c>
      <c r="I24" s="422"/>
      <c r="J24" s="422"/>
      <c r="K24" s="423">
        <f>TRUNC(((H24/H25*100000)/100000),2)</f>
        <v>385.45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41858.375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6157633.4596600002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29292940</v>
      </c>
      <c r="I32" s="420"/>
      <c r="J32" s="420"/>
      <c r="K32" s="423">
        <f>TRUNC(100-((((H32/H33*100))*100)/100),2)</f>
        <v>8.98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32186410.266000003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11505792</v>
      </c>
      <c r="D4" s="466">
        <v>1272243</v>
      </c>
      <c r="E4" s="466">
        <v>1588880</v>
      </c>
      <c r="F4" s="466">
        <v>1618920</v>
      </c>
      <c r="G4" s="466">
        <v>500299</v>
      </c>
      <c r="H4" s="466"/>
      <c r="I4" s="466">
        <v>1737769</v>
      </c>
      <c r="J4" s="467"/>
      <c r="K4" s="466"/>
      <c r="L4" s="466">
        <v>1328448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11505792</v>
      </c>
      <c r="D13" s="1759">
        <f t="shared" ref="D13:L13" si="0">SUM(D4:D12)</f>
        <v>1272243</v>
      </c>
      <c r="E13" s="1759">
        <f t="shared" si="0"/>
        <v>1588880</v>
      </c>
      <c r="F13" s="1759">
        <f t="shared" si="0"/>
        <v>1618920</v>
      </c>
      <c r="G13" s="1759">
        <f t="shared" si="0"/>
        <v>500299</v>
      </c>
      <c r="H13" s="1759">
        <f t="shared" si="0"/>
        <v>0</v>
      </c>
      <c r="I13" s="1759">
        <f t="shared" si="0"/>
        <v>1737769</v>
      </c>
      <c r="J13" s="1759">
        <f t="shared" si="0"/>
        <v>0</v>
      </c>
      <c r="K13" s="1759">
        <f t="shared" si="0"/>
        <v>0</v>
      </c>
      <c r="L13" s="1759">
        <f t="shared" si="0"/>
        <v>1328448</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1567607</v>
      </c>
      <c r="N16" s="484"/>
    </row>
    <row r="17" spans="1:14" s="485" customFormat="1" ht="12.75" customHeight="1" x14ac:dyDescent="0.2">
      <c r="A17" s="482" t="s">
        <v>1470</v>
      </c>
      <c r="B17" s="483">
        <v>230</v>
      </c>
      <c r="C17" s="477"/>
      <c r="D17" s="477"/>
      <c r="E17" s="477"/>
      <c r="F17" s="477"/>
      <c r="G17" s="477"/>
      <c r="H17" s="477"/>
      <c r="I17" s="477"/>
      <c r="J17" s="477"/>
      <c r="K17" s="477"/>
      <c r="L17" s="477"/>
      <c r="M17" s="467">
        <v>32298918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238538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1588880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27704060</v>
      </c>
    </row>
    <row r="23" spans="1:14" ht="13.5" customHeight="1" thickBot="1" x14ac:dyDescent="0.25">
      <c r="A23" s="1758" t="s">
        <v>664</v>
      </c>
      <c r="B23" s="1763"/>
      <c r="C23" s="468"/>
      <c r="D23" s="468"/>
      <c r="E23" s="468"/>
      <c r="F23" s="468"/>
      <c r="G23" s="468"/>
      <c r="H23" s="468"/>
      <c r="I23" s="468"/>
      <c r="J23" s="468"/>
      <c r="K23" s="468"/>
      <c r="L23" s="468"/>
      <c r="M23" s="1710">
        <f>SUM(M15:M22)</f>
        <v>34105063</v>
      </c>
      <c r="N23" s="1710">
        <f>SUM(N21:N22)</f>
        <v>29292940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285612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285612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29292940</v>
      </c>
    </row>
    <row r="37" spans="1:14" ht="13.5" thickBot="1" x14ac:dyDescent="0.25">
      <c r="A37" s="1758" t="s">
        <v>674</v>
      </c>
      <c r="B37" s="1763"/>
      <c r="C37" s="477"/>
      <c r="D37" s="477"/>
      <c r="E37" s="477"/>
      <c r="F37" s="477"/>
      <c r="G37" s="477"/>
      <c r="H37" s="477"/>
      <c r="I37" s="477"/>
      <c r="J37" s="477"/>
      <c r="K37" s="477"/>
      <c r="L37" s="480"/>
      <c r="M37" s="468"/>
      <c r="N37" s="1710">
        <f>SUM(N36:N36)</f>
        <v>29292940</v>
      </c>
    </row>
    <row r="38" spans="1:14" s="329" customFormat="1" ht="13.5" customHeight="1" thickTop="1" x14ac:dyDescent="0.2">
      <c r="A38" s="496" t="s">
        <v>440</v>
      </c>
      <c r="B38" s="483">
        <v>714</v>
      </c>
      <c r="C38" s="466">
        <v>862337</v>
      </c>
      <c r="D38" s="466">
        <v>103939</v>
      </c>
      <c r="E38" s="466">
        <v>0</v>
      </c>
      <c r="F38" s="466"/>
      <c r="G38" s="466">
        <v>328466</v>
      </c>
      <c r="H38" s="466"/>
      <c r="I38" s="466"/>
      <c r="J38" s="467"/>
      <c r="K38" s="466"/>
      <c r="L38" s="481">
        <v>1042836</v>
      </c>
      <c r="M38" s="497"/>
      <c r="N38" s="497"/>
    </row>
    <row r="39" spans="1:14" s="329" customFormat="1" ht="13.5" customHeight="1" x14ac:dyDescent="0.2">
      <c r="A39" s="496" t="s">
        <v>360</v>
      </c>
      <c r="B39" s="483">
        <v>730</v>
      </c>
      <c r="C39" s="466">
        <v>10643455</v>
      </c>
      <c r="D39" s="466">
        <v>1168304</v>
      </c>
      <c r="E39" s="466">
        <v>1588880</v>
      </c>
      <c r="F39" s="466">
        <v>1618920</v>
      </c>
      <c r="G39" s="466">
        <v>171833</v>
      </c>
      <c r="H39" s="466"/>
      <c r="I39" s="466">
        <v>1737769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34105063</v>
      </c>
      <c r="N40" s="497"/>
    </row>
    <row r="41" spans="1:14" ht="13.5" customHeight="1" thickBot="1" x14ac:dyDescent="0.25">
      <c r="A41" s="1758" t="s">
        <v>676</v>
      </c>
      <c r="B41" s="1728"/>
      <c r="C41" s="1710">
        <f>(SUM(C34,C37,C38,C39))</f>
        <v>11505792</v>
      </c>
      <c r="D41" s="1710">
        <f t="shared" ref="D41:L41" si="2">SUM(D34,D37,D38:D39)</f>
        <v>1272243</v>
      </c>
      <c r="E41" s="1710">
        <f t="shared" si="2"/>
        <v>1588880</v>
      </c>
      <c r="F41" s="1710">
        <f t="shared" si="2"/>
        <v>1618920</v>
      </c>
      <c r="G41" s="1710">
        <f t="shared" si="2"/>
        <v>500299</v>
      </c>
      <c r="H41" s="1710">
        <f t="shared" si="2"/>
        <v>0</v>
      </c>
      <c r="I41" s="1710">
        <f t="shared" si="2"/>
        <v>1737769</v>
      </c>
      <c r="J41" s="1710">
        <f t="shared" si="2"/>
        <v>0</v>
      </c>
      <c r="K41" s="1710">
        <f t="shared" si="2"/>
        <v>0</v>
      </c>
      <c r="L41" s="1710">
        <f t="shared" si="2"/>
        <v>1328448</v>
      </c>
      <c r="M41" s="1710">
        <f>SUM(M40)</f>
        <v>34105063</v>
      </c>
      <c r="N41" s="1710">
        <f>SUM(N37)</f>
        <v>29292940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7548347</v>
      </c>
      <c r="D4" s="1764">
        <f>'Revenues 9-14'!D109</f>
        <v>1188309</v>
      </c>
      <c r="E4" s="1764">
        <f>'Revenues 9-14'!E109</f>
        <v>2391456</v>
      </c>
      <c r="F4" s="1764">
        <f>'Revenues 9-14'!F109</f>
        <v>432955</v>
      </c>
      <c r="G4" s="1764">
        <f>'Revenues 9-14'!G109</f>
        <v>268940</v>
      </c>
      <c r="H4" s="1764">
        <f>'Revenues 9-14'!H109</f>
        <v>0</v>
      </c>
      <c r="I4" s="1764">
        <f>'Revenues 9-14'!I109</f>
        <v>52794</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2970242</v>
      </c>
      <c r="D6" s="1765">
        <f>'Revenues 9-14'!D173</f>
        <v>0</v>
      </c>
      <c r="E6" s="1765">
        <f>'Revenues 9-14'!E173</f>
        <v>0</v>
      </c>
      <c r="F6" s="1765">
        <f>'Revenues 9-14'!F173</f>
        <v>967218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1351495</v>
      </c>
      <c r="D7" s="1765">
        <f>'Revenues 9-14'!D274</f>
        <v>750000</v>
      </c>
      <c r="E7" s="1765">
        <f>'Revenues 9-14'!E274</f>
        <v>287900</v>
      </c>
      <c r="F7" s="1765">
        <f>'Revenues 9-14'!F274</f>
        <v>200000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11870084</v>
      </c>
      <c r="D8" s="1710">
        <f t="shared" ref="D8:K8" si="0">SUM(D4:D7)</f>
        <v>1938309</v>
      </c>
      <c r="E8" s="1710">
        <f t="shared" si="0"/>
        <v>2679356</v>
      </c>
      <c r="F8" s="1710">
        <f t="shared" si="0"/>
        <v>1600173</v>
      </c>
      <c r="G8" s="1710">
        <f t="shared" si="0"/>
        <v>268940</v>
      </c>
      <c r="H8" s="1710">
        <f t="shared" si="0"/>
        <v>0</v>
      </c>
      <c r="I8" s="1710">
        <f t="shared" si="0"/>
        <v>52794</v>
      </c>
      <c r="J8" s="1710">
        <f t="shared" si="0"/>
        <v>0</v>
      </c>
      <c r="K8" s="1710">
        <f t="shared" si="0"/>
        <v>0</v>
      </c>
      <c r="L8" s="347"/>
    </row>
    <row r="9" spans="1:13" ht="15.75" thickTop="1" x14ac:dyDescent="0.2">
      <c r="A9" s="514" t="s">
        <v>1752</v>
      </c>
      <c r="B9" s="515">
        <v>3998</v>
      </c>
      <c r="C9" s="481">
        <v>586808</v>
      </c>
      <c r="D9" s="516"/>
      <c r="E9" s="481"/>
      <c r="F9" s="481"/>
      <c r="G9" s="517"/>
      <c r="H9" s="481"/>
      <c r="I9" s="509" t="s">
        <v>1231</v>
      </c>
      <c r="J9" s="478"/>
      <c r="K9" s="481"/>
      <c r="L9" s="347"/>
    </row>
    <row r="10" spans="1:13" s="519" customFormat="1" ht="13.5" thickBot="1" x14ac:dyDescent="0.25">
      <c r="A10" s="1758" t="s">
        <v>1235</v>
      </c>
      <c r="B10" s="1731"/>
      <c r="C10" s="1710">
        <f>SUM(C8:C9)</f>
        <v>12456892</v>
      </c>
      <c r="D10" s="1710">
        <f t="shared" ref="D10:K10" si="1">SUM(D8:D9)</f>
        <v>1938309</v>
      </c>
      <c r="E10" s="1710">
        <f t="shared" si="1"/>
        <v>2679356</v>
      </c>
      <c r="F10" s="1710">
        <f t="shared" si="1"/>
        <v>1600173</v>
      </c>
      <c r="G10" s="1710">
        <f t="shared" si="1"/>
        <v>268940</v>
      </c>
      <c r="H10" s="1710">
        <f t="shared" si="1"/>
        <v>0</v>
      </c>
      <c r="I10" s="1710">
        <f t="shared" si="1"/>
        <v>52794</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5712698</v>
      </c>
      <c r="D12" s="520" t="s">
        <v>1231</v>
      </c>
      <c r="E12" s="468" t="s">
        <v>1231</v>
      </c>
      <c r="F12" s="468" t="s">
        <v>1231</v>
      </c>
      <c r="G12" s="1764">
        <f>'Expenditures 15-22'!K229</f>
        <v>59848</v>
      </c>
      <c r="H12" s="521"/>
      <c r="I12" s="468" t="s">
        <v>1231</v>
      </c>
      <c r="J12" s="468" t="s">
        <v>1231</v>
      </c>
      <c r="K12" s="521" t="s">
        <v>1231</v>
      </c>
      <c r="L12" s="347"/>
    </row>
    <row r="13" spans="1:13" ht="15.75" customHeight="1" x14ac:dyDescent="0.2">
      <c r="A13" s="1598" t="s">
        <v>477</v>
      </c>
      <c r="B13" s="1600">
        <v>2000</v>
      </c>
      <c r="C13" s="1765">
        <f>'Expenditures 15-22'!K74</f>
        <v>3668484</v>
      </c>
      <c r="D13" s="1765">
        <f>'Expenditures 15-22'!K129</f>
        <v>1623688</v>
      </c>
      <c r="E13" s="469" t="s">
        <v>1231</v>
      </c>
      <c r="F13" s="1765">
        <f>'Expenditures 15-22'!K184</f>
        <v>1485348</v>
      </c>
      <c r="G13" s="1765">
        <f>'Expenditures 15-22'!K279</f>
        <v>374140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15625</v>
      </c>
      <c r="D14" s="1765">
        <f>'Expenditures 15-22'!K130</f>
        <v>0</v>
      </c>
      <c r="E14" s="520" t="s">
        <v>1231</v>
      </c>
      <c r="F14" s="1765">
        <f>'Expenditures 15-22'!K185</f>
        <v>0</v>
      </c>
      <c r="G14" s="1765">
        <f>'Expenditures 15-22'!K280</f>
        <v>19</v>
      </c>
      <c r="H14" s="512"/>
      <c r="I14" s="468" t="s">
        <v>1231</v>
      </c>
      <c r="J14" s="468" t="s">
        <v>1231</v>
      </c>
      <c r="K14" s="512" t="s">
        <v>1231</v>
      </c>
      <c r="L14" s="347"/>
    </row>
    <row r="15" spans="1:13" ht="15.75" customHeight="1" x14ac:dyDescent="0.2">
      <c r="A15" s="1598" t="s">
        <v>109</v>
      </c>
      <c r="B15" s="1600">
        <v>4000</v>
      </c>
      <c r="C15" s="1765">
        <f>'Expenditures 15-22'!K102</f>
        <v>2563172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2454311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11959979</v>
      </c>
      <c r="D17" s="1710">
        <f t="shared" si="2"/>
        <v>1623688</v>
      </c>
      <c r="E17" s="1710">
        <f t="shared" si="2"/>
        <v>2454311</v>
      </c>
      <c r="F17" s="1710">
        <f t="shared" si="2"/>
        <v>1485348</v>
      </c>
      <c r="G17" s="1710">
        <f t="shared" si="2"/>
        <v>434007</v>
      </c>
      <c r="H17" s="1710">
        <f t="shared" si="2"/>
        <v>0</v>
      </c>
      <c r="I17" s="468"/>
      <c r="J17" s="1710">
        <f>SUM(J12:J16)</f>
        <v>0</v>
      </c>
      <c r="K17" s="1710">
        <f>SUM(K12:K16)</f>
        <v>0</v>
      </c>
      <c r="L17" s="347"/>
    </row>
    <row r="18" spans="1:12" ht="15" customHeight="1" thickTop="1" x14ac:dyDescent="0.2">
      <c r="A18" s="1766" t="s">
        <v>1753</v>
      </c>
      <c r="B18" s="1767">
        <v>4180</v>
      </c>
      <c r="C18" s="1764">
        <f t="shared" ref="C18:H18" si="3">C9</f>
        <v>586808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12546787</v>
      </c>
      <c r="D19" s="1710">
        <f t="shared" si="4"/>
        <v>1623688</v>
      </c>
      <c r="E19" s="1710">
        <f t="shared" si="4"/>
        <v>2454311</v>
      </c>
      <c r="F19" s="1710">
        <f t="shared" si="4"/>
        <v>1485348</v>
      </c>
      <c r="G19" s="1710">
        <f t="shared" si="4"/>
        <v>434007</v>
      </c>
      <c r="H19" s="1710">
        <f t="shared" si="4"/>
        <v>0</v>
      </c>
      <c r="I19" s="468"/>
      <c r="J19" s="1710">
        <f>SUM(J17:J18)</f>
        <v>0</v>
      </c>
      <c r="K19" s="1710">
        <f>SUM(K17:K18)</f>
        <v>0</v>
      </c>
      <c r="L19" s="347"/>
    </row>
    <row r="20" spans="1:12" ht="16.5" thickTop="1" thickBot="1" x14ac:dyDescent="0.25">
      <c r="A20" s="2144" t="s">
        <v>1754</v>
      </c>
      <c r="B20" s="2145"/>
      <c r="C20" s="1768">
        <f>C8-C17</f>
        <v>-89895</v>
      </c>
      <c r="D20" s="1768">
        <f t="shared" ref="D20:K20" si="5">D8-D17</f>
        <v>314621</v>
      </c>
      <c r="E20" s="1768">
        <f t="shared" si="5"/>
        <v>225045</v>
      </c>
      <c r="F20" s="1768">
        <f t="shared" si="5"/>
        <v>114825</v>
      </c>
      <c r="G20" s="1768">
        <f t="shared" si="5"/>
        <v>-165067</v>
      </c>
      <c r="H20" s="1768">
        <f t="shared" si="5"/>
        <v>0</v>
      </c>
      <c r="I20" s="1768">
        <f t="shared" si="5"/>
        <v>52794</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14643</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6895000</v>
      </c>
      <c r="F33" s="467"/>
      <c r="G33" s="477"/>
      <c r="H33" s="467"/>
      <c r="I33" s="467"/>
      <c r="J33" s="467"/>
      <c r="K33" s="467"/>
      <c r="L33" s="524"/>
    </row>
    <row r="34" spans="1:12" s="485" customFormat="1" x14ac:dyDescent="0.2">
      <c r="A34" s="1511" t="s">
        <v>1058</v>
      </c>
      <c r="B34" s="525">
        <v>7220</v>
      </c>
      <c r="C34" s="467"/>
      <c r="D34" s="467"/>
      <c r="E34" s="467">
        <v>227657</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14643</v>
      </c>
      <c r="D44" s="1725">
        <f t="shared" ref="D44:K44" si="6">SUM(D24:D43)</f>
        <v>0</v>
      </c>
      <c r="E44" s="1725">
        <f t="shared" si="6"/>
        <v>7122657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14643</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f>81246+6950000</f>
        <v>7031246</v>
      </c>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7031246</v>
      </c>
      <c r="F76" s="1725">
        <f t="shared" si="7"/>
        <v>0</v>
      </c>
      <c r="G76" s="1725">
        <f t="shared" si="7"/>
        <v>0</v>
      </c>
      <c r="H76" s="1725">
        <f t="shared" si="7"/>
        <v>0</v>
      </c>
      <c r="I76" s="1725">
        <f t="shared" si="7"/>
        <v>14643</v>
      </c>
      <c r="J76" s="1725">
        <f t="shared" si="7"/>
        <v>0</v>
      </c>
      <c r="K76" s="1725">
        <f t="shared" si="7"/>
        <v>0</v>
      </c>
      <c r="L76" s="524"/>
    </row>
    <row r="77" spans="1:12" ht="14.25" thickTop="1" thickBot="1" x14ac:dyDescent="0.25">
      <c r="A77" s="2136" t="s">
        <v>1239</v>
      </c>
      <c r="B77" s="2137"/>
      <c r="C77" s="1725">
        <f t="shared" ref="C77:K77" si="8">C44-C76</f>
        <v>14643</v>
      </c>
      <c r="D77" s="1725">
        <f t="shared" si="8"/>
        <v>0</v>
      </c>
      <c r="E77" s="1725">
        <f t="shared" si="8"/>
        <v>91411</v>
      </c>
      <c r="F77" s="1725">
        <f t="shared" si="8"/>
        <v>0</v>
      </c>
      <c r="G77" s="1725">
        <f t="shared" si="8"/>
        <v>0</v>
      </c>
      <c r="H77" s="1725">
        <f t="shared" si="8"/>
        <v>0</v>
      </c>
      <c r="I77" s="1725">
        <f t="shared" si="8"/>
        <v>-14643</v>
      </c>
      <c r="J77" s="1725">
        <f t="shared" si="8"/>
        <v>0</v>
      </c>
      <c r="K77" s="1725">
        <f t="shared" si="8"/>
        <v>0</v>
      </c>
      <c r="L77" s="347"/>
    </row>
    <row r="78" spans="1:12" ht="21.75" customHeight="1" thickTop="1" thickBot="1" x14ac:dyDescent="0.25">
      <c r="A78" s="2140" t="s">
        <v>618</v>
      </c>
      <c r="B78" s="2141"/>
      <c r="C78" s="1724">
        <f t="shared" ref="C78:K78" si="9">C20+C77</f>
        <v>-75252</v>
      </c>
      <c r="D78" s="1724">
        <f t="shared" si="9"/>
        <v>314621</v>
      </c>
      <c r="E78" s="1724">
        <f t="shared" si="9"/>
        <v>316456</v>
      </c>
      <c r="F78" s="1724">
        <f t="shared" si="9"/>
        <v>114825</v>
      </c>
      <c r="G78" s="1724">
        <f t="shared" si="9"/>
        <v>-165067</v>
      </c>
      <c r="H78" s="1724">
        <f t="shared" si="9"/>
        <v>0</v>
      </c>
      <c r="I78" s="1724">
        <f t="shared" si="9"/>
        <v>38151</v>
      </c>
      <c r="J78" s="1724">
        <f t="shared" si="9"/>
        <v>0</v>
      </c>
      <c r="K78" s="1724">
        <f t="shared" si="9"/>
        <v>0</v>
      </c>
      <c r="L78" s="533"/>
    </row>
    <row r="79" spans="1:12" ht="13.5" thickTop="1" x14ac:dyDescent="0.2">
      <c r="A79" s="1516" t="s">
        <v>2069</v>
      </c>
      <c r="B79" s="534"/>
      <c r="C79" s="478">
        <v>11581044</v>
      </c>
      <c r="D79" s="535">
        <v>957622</v>
      </c>
      <c r="E79" s="535">
        <v>1272424</v>
      </c>
      <c r="F79" s="535">
        <v>1504095</v>
      </c>
      <c r="G79" s="535">
        <v>665366</v>
      </c>
      <c r="H79" s="535"/>
      <c r="I79" s="535">
        <v>1699618</v>
      </c>
      <c r="J79" s="535"/>
      <c r="K79" s="535"/>
      <c r="L79" s="347"/>
    </row>
    <row r="80" spans="1:12" x14ac:dyDescent="0.2">
      <c r="A80" s="2146" t="s">
        <v>1896</v>
      </c>
      <c r="B80" s="2147"/>
      <c r="C80" s="467"/>
      <c r="D80" s="467"/>
      <c r="E80" s="467"/>
      <c r="F80" s="467"/>
      <c r="G80" s="467"/>
      <c r="H80" s="467"/>
      <c r="I80" s="467"/>
      <c r="J80" s="467"/>
      <c r="K80" s="467"/>
      <c r="L80" s="347"/>
    </row>
    <row r="81" spans="1:12" ht="13.5" thickBot="1" x14ac:dyDescent="0.25">
      <c r="A81" s="2138" t="s">
        <v>2070</v>
      </c>
      <c r="B81" s="2139"/>
      <c r="C81" s="1710">
        <f>(SUM(C78:C80))</f>
        <v>11505792</v>
      </c>
      <c r="D81" s="1710">
        <f>SUM(D78:D80)</f>
        <v>1272243</v>
      </c>
      <c r="E81" s="1710">
        <f t="shared" ref="E81:K81" si="10">SUM(E78:E80)</f>
        <v>1588880</v>
      </c>
      <c r="F81" s="1710">
        <f t="shared" si="10"/>
        <v>1618920</v>
      </c>
      <c r="G81" s="1710">
        <f t="shared" si="10"/>
        <v>500299</v>
      </c>
      <c r="H81" s="1710">
        <f t="shared" si="10"/>
        <v>0</v>
      </c>
      <c r="I81" s="1710">
        <f t="shared" si="10"/>
        <v>1737769</v>
      </c>
      <c r="J81" s="1710">
        <f t="shared" si="10"/>
        <v>0</v>
      </c>
      <c r="K81" s="1710">
        <f t="shared" si="10"/>
        <v>0</v>
      </c>
      <c r="L81" s="347"/>
    </row>
    <row r="82" spans="1:12" ht="0.75" customHeight="1" thickTop="1" thickBot="1" x14ac:dyDescent="0.25">
      <c r="A82" s="536" t="s">
        <v>361</v>
      </c>
      <c r="B82" s="537"/>
      <c r="C82" s="538">
        <f>(C81-C79)</f>
        <v>-75252</v>
      </c>
      <c r="D82" s="538">
        <f t="shared" ref="D82:K82" si="11">(D81-D79)</f>
        <v>314621</v>
      </c>
      <c r="E82" s="538">
        <f t="shared" si="11"/>
        <v>316456</v>
      </c>
      <c r="F82" s="538">
        <f t="shared" si="11"/>
        <v>114825</v>
      </c>
      <c r="G82" s="538">
        <f t="shared" si="11"/>
        <v>-165067</v>
      </c>
      <c r="H82" s="538">
        <f t="shared" si="11"/>
        <v>0</v>
      </c>
      <c r="I82" s="538">
        <f t="shared" si="11"/>
        <v>38151</v>
      </c>
      <c r="J82" s="538">
        <f t="shared" si="11"/>
        <v>0</v>
      </c>
      <c r="K82" s="538">
        <f t="shared" si="11"/>
        <v>0</v>
      </c>
    </row>
    <row r="83" spans="1:12" ht="14.25" hidden="1" thickTop="1" thickBot="1" x14ac:dyDescent="0.25">
      <c r="A83" s="539" t="s">
        <v>362</v>
      </c>
      <c r="B83" s="464"/>
      <c r="C83" s="540">
        <f>C82/C81</f>
        <v>-6.5403581083336116E-3</v>
      </c>
      <c r="D83" s="540">
        <f t="shared" ref="D83:K83" si="12">D82/D81</f>
        <v>0.24729631053187165</v>
      </c>
      <c r="E83" s="540">
        <f t="shared" si="12"/>
        <v>0.19916922612154472</v>
      </c>
      <c r="F83" s="540">
        <f t="shared" si="12"/>
        <v>7.0926914239122382E-2</v>
      </c>
      <c r="G83" s="540">
        <f t="shared" si="12"/>
        <v>-0.32993669785468288</v>
      </c>
      <c r="H83" s="540" t="e">
        <f t="shared" si="12"/>
        <v>#DIV/0!</v>
      </c>
      <c r="I83" s="540">
        <f t="shared" si="12"/>
        <v>2.1954011148777541E-2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1903</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6077669</v>
      </c>
      <c r="D5" s="481">
        <v>929791</v>
      </c>
      <c r="E5" s="466">
        <v>2354742</v>
      </c>
      <c r="F5" s="548">
        <v>366593</v>
      </c>
      <c r="G5" s="466">
        <v>103984</v>
      </c>
      <c r="H5" s="466"/>
      <c r="I5" s="466">
        <v>38151</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32713</v>
      </c>
      <c r="D7" s="466"/>
      <c r="E7" s="468"/>
      <c r="F7" s="467"/>
      <c r="G7" s="467"/>
      <c r="H7" s="467"/>
      <c r="I7" s="468"/>
      <c r="J7" s="468"/>
      <c r="K7" s="468"/>
    </row>
    <row r="8" spans="1:12" x14ac:dyDescent="0.2">
      <c r="A8" s="463" t="s">
        <v>433</v>
      </c>
      <c r="B8" s="470">
        <v>1150</v>
      </c>
      <c r="C8" s="475"/>
      <c r="D8" s="475"/>
      <c r="E8" s="477"/>
      <c r="F8" s="477"/>
      <c r="G8" s="481">
        <v>161123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6110382</v>
      </c>
      <c r="D12" s="1729">
        <f t="shared" si="0"/>
        <v>929791</v>
      </c>
      <c r="E12" s="1729">
        <f t="shared" si="0"/>
        <v>2354742</v>
      </c>
      <c r="F12" s="1729">
        <f t="shared" si="0"/>
        <v>366593</v>
      </c>
      <c r="G12" s="1729">
        <f t="shared" si="0"/>
        <v>265107</v>
      </c>
      <c r="H12" s="1729">
        <f t="shared" si="0"/>
        <v>0</v>
      </c>
      <c r="I12" s="1729">
        <f t="shared" si="0"/>
        <v>38151</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1261</v>
      </c>
      <c r="D14" s="466">
        <v>192</v>
      </c>
      <c r="E14" s="466">
        <v>486</v>
      </c>
      <c r="F14" s="466">
        <v>76</v>
      </c>
      <c r="G14" s="466">
        <v>49</v>
      </c>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253357</v>
      </c>
      <c r="D16" s="466">
        <v>74400</v>
      </c>
      <c r="E16" s="466">
        <v>30000</v>
      </c>
      <c r="F16" s="466">
        <v>33000</v>
      </c>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254618</v>
      </c>
      <c r="D18" s="1732">
        <f t="shared" ref="D18:K18" si="1">SUM(D14:D17)</f>
        <v>74592</v>
      </c>
      <c r="E18" s="1732">
        <f t="shared" si="1"/>
        <v>30486</v>
      </c>
      <c r="F18" s="1732">
        <f t="shared" si="1"/>
        <v>33076</v>
      </c>
      <c r="G18" s="1732">
        <f t="shared" si="1"/>
        <v>49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10983</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10983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91738</v>
      </c>
      <c r="D65" s="466">
        <v>9444</v>
      </c>
      <c r="E65" s="466">
        <v>6228</v>
      </c>
      <c r="F65" s="467">
        <v>13286</v>
      </c>
      <c r="G65" s="466">
        <v>3784</v>
      </c>
      <c r="H65" s="466"/>
      <c r="I65" s="466">
        <v>14643</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91738</v>
      </c>
      <c r="D67" s="1710">
        <f t="shared" ref="D67:K67" si="2">SUM(D65:D66)</f>
        <v>9444</v>
      </c>
      <c r="E67" s="1710">
        <f t="shared" si="2"/>
        <v>6228</v>
      </c>
      <c r="F67" s="1710">
        <f t="shared" si="2"/>
        <v>13286</v>
      </c>
      <c r="G67" s="1710">
        <f t="shared" si="2"/>
        <v>3784</v>
      </c>
      <c r="H67" s="1710">
        <f t="shared" si="2"/>
        <v>0</v>
      </c>
      <c r="I67" s="1710">
        <f t="shared" si="2"/>
        <v>14643</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264874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23769</v>
      </c>
      <c r="D74" s="468"/>
      <c r="E74" s="468"/>
      <c r="F74" s="468"/>
      <c r="G74" s="468"/>
      <c r="H74" s="468"/>
      <c r="I74" s="468"/>
      <c r="J74" s="468"/>
      <c r="K74" s="468"/>
    </row>
    <row r="75" spans="1:11" ht="12.75" customHeight="1" thickBot="1" x14ac:dyDescent="0.25">
      <c r="A75" s="1730" t="s">
        <v>569</v>
      </c>
      <c r="B75" s="1731"/>
      <c r="C75" s="1710">
        <f>SUM(C69:C74)</f>
        <v>288643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27644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10246</v>
      </c>
      <c r="D79" s="466">
        <v>8050</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37890</v>
      </c>
      <c r="D82" s="1710">
        <f>SUM(D77:D81)</f>
        <v>8050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81165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81165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103368</v>
      </c>
      <c r="D95" s="551"/>
      <c r="E95" s="521"/>
      <c r="F95" s="521"/>
      <c r="G95" s="521"/>
      <c r="H95" s="521"/>
      <c r="I95" s="521"/>
      <c r="J95" s="521"/>
      <c r="K95" s="521"/>
    </row>
    <row r="96" spans="1:11" ht="12.75" customHeight="1" x14ac:dyDescent="0.2">
      <c r="A96" s="463" t="s">
        <v>409</v>
      </c>
      <c r="B96" s="470">
        <v>1920</v>
      </c>
      <c r="C96" s="551">
        <v>257831</v>
      </c>
      <c r="D96" s="551">
        <v>25000</v>
      </c>
      <c r="E96" s="479"/>
      <c r="F96" s="478">
        <v>20000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v>71432</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12000</v>
      </c>
      <c r="D101" s="526"/>
      <c r="E101" s="480"/>
      <c r="F101" s="526"/>
      <c r="G101" s="475"/>
      <c r="H101" s="526"/>
      <c r="I101" s="468"/>
      <c r="J101" s="475"/>
      <c r="K101" s="475"/>
    </row>
    <row r="102" spans="1:12" ht="12.75" customHeight="1" x14ac:dyDescent="0.2">
      <c r="A102" s="463" t="s">
        <v>265</v>
      </c>
      <c r="B102" s="470">
        <v>1980</v>
      </c>
      <c r="C102" s="489">
        <v>32416</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236948</v>
      </c>
      <c r="D105" s="561"/>
      <c r="E105" s="468"/>
      <c r="F105" s="468"/>
      <c r="G105" s="468"/>
      <c r="H105" s="510"/>
      <c r="I105" s="468"/>
      <c r="J105" s="468"/>
      <c r="K105" s="468"/>
    </row>
    <row r="106" spans="1:12" ht="12.75" customHeight="1" x14ac:dyDescent="0.2">
      <c r="A106" s="463" t="s">
        <v>1505</v>
      </c>
      <c r="B106" s="470">
        <v>1993</v>
      </c>
      <c r="C106" s="466">
        <v>30365</v>
      </c>
      <c r="D106" s="489"/>
      <c r="E106" s="467"/>
      <c r="F106" s="467"/>
      <c r="G106" s="467"/>
      <c r="H106" s="467"/>
      <c r="I106" s="521"/>
      <c r="J106" s="467"/>
      <c r="K106" s="467"/>
    </row>
    <row r="107" spans="1:12" ht="12.75" customHeight="1" x14ac:dyDescent="0.2">
      <c r="A107" s="463" t="s">
        <v>80</v>
      </c>
      <c r="B107" s="470">
        <v>1999</v>
      </c>
      <c r="C107" s="551"/>
      <c r="D107" s="466">
        <v>70000</v>
      </c>
      <c r="E107" s="466"/>
      <c r="F107" s="466"/>
      <c r="G107" s="466"/>
      <c r="H107" s="466"/>
      <c r="I107" s="466"/>
      <c r="J107" s="467"/>
      <c r="K107" s="466"/>
    </row>
    <row r="108" spans="1:12" ht="12.75" customHeight="1" thickBot="1" x14ac:dyDescent="0.25">
      <c r="A108" s="1730" t="s">
        <v>508</v>
      </c>
      <c r="B108" s="1734"/>
      <c r="C108" s="1729">
        <f>SUM(C95:C107)</f>
        <v>672928</v>
      </c>
      <c r="D108" s="1729">
        <f t="shared" ref="D108:K108" si="3">SUM(D95:D107)</f>
        <v>166432</v>
      </c>
      <c r="E108" s="1729">
        <f t="shared" si="3"/>
        <v>0</v>
      </c>
      <c r="F108" s="1729">
        <f t="shared" si="3"/>
        <v>20000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7548347</v>
      </c>
      <c r="D109" s="1737">
        <f t="shared" si="4"/>
        <v>1188309</v>
      </c>
      <c r="E109" s="1737">
        <f t="shared" si="4"/>
        <v>2391456</v>
      </c>
      <c r="F109" s="1737">
        <f t="shared" si="4"/>
        <v>432955</v>
      </c>
      <c r="G109" s="1737">
        <f t="shared" si="4"/>
        <v>268940</v>
      </c>
      <c r="H109" s="1737">
        <f t="shared" si="4"/>
        <v>0</v>
      </c>
      <c r="I109" s="1737">
        <f t="shared" si="4"/>
        <v>52794</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2449916</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2449916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52560</v>
      </c>
      <c r="D124" s="561"/>
      <c r="E124" s="468"/>
      <c r="F124" s="548"/>
      <c r="G124" s="468"/>
      <c r="H124" s="468"/>
      <c r="I124" s="468"/>
      <c r="J124" s="468"/>
      <c r="K124" s="468"/>
    </row>
    <row r="125" spans="1:11" ht="12.75" customHeight="1" x14ac:dyDescent="0.2">
      <c r="A125" s="463" t="s">
        <v>1521</v>
      </c>
      <c r="B125" s="562">
        <v>3105</v>
      </c>
      <c r="C125" s="466">
        <v>93085</v>
      </c>
      <c r="D125" s="561"/>
      <c r="E125" s="468"/>
      <c r="F125" s="466"/>
      <c r="G125" s="468"/>
      <c r="H125" s="468"/>
      <c r="I125" s="468"/>
      <c r="J125" s="468"/>
      <c r="K125" s="468"/>
    </row>
    <row r="126" spans="1:11" ht="12.75" customHeight="1" x14ac:dyDescent="0.2">
      <c r="A126" s="463" t="s">
        <v>922</v>
      </c>
      <c r="B126" s="562">
        <v>3110</v>
      </c>
      <c r="C126" s="551">
        <v>11243</v>
      </c>
      <c r="D126" s="466"/>
      <c r="E126" s="468"/>
      <c r="F126" s="466"/>
      <c r="G126" s="468"/>
      <c r="H126" s="468"/>
      <c r="I126" s="468"/>
      <c r="J126" s="468"/>
      <c r="K126" s="468"/>
    </row>
    <row r="127" spans="1:11" ht="12.75" customHeight="1" x14ac:dyDescent="0.2">
      <c r="A127" s="463" t="s">
        <v>107</v>
      </c>
      <c r="B127" s="562">
        <v>3120</v>
      </c>
      <c r="C127" s="466">
        <v>122531</v>
      </c>
      <c r="D127" s="561"/>
      <c r="E127" s="468"/>
      <c r="F127" s="466"/>
      <c r="G127" s="468"/>
      <c r="H127" s="468"/>
      <c r="I127" s="468"/>
      <c r="J127" s="468"/>
      <c r="K127" s="468"/>
    </row>
    <row r="128" spans="1:11" ht="12.75" customHeight="1" x14ac:dyDescent="0.2">
      <c r="A128" s="463" t="s">
        <v>1522</v>
      </c>
      <c r="B128" s="562">
        <v>3130</v>
      </c>
      <c r="C128" s="466">
        <v>19022</v>
      </c>
      <c r="D128" s="561"/>
      <c r="E128" s="468"/>
      <c r="F128" s="466"/>
      <c r="G128" s="468"/>
      <c r="H128" s="468"/>
      <c r="I128" s="468"/>
      <c r="J128" s="468"/>
      <c r="K128" s="468"/>
    </row>
    <row r="129" spans="1:11" ht="12.75" customHeight="1" x14ac:dyDescent="0.2">
      <c r="A129" s="463" t="s">
        <v>139</v>
      </c>
      <c r="B129" s="562">
        <v>3145</v>
      </c>
      <c r="C129" s="466">
        <v>3201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301642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39940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39940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3975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22335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419115</v>
      </c>
      <c r="G151" s="467"/>
      <c r="H151" s="468"/>
      <c r="I151" s="468"/>
      <c r="J151" s="468"/>
      <c r="K151" s="468"/>
    </row>
    <row r="152" spans="1:11" ht="12.75" customHeight="1" x14ac:dyDescent="0.2">
      <c r="A152" s="463" t="s">
        <v>1117</v>
      </c>
      <c r="B152" s="562">
        <v>3510</v>
      </c>
      <c r="C152" s="551"/>
      <c r="D152" s="466"/>
      <c r="E152" s="561"/>
      <c r="F152" s="466">
        <v>531043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950158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145185</v>
      </c>
      <c r="D158" s="578"/>
      <c r="E158" s="561"/>
      <c r="F158" s="576">
        <v>17060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7249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520326</v>
      </c>
      <c r="D172" s="1744">
        <f t="shared" si="6"/>
        <v>0</v>
      </c>
      <c r="E172" s="1744">
        <f t="shared" si="6"/>
        <v>0</v>
      </c>
      <c r="F172" s="1744">
        <f t="shared" si="6"/>
        <v>967218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2970242</v>
      </c>
      <c r="D173" s="1737">
        <f>SUM(D121,D172)</f>
        <v>0</v>
      </c>
      <c r="E173" s="1737">
        <f>SUM(E121,E172)</f>
        <v>0</v>
      </c>
      <c r="F173" s="1737">
        <f t="shared" ref="F173:K173" si="7">SUM(F121,F172)</f>
        <v>967218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831625</v>
      </c>
      <c r="D176" s="481">
        <v>750000</v>
      </c>
      <c r="E176" s="467">
        <v>287900</v>
      </c>
      <c r="F176" s="466">
        <v>200000</v>
      </c>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831625</v>
      </c>
      <c r="D178" s="1729">
        <f t="shared" ref="D178:K178" si="8">SUM(D176:D177)</f>
        <v>750000</v>
      </c>
      <c r="E178" s="1729">
        <f t="shared" si="8"/>
        <v>287900</v>
      </c>
      <c r="F178" s="1729">
        <f t="shared" si="8"/>
        <v>200000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1904</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236145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50725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286870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198845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198845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2503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2604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12892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17591</v>
      </c>
      <c r="D270" s="576"/>
      <c r="E270" s="468"/>
      <c r="F270" s="576"/>
      <c r="G270" s="576"/>
      <c r="H270" s="468"/>
      <c r="I270" s="468"/>
      <c r="J270" s="468"/>
      <c r="K270" s="468"/>
    </row>
    <row r="271" spans="1:11" ht="12.75" customHeight="1" thickTop="1" thickBot="1" x14ac:dyDescent="0.25">
      <c r="A271" s="463" t="s">
        <v>395</v>
      </c>
      <c r="B271" s="470">
        <v>4992</v>
      </c>
      <c r="C271" s="575">
        <v>1068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519870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1351495</v>
      </c>
      <c r="D274" s="1737">
        <f>SUM(D178,D184,D273)</f>
        <v>750000</v>
      </c>
      <c r="E274" s="1737">
        <f>SUM(E178,E273)</f>
        <v>287900</v>
      </c>
      <c r="F274" s="1737">
        <f t="shared" ref="F274:K274" si="11">SUM(F178,F184,F273)</f>
        <v>200000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11870084</v>
      </c>
      <c r="D275" s="1737">
        <f t="shared" si="12"/>
        <v>1938309</v>
      </c>
      <c r="E275" s="1737">
        <f t="shared" si="12"/>
        <v>2679356</v>
      </c>
      <c r="F275" s="1737">
        <f t="shared" si="12"/>
        <v>1600173</v>
      </c>
      <c r="G275" s="1737">
        <f t="shared" si="12"/>
        <v>268940</v>
      </c>
      <c r="H275" s="1737">
        <f t="shared" si="12"/>
        <v>0</v>
      </c>
      <c r="I275" s="1737">
        <f t="shared" si="12"/>
        <v>52794</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07" activePane="bottomLeft" state="frozen"/>
      <selection activeCell="A47" sqref="A47"/>
      <selection pane="bottomLeft" activeCell="L260" sqref="L2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3417010</v>
      </c>
      <c r="D5" s="466">
        <v>867459</v>
      </c>
      <c r="E5" s="466">
        <v>3160</v>
      </c>
      <c r="F5" s="466">
        <v>114903</v>
      </c>
      <c r="G5" s="466"/>
      <c r="H5" s="466">
        <v>1789</v>
      </c>
      <c r="I5" s="467"/>
      <c r="J5" s="467"/>
      <c r="K5" s="1693">
        <f>SUM(C5:J5)</f>
        <v>4404321</v>
      </c>
      <c r="L5" s="466">
        <v>4678762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59125</v>
      </c>
      <c r="D7" s="467">
        <v>8934</v>
      </c>
      <c r="E7" s="467">
        <v>970</v>
      </c>
      <c r="F7" s="467">
        <v>7527</v>
      </c>
      <c r="G7" s="467">
        <v>4960</v>
      </c>
      <c r="H7" s="467"/>
      <c r="I7" s="467"/>
      <c r="J7" s="467"/>
      <c r="K7" s="1693">
        <f t="shared" ref="K7:K32" si="0">SUM(C7:J7)</f>
        <v>81516</v>
      </c>
      <c r="L7" s="466">
        <v>83600</v>
      </c>
    </row>
    <row r="8" spans="1:14" x14ac:dyDescent="0.2">
      <c r="A8" s="1526" t="s">
        <v>166</v>
      </c>
      <c r="B8" s="615">
        <v>1200</v>
      </c>
      <c r="C8" s="466">
        <v>13913</v>
      </c>
      <c r="D8" s="466"/>
      <c r="E8" s="466"/>
      <c r="F8" s="466">
        <v>980</v>
      </c>
      <c r="G8" s="466"/>
      <c r="H8" s="466">
        <v>323662</v>
      </c>
      <c r="I8" s="467"/>
      <c r="J8" s="467"/>
      <c r="K8" s="1693">
        <f t="shared" si="0"/>
        <v>338555</v>
      </c>
      <c r="L8" s="466">
        <v>454800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75531</v>
      </c>
      <c r="D10" s="466">
        <v>13172</v>
      </c>
      <c r="E10" s="466"/>
      <c r="F10" s="466">
        <v>133781</v>
      </c>
      <c r="G10" s="466">
        <v>4750</v>
      </c>
      <c r="H10" s="466"/>
      <c r="I10" s="467"/>
      <c r="J10" s="467"/>
      <c r="K10" s="1693">
        <f t="shared" si="0"/>
        <v>227234</v>
      </c>
      <c r="L10" s="466">
        <v>200330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58649</v>
      </c>
      <c r="D13" s="466">
        <v>4380</v>
      </c>
      <c r="E13" s="466"/>
      <c r="F13" s="466">
        <v>188253</v>
      </c>
      <c r="G13" s="466">
        <v>970</v>
      </c>
      <c r="H13" s="466"/>
      <c r="I13" s="467"/>
      <c r="J13" s="467"/>
      <c r="K13" s="1693">
        <f t="shared" si="0"/>
        <v>252252</v>
      </c>
      <c r="L13" s="466">
        <v>277416</v>
      </c>
    </row>
    <row r="14" spans="1:14" x14ac:dyDescent="0.2">
      <c r="A14" s="1526" t="s">
        <v>1020</v>
      </c>
      <c r="B14" s="615">
        <v>1500</v>
      </c>
      <c r="C14" s="466">
        <v>290483</v>
      </c>
      <c r="D14" s="466">
        <v>20227</v>
      </c>
      <c r="E14" s="466">
        <v>42552</v>
      </c>
      <c r="F14" s="466">
        <v>41145</v>
      </c>
      <c r="G14" s="466"/>
      <c r="H14" s="466">
        <v>13495</v>
      </c>
      <c r="I14" s="467"/>
      <c r="J14" s="467"/>
      <c r="K14" s="1693">
        <f t="shared" si="0"/>
        <v>407902</v>
      </c>
      <c r="L14" s="466">
        <v>445222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v>918</v>
      </c>
      <c r="G17" s="467"/>
      <c r="H17" s="467"/>
      <c r="I17" s="467"/>
      <c r="J17" s="467"/>
      <c r="K17" s="1693">
        <f t="shared" si="0"/>
        <v>918</v>
      </c>
      <c r="L17" s="466">
        <v>2200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3914711</v>
      </c>
      <c r="D33" s="1692">
        <f t="shared" ref="D33:L33" si="1">SUM(D5:D32)</f>
        <v>914172</v>
      </c>
      <c r="E33" s="1692">
        <f t="shared" si="1"/>
        <v>46682</v>
      </c>
      <c r="F33" s="1692">
        <f t="shared" si="1"/>
        <v>487507</v>
      </c>
      <c r="G33" s="1692">
        <f t="shared" si="1"/>
        <v>10680</v>
      </c>
      <c r="H33" s="1692">
        <f t="shared" si="1"/>
        <v>338946</v>
      </c>
      <c r="I33" s="1692">
        <f t="shared" si="1"/>
        <v>0</v>
      </c>
      <c r="J33" s="1692">
        <f t="shared" si="1"/>
        <v>0</v>
      </c>
      <c r="K33" s="1692">
        <f t="shared" si="1"/>
        <v>5712698</v>
      </c>
      <c r="L33" s="1692">
        <f t="shared" si="1"/>
        <v>6142330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132362</v>
      </c>
      <c r="D37" s="466">
        <v>12386</v>
      </c>
      <c r="E37" s="466"/>
      <c r="F37" s="466">
        <v>1440</v>
      </c>
      <c r="G37" s="466"/>
      <c r="H37" s="466"/>
      <c r="I37" s="467"/>
      <c r="J37" s="467"/>
      <c r="K37" s="1693">
        <f t="shared" si="2"/>
        <v>146188</v>
      </c>
      <c r="L37" s="466">
        <v>144476</v>
      </c>
    </row>
    <row r="38" spans="1:14" x14ac:dyDescent="0.2">
      <c r="A38" s="1526" t="s">
        <v>207</v>
      </c>
      <c r="B38" s="615">
        <v>2130</v>
      </c>
      <c r="C38" s="466">
        <v>65929</v>
      </c>
      <c r="D38" s="466">
        <v>18816</v>
      </c>
      <c r="E38" s="466">
        <v>643</v>
      </c>
      <c r="F38" s="466">
        <v>2237</v>
      </c>
      <c r="G38" s="466"/>
      <c r="H38" s="466"/>
      <c r="I38" s="467"/>
      <c r="J38" s="467"/>
      <c r="K38" s="1693">
        <f t="shared" si="2"/>
        <v>87625</v>
      </c>
      <c r="L38" s="466">
        <v>92596</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3810</v>
      </c>
      <c r="D41" s="466"/>
      <c r="E41" s="466">
        <v>52</v>
      </c>
      <c r="F41" s="466">
        <v>1484</v>
      </c>
      <c r="G41" s="466"/>
      <c r="H41" s="466"/>
      <c r="I41" s="467"/>
      <c r="J41" s="467"/>
      <c r="K41" s="1693">
        <f t="shared" si="2"/>
        <v>5346</v>
      </c>
      <c r="L41" s="466">
        <v>5350</v>
      </c>
    </row>
    <row r="42" spans="1:14" ht="12.75" customHeight="1" thickBot="1" x14ac:dyDescent="0.25">
      <c r="A42" s="1690" t="s">
        <v>581</v>
      </c>
      <c r="B42" s="1691" t="s">
        <v>740</v>
      </c>
      <c r="C42" s="1692">
        <f>SUM(C36:C41)</f>
        <v>202101</v>
      </c>
      <c r="D42" s="1692">
        <f t="shared" ref="D42:L42" si="3">SUM(D36:D41)</f>
        <v>31202</v>
      </c>
      <c r="E42" s="1692">
        <f t="shared" si="3"/>
        <v>695</v>
      </c>
      <c r="F42" s="1692">
        <f t="shared" si="3"/>
        <v>5161</v>
      </c>
      <c r="G42" s="1692">
        <f t="shared" si="3"/>
        <v>0</v>
      </c>
      <c r="H42" s="1692">
        <f t="shared" si="3"/>
        <v>0</v>
      </c>
      <c r="I42" s="1692">
        <f t="shared" si="3"/>
        <v>0</v>
      </c>
      <c r="J42" s="1692">
        <f t="shared" si="3"/>
        <v>0</v>
      </c>
      <c r="K42" s="1692">
        <f t="shared" si="3"/>
        <v>239159</v>
      </c>
      <c r="L42" s="1692">
        <f t="shared" si="3"/>
        <v>242422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128719</v>
      </c>
      <c r="D44" s="481">
        <v>34882</v>
      </c>
      <c r="E44" s="481">
        <v>21340</v>
      </c>
      <c r="F44" s="481"/>
      <c r="G44" s="481"/>
      <c r="H44" s="481">
        <v>6623</v>
      </c>
      <c r="I44" s="467"/>
      <c r="J44" s="467"/>
      <c r="K44" s="1694">
        <f>SUM(C44:J44)</f>
        <v>191564</v>
      </c>
      <c r="L44" s="481">
        <v>205005</v>
      </c>
    </row>
    <row r="45" spans="1:14" x14ac:dyDescent="0.2">
      <c r="A45" s="1526" t="s">
        <v>869</v>
      </c>
      <c r="B45" s="615">
        <v>2220</v>
      </c>
      <c r="C45" s="466">
        <v>249802</v>
      </c>
      <c r="D45" s="466">
        <v>93127</v>
      </c>
      <c r="E45" s="466">
        <v>64542</v>
      </c>
      <c r="F45" s="466">
        <v>132612</v>
      </c>
      <c r="G45" s="466">
        <v>60790</v>
      </c>
      <c r="H45" s="466"/>
      <c r="I45" s="467"/>
      <c r="J45" s="467"/>
      <c r="K45" s="1694">
        <f>SUM(C45:J45)</f>
        <v>600873</v>
      </c>
      <c r="L45" s="466">
        <v>683085</v>
      </c>
    </row>
    <row r="46" spans="1:14" x14ac:dyDescent="0.2">
      <c r="A46" s="1526" t="s">
        <v>870</v>
      </c>
      <c r="B46" s="615">
        <v>2230</v>
      </c>
      <c r="C46" s="466"/>
      <c r="D46" s="466"/>
      <c r="E46" s="466">
        <v>16394</v>
      </c>
      <c r="F46" s="466"/>
      <c r="G46" s="466"/>
      <c r="H46" s="466"/>
      <c r="I46" s="467"/>
      <c r="J46" s="467"/>
      <c r="K46" s="1694">
        <f>SUM(C46:J46)</f>
        <v>16394</v>
      </c>
      <c r="L46" s="466">
        <v>26500</v>
      </c>
    </row>
    <row r="47" spans="1:14" ht="12.75" customHeight="1" thickBot="1" x14ac:dyDescent="0.25">
      <c r="A47" s="1690" t="s">
        <v>582</v>
      </c>
      <c r="B47" s="1691" t="s">
        <v>32</v>
      </c>
      <c r="C47" s="1692">
        <f>SUM(C44:C46)</f>
        <v>378521</v>
      </c>
      <c r="D47" s="1692">
        <f t="shared" ref="D47:K47" si="4">SUM(D44:D46)</f>
        <v>128009</v>
      </c>
      <c r="E47" s="1692">
        <f t="shared" si="4"/>
        <v>102276</v>
      </c>
      <c r="F47" s="1692">
        <f t="shared" si="4"/>
        <v>132612</v>
      </c>
      <c r="G47" s="1692">
        <f t="shared" si="4"/>
        <v>60790</v>
      </c>
      <c r="H47" s="1692">
        <f t="shared" si="4"/>
        <v>6623</v>
      </c>
      <c r="I47" s="1692">
        <f t="shared" si="4"/>
        <v>0</v>
      </c>
      <c r="J47" s="1692">
        <f t="shared" si="4"/>
        <v>0</v>
      </c>
      <c r="K47" s="1692">
        <f t="shared" si="4"/>
        <v>808831</v>
      </c>
      <c r="L47" s="1692">
        <f>SUM(L44:L46)</f>
        <v>914590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7642</v>
      </c>
      <c r="E49" s="481">
        <v>85863</v>
      </c>
      <c r="F49" s="481">
        <v>33642</v>
      </c>
      <c r="G49" s="481">
        <v>15847</v>
      </c>
      <c r="H49" s="481">
        <v>70267</v>
      </c>
      <c r="I49" s="467"/>
      <c r="J49" s="467"/>
      <c r="K49" s="1694">
        <f>SUM(C49:J49)</f>
        <v>213261</v>
      </c>
      <c r="L49" s="481">
        <v>274650</v>
      </c>
    </row>
    <row r="50" spans="1:14" x14ac:dyDescent="0.2">
      <c r="A50" s="1526" t="s">
        <v>872</v>
      </c>
      <c r="B50" s="615">
        <v>2320</v>
      </c>
      <c r="C50" s="466">
        <v>82330</v>
      </c>
      <c r="D50" s="466">
        <v>19789</v>
      </c>
      <c r="E50" s="466">
        <v>1000</v>
      </c>
      <c r="F50" s="466"/>
      <c r="G50" s="466"/>
      <c r="H50" s="466">
        <v>1220</v>
      </c>
      <c r="I50" s="467"/>
      <c r="J50" s="467"/>
      <c r="K50" s="1694">
        <f>SUM(C50:J50)</f>
        <v>104339</v>
      </c>
      <c r="L50" s="466">
        <v>102875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82330</v>
      </c>
      <c r="D53" s="1692">
        <f t="shared" ref="D53:L53" si="5">SUM(D49:D52)</f>
        <v>27431</v>
      </c>
      <c r="E53" s="1692">
        <f t="shared" si="5"/>
        <v>86863</v>
      </c>
      <c r="F53" s="1692">
        <f t="shared" si="5"/>
        <v>33642</v>
      </c>
      <c r="G53" s="1692">
        <f t="shared" si="5"/>
        <v>15847</v>
      </c>
      <c r="H53" s="1692">
        <f t="shared" si="5"/>
        <v>71487</v>
      </c>
      <c r="I53" s="1692">
        <f t="shared" si="5"/>
        <v>0</v>
      </c>
      <c r="J53" s="1692">
        <f t="shared" si="5"/>
        <v>0</v>
      </c>
      <c r="K53" s="1692">
        <f t="shared" si="5"/>
        <v>317600</v>
      </c>
      <c r="L53" s="1692">
        <f t="shared" si="5"/>
        <v>377525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734320</v>
      </c>
      <c r="D55" s="481">
        <v>203449</v>
      </c>
      <c r="E55" s="481">
        <v>4054</v>
      </c>
      <c r="F55" s="481">
        <v>2881</v>
      </c>
      <c r="G55" s="481"/>
      <c r="H55" s="481"/>
      <c r="I55" s="467"/>
      <c r="J55" s="467"/>
      <c r="K55" s="1694">
        <f>SUM(C55:J55)</f>
        <v>944704</v>
      </c>
      <c r="L55" s="481">
        <v>970961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734320</v>
      </c>
      <c r="D57" s="1696">
        <f t="shared" ref="D57:K57" si="6">SUM(D55:D56)</f>
        <v>203449</v>
      </c>
      <c r="E57" s="1696">
        <f t="shared" si="6"/>
        <v>4054</v>
      </c>
      <c r="F57" s="1696">
        <f t="shared" si="6"/>
        <v>2881</v>
      </c>
      <c r="G57" s="1696">
        <f t="shared" si="6"/>
        <v>0</v>
      </c>
      <c r="H57" s="1696">
        <f t="shared" si="6"/>
        <v>0</v>
      </c>
      <c r="I57" s="1696">
        <f t="shared" si="6"/>
        <v>0</v>
      </c>
      <c r="J57" s="1696">
        <f t="shared" si="6"/>
        <v>0</v>
      </c>
      <c r="K57" s="1696">
        <f t="shared" si="6"/>
        <v>944704</v>
      </c>
      <c r="L57" s="1692">
        <f>SUM(L55:L56)</f>
        <v>970961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79050</v>
      </c>
      <c r="D59" s="481">
        <v>19421</v>
      </c>
      <c r="E59" s="481">
        <v>1451</v>
      </c>
      <c r="F59" s="481"/>
      <c r="G59" s="481"/>
      <c r="H59" s="481"/>
      <c r="I59" s="467"/>
      <c r="J59" s="467"/>
      <c r="K59" s="1694">
        <f t="shared" ref="K59:K64" si="7">SUM(C59:J59)</f>
        <v>99922</v>
      </c>
      <c r="L59" s="481">
        <v>103225</v>
      </c>
      <c r="M59" s="610"/>
      <c r="N59" s="610"/>
    </row>
    <row r="60" spans="1:14" s="343" customFormat="1" x14ac:dyDescent="0.2">
      <c r="A60" s="1526" t="s">
        <v>483</v>
      </c>
      <c r="B60" s="615">
        <v>2520</v>
      </c>
      <c r="C60" s="466">
        <v>163336</v>
      </c>
      <c r="D60" s="466">
        <v>30662</v>
      </c>
      <c r="E60" s="466">
        <v>2050</v>
      </c>
      <c r="F60" s="466">
        <v>14141</v>
      </c>
      <c r="G60" s="466"/>
      <c r="H60" s="466"/>
      <c r="I60" s="467"/>
      <c r="J60" s="467"/>
      <c r="K60" s="1694">
        <f t="shared" si="7"/>
        <v>210189</v>
      </c>
      <c r="L60" s="466">
        <v>256500</v>
      </c>
      <c r="M60" s="610"/>
      <c r="N60" s="610"/>
    </row>
    <row r="61" spans="1:14" s="343" customFormat="1" x14ac:dyDescent="0.2">
      <c r="A61" s="1526" t="s">
        <v>206</v>
      </c>
      <c r="B61" s="615">
        <v>2540</v>
      </c>
      <c r="C61" s="466"/>
      <c r="D61" s="466"/>
      <c r="E61" s="466">
        <v>11143</v>
      </c>
      <c r="F61" s="466">
        <v>295801</v>
      </c>
      <c r="G61" s="466"/>
      <c r="H61" s="466"/>
      <c r="I61" s="467"/>
      <c r="J61" s="467"/>
      <c r="K61" s="1694">
        <f t="shared" si="7"/>
        <v>306944</v>
      </c>
      <c r="L61" s="466">
        <v>360100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271791</v>
      </c>
      <c r="D63" s="466">
        <v>31444</v>
      </c>
      <c r="E63" s="466">
        <v>93</v>
      </c>
      <c r="F63" s="466">
        <f>404867-50388</f>
        <v>354479</v>
      </c>
      <c r="G63" s="466"/>
      <c r="H63" s="466">
        <v>3654</v>
      </c>
      <c r="I63" s="467"/>
      <c r="J63" s="467"/>
      <c r="K63" s="1694">
        <f t="shared" si="7"/>
        <v>661461</v>
      </c>
      <c r="L63" s="466">
        <v>701780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514177</v>
      </c>
      <c r="D65" s="1692">
        <f t="shared" ref="D65:L65" si="8">SUM(D59:D64)</f>
        <v>81527</v>
      </c>
      <c r="E65" s="1692">
        <f t="shared" si="8"/>
        <v>14737</v>
      </c>
      <c r="F65" s="1692">
        <f t="shared" si="8"/>
        <v>664421</v>
      </c>
      <c r="G65" s="1692">
        <f t="shared" si="8"/>
        <v>0</v>
      </c>
      <c r="H65" s="1692">
        <f t="shared" si="8"/>
        <v>3654</v>
      </c>
      <c r="I65" s="1692">
        <f t="shared" si="8"/>
        <v>0</v>
      </c>
      <c r="J65" s="1692">
        <f t="shared" si="8"/>
        <v>0</v>
      </c>
      <c r="K65" s="1692">
        <f t="shared" si="8"/>
        <v>1278516</v>
      </c>
      <c r="L65" s="1692">
        <f t="shared" si="8"/>
        <v>1421605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v>75113</v>
      </c>
      <c r="E73" s="573"/>
      <c r="F73" s="573">
        <v>148</v>
      </c>
      <c r="G73" s="573"/>
      <c r="H73" s="573"/>
      <c r="I73" s="531"/>
      <c r="J73" s="531">
        <v>4413</v>
      </c>
      <c r="K73" s="1692">
        <f>SUM(C73:J73)</f>
        <v>79674</v>
      </c>
      <c r="L73" s="576">
        <v>105250</v>
      </c>
      <c r="M73" s="610"/>
      <c r="N73" s="610"/>
    </row>
    <row r="74" spans="1:14" ht="12.75" customHeight="1" thickTop="1" thickBot="1" x14ac:dyDescent="0.25">
      <c r="A74" s="1690" t="s">
        <v>865</v>
      </c>
      <c r="B74" s="1698">
        <v>2000</v>
      </c>
      <c r="C74" s="1699">
        <f>SUM(C42,C47,C53,C57,C65,C72,C73)</f>
        <v>1911449</v>
      </c>
      <c r="D74" s="1699">
        <f t="shared" ref="D74:K74" si="10">SUM(D42,D47,D53,D57,D65,D72,D73)</f>
        <v>546731</v>
      </c>
      <c r="E74" s="1699">
        <f t="shared" si="10"/>
        <v>208625</v>
      </c>
      <c r="F74" s="1699">
        <f t="shared" si="10"/>
        <v>838865</v>
      </c>
      <c r="G74" s="1699">
        <f t="shared" si="10"/>
        <v>76637</v>
      </c>
      <c r="H74" s="1699">
        <f t="shared" si="10"/>
        <v>81764</v>
      </c>
      <c r="I74" s="1699">
        <f t="shared" si="10"/>
        <v>0</v>
      </c>
      <c r="J74" s="1699">
        <f t="shared" si="10"/>
        <v>4413</v>
      </c>
      <c r="K74" s="1699">
        <f t="shared" si="10"/>
        <v>3668484</v>
      </c>
      <c r="L74" s="1699">
        <f>SUM(L42,L47,L53,L57,L65,L72,L73)</f>
        <v>4032353</v>
      </c>
    </row>
    <row r="75" spans="1:14" s="259" customFormat="1" ht="15.75" customHeight="1" thickTop="1" thickBot="1" x14ac:dyDescent="0.25">
      <c r="A75" s="1632" t="s">
        <v>49</v>
      </c>
      <c r="B75" s="1633" t="s">
        <v>596</v>
      </c>
      <c r="C75" s="573">
        <v>9284</v>
      </c>
      <c r="D75" s="573">
        <v>1893</v>
      </c>
      <c r="E75" s="573">
        <v>4448</v>
      </c>
      <c r="F75" s="573"/>
      <c r="G75" s="573"/>
      <c r="H75" s="573"/>
      <c r="I75" s="531"/>
      <c r="J75" s="531"/>
      <c r="K75" s="1692">
        <f>SUM(C75:J75)</f>
        <v>15625</v>
      </c>
      <c r="L75" s="576">
        <v>20940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4500</v>
      </c>
      <c r="F78" s="617"/>
      <c r="G78" s="617"/>
      <c r="H78" s="635"/>
      <c r="I78" s="477"/>
      <c r="J78" s="477"/>
      <c r="K78" s="1693">
        <f t="shared" ref="K78:K83" si="11">SUM(C78:J78)</f>
        <v>4500</v>
      </c>
      <c r="L78" s="481">
        <v>4500</v>
      </c>
    </row>
    <row r="79" spans="1:14" x14ac:dyDescent="0.2">
      <c r="A79" s="1526" t="s">
        <v>322</v>
      </c>
      <c r="B79" s="615">
        <v>4120</v>
      </c>
      <c r="C79" s="617"/>
      <c r="D79" s="617"/>
      <c r="E79" s="466">
        <v>2296503</v>
      </c>
      <c r="F79" s="617"/>
      <c r="G79" s="617"/>
      <c r="H79" s="466"/>
      <c r="I79" s="477"/>
      <c r="J79" s="477"/>
      <c r="K79" s="1693">
        <f t="shared" si="11"/>
        <v>2296503</v>
      </c>
      <c r="L79" s="466">
        <v>2200000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13615</v>
      </c>
      <c r="F81" s="617"/>
      <c r="G81" s="617"/>
      <c r="H81" s="466"/>
      <c r="I81" s="477"/>
      <c r="J81" s="477"/>
      <c r="K81" s="1693">
        <f t="shared" si="11"/>
        <v>13615</v>
      </c>
      <c r="L81" s="466">
        <v>14000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2314618</v>
      </c>
      <c r="F84" s="617"/>
      <c r="G84" s="617"/>
      <c r="H84" s="1692">
        <f>SUM(H78:H83)</f>
        <v>0</v>
      </c>
      <c r="I84" s="477"/>
      <c r="J84" s="477"/>
      <c r="K84" s="1692">
        <f>SUM(K78:K83)</f>
        <v>2314618</v>
      </c>
      <c r="L84" s="1692">
        <f>SUM(L78:L83)</f>
        <v>2218500</v>
      </c>
    </row>
    <row r="85" spans="1:12" ht="12.75" customHeight="1" thickTop="1" thickBot="1" x14ac:dyDescent="0.25">
      <c r="A85" s="1533" t="s">
        <v>273</v>
      </c>
      <c r="B85" s="636">
        <v>4210</v>
      </c>
      <c r="C85" s="617"/>
      <c r="D85" s="617"/>
      <c r="E85" s="637"/>
      <c r="F85" s="617"/>
      <c r="G85" s="617"/>
      <c r="H85" s="535">
        <v>2746</v>
      </c>
      <c r="I85" s="477"/>
      <c r="J85" s="477"/>
      <c r="K85" s="1699">
        <f>H85</f>
        <v>2746</v>
      </c>
      <c r="L85" s="530">
        <v>7000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10000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245808</v>
      </c>
      <c r="I88" s="477"/>
      <c r="J88" s="477"/>
      <c r="K88" s="1699">
        <f t="shared" si="12"/>
        <v>245808</v>
      </c>
      <c r="L88" s="530">
        <v>275000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248554</v>
      </c>
      <c r="I92" s="477"/>
      <c r="J92" s="477"/>
      <c r="K92" s="1699">
        <f t="shared" si="12"/>
        <v>248554</v>
      </c>
      <c r="L92" s="1692">
        <f>SUM(L85:L91)</f>
        <v>292000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2314618</v>
      </c>
      <c r="F102" s="617"/>
      <c r="G102" s="617"/>
      <c r="H102" s="1699">
        <f>SUM(H84,H92,H100,H101)</f>
        <v>248554</v>
      </c>
      <c r="I102" s="477"/>
      <c r="J102" s="477"/>
      <c r="K102" s="1699">
        <f>SUM(K84,K92,K100,K101)</f>
        <v>2563172</v>
      </c>
      <c r="L102" s="1699">
        <f>SUM(L84,L92,L100,L101)</f>
        <v>2510500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5835444</v>
      </c>
      <c r="D114" s="1692">
        <f t="shared" ref="D114:K114" si="13">SUM(D33,D74,D75,D102,D112,D113)</f>
        <v>1462796</v>
      </c>
      <c r="E114" s="1692">
        <f t="shared" si="13"/>
        <v>2574373</v>
      </c>
      <c r="F114" s="1692">
        <f t="shared" si="13"/>
        <v>1326372</v>
      </c>
      <c r="G114" s="1692">
        <f t="shared" si="13"/>
        <v>87317</v>
      </c>
      <c r="H114" s="1692">
        <f>SUM(H33,H74,H75,H102,H112,H113)</f>
        <v>669264</v>
      </c>
      <c r="I114" s="1692">
        <f t="shared" si="13"/>
        <v>0</v>
      </c>
      <c r="J114" s="1692">
        <f t="shared" si="13"/>
        <v>4413</v>
      </c>
      <c r="K114" s="1692">
        <f t="shared" si="13"/>
        <v>11959979</v>
      </c>
      <c r="L114" s="1692">
        <f>SUM(L33,L74,L75,L102,L112,L113)</f>
        <v>12706123</v>
      </c>
    </row>
    <row r="115" spans="1:14" ht="13.5" thickTop="1" x14ac:dyDescent="0.2">
      <c r="A115" s="2199" t="s">
        <v>1053</v>
      </c>
      <c r="B115" s="2200"/>
      <c r="C115" s="619"/>
      <c r="D115" s="619"/>
      <c r="E115" s="619"/>
      <c r="F115" s="619"/>
      <c r="G115" s="619"/>
      <c r="H115" s="619"/>
      <c r="I115" s="619"/>
      <c r="J115" s="619"/>
      <c r="K115" s="1706">
        <f>'Revenues 9-14'!C275-'Expenditures 15-22'!K114</f>
        <v>-89895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5000</v>
      </c>
    </row>
    <row r="124" spans="1:14" ht="14.25" thickTop="1" thickBot="1" x14ac:dyDescent="0.25">
      <c r="A124" s="1526" t="s">
        <v>206</v>
      </c>
      <c r="B124" s="615">
        <v>2540</v>
      </c>
      <c r="C124" s="466">
        <v>728852</v>
      </c>
      <c r="D124" s="466">
        <v>124419</v>
      </c>
      <c r="E124" s="466">
        <v>447014</v>
      </c>
      <c r="F124" s="466">
        <v>204982</v>
      </c>
      <c r="G124" s="466">
        <v>118421</v>
      </c>
      <c r="H124" s="466"/>
      <c r="I124" s="467"/>
      <c r="J124" s="467"/>
      <c r="K124" s="1692">
        <f>SUM(C124:J124)</f>
        <v>1623688</v>
      </c>
      <c r="L124" s="466">
        <v>1798225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728852</v>
      </c>
      <c r="D127" s="1692">
        <f t="shared" ref="D127:L127" si="14">SUM(D122:D126)</f>
        <v>124419</v>
      </c>
      <c r="E127" s="1692">
        <f t="shared" si="14"/>
        <v>447014</v>
      </c>
      <c r="F127" s="1692">
        <f t="shared" si="14"/>
        <v>204982</v>
      </c>
      <c r="G127" s="1692">
        <f t="shared" si="14"/>
        <v>118421</v>
      </c>
      <c r="H127" s="1692">
        <f t="shared" si="14"/>
        <v>0</v>
      </c>
      <c r="I127" s="1692">
        <f t="shared" si="14"/>
        <v>0</v>
      </c>
      <c r="J127" s="1692">
        <f t="shared" si="14"/>
        <v>0</v>
      </c>
      <c r="K127" s="1692">
        <f t="shared" si="14"/>
        <v>1623688</v>
      </c>
      <c r="L127" s="1692">
        <f t="shared" si="14"/>
        <v>1803225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728852</v>
      </c>
      <c r="D129" s="1699">
        <f t="shared" ref="D129:L129" si="15">SUM(D120,D127,D128)</f>
        <v>124419</v>
      </c>
      <c r="E129" s="1699">
        <f t="shared" si="15"/>
        <v>447014</v>
      </c>
      <c r="F129" s="1699">
        <f t="shared" si="15"/>
        <v>204982</v>
      </c>
      <c r="G129" s="1699">
        <f t="shared" si="15"/>
        <v>118421</v>
      </c>
      <c r="H129" s="1699">
        <f t="shared" si="15"/>
        <v>0</v>
      </c>
      <c r="I129" s="1699">
        <f t="shared" si="15"/>
        <v>0</v>
      </c>
      <c r="J129" s="1699">
        <f t="shared" si="15"/>
        <v>0</v>
      </c>
      <c r="K129" s="1699">
        <f t="shared" si="15"/>
        <v>1623688</v>
      </c>
      <c r="L129" s="1699">
        <f t="shared" si="15"/>
        <v>1803225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728852</v>
      </c>
      <c r="D151" s="1692">
        <f t="shared" ref="D151:K151" si="16">SUM(D129,D130,D139,D149,D150)</f>
        <v>124419</v>
      </c>
      <c r="E151" s="1692">
        <f t="shared" si="16"/>
        <v>447014</v>
      </c>
      <c r="F151" s="1692">
        <f t="shared" si="16"/>
        <v>204982</v>
      </c>
      <c r="G151" s="1692">
        <f t="shared" si="16"/>
        <v>118421</v>
      </c>
      <c r="H151" s="1692">
        <f t="shared" si="16"/>
        <v>0</v>
      </c>
      <c r="I151" s="1692">
        <f t="shared" si="16"/>
        <v>0</v>
      </c>
      <c r="J151" s="1692">
        <f t="shared" si="16"/>
        <v>0</v>
      </c>
      <c r="K151" s="1692">
        <f t="shared" si="16"/>
        <v>1623688</v>
      </c>
      <c r="L151" s="1692">
        <f>SUM(L129,L130,L139,L149,L150)</f>
        <v>1803225</v>
      </c>
    </row>
    <row r="152" spans="1:14" ht="12.75" customHeight="1" thickTop="1" x14ac:dyDescent="0.2">
      <c r="A152" s="2192" t="s">
        <v>1240</v>
      </c>
      <c r="B152" s="2193"/>
      <c r="C152" s="619"/>
      <c r="D152" s="619"/>
      <c r="E152" s="619"/>
      <c r="F152" s="619"/>
      <c r="G152" s="619"/>
      <c r="H152" s="619"/>
      <c r="I152" s="619"/>
      <c r="J152" s="617"/>
      <c r="K152" s="1706">
        <f>'Revenues 9-14'!D275-'Expenditures 15-22'!K151</f>
        <v>314621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1640052</v>
      </c>
      <c r="I169" s="617"/>
      <c r="J169" s="617"/>
      <c r="K169" s="1693">
        <f>SUM(C169:H169)</f>
        <v>1640052</v>
      </c>
      <c r="L169" s="657">
        <v>1903033</v>
      </c>
    </row>
    <row r="170" spans="1:14" ht="33.75" customHeight="1" x14ac:dyDescent="0.2">
      <c r="A170" s="670" t="s">
        <v>1769</v>
      </c>
      <c r="B170" s="672" t="s">
        <v>31</v>
      </c>
      <c r="C170" s="617"/>
      <c r="D170" s="617"/>
      <c r="E170" s="617"/>
      <c r="F170" s="617"/>
      <c r="G170" s="617"/>
      <c r="H170" s="569">
        <v>719148</v>
      </c>
      <c r="I170" s="617"/>
      <c r="J170" s="617"/>
      <c r="K170" s="1693">
        <f>SUM(C170:J170)</f>
        <v>719148</v>
      </c>
      <c r="L170" s="569">
        <v>659148</v>
      </c>
    </row>
    <row r="171" spans="1:14" ht="15.75" customHeight="1" x14ac:dyDescent="0.2">
      <c r="A171" s="622" t="s">
        <v>790</v>
      </c>
      <c r="B171" s="673" t="s">
        <v>86</v>
      </c>
      <c r="C171" s="617"/>
      <c r="D171" s="617"/>
      <c r="E171" s="466">
        <v>91411</v>
      </c>
      <c r="F171" s="617"/>
      <c r="G171" s="617"/>
      <c r="H171" s="569">
        <v>3700</v>
      </c>
      <c r="I171" s="477"/>
      <c r="J171" s="617"/>
      <c r="K171" s="1693">
        <f>SUM(C171:J171)</f>
        <v>95111</v>
      </c>
      <c r="L171" s="569">
        <v>2400</v>
      </c>
    </row>
    <row r="172" spans="1:14" ht="12.75" customHeight="1" thickBot="1" x14ac:dyDescent="0.25">
      <c r="A172" s="1690" t="s">
        <v>659</v>
      </c>
      <c r="B172" s="1691" t="s">
        <v>513</v>
      </c>
      <c r="C172" s="617"/>
      <c r="D172" s="617"/>
      <c r="E172" s="1699">
        <f>SUM(E168,E169,E170,E171)</f>
        <v>91411</v>
      </c>
      <c r="F172" s="617"/>
      <c r="G172" s="617"/>
      <c r="H172" s="1699">
        <f>SUM(H168,H169,H170,H171)</f>
        <v>2362900</v>
      </c>
      <c r="I172" s="639"/>
      <c r="J172" s="617"/>
      <c r="K172" s="1699">
        <f>SUM(K168,K169,K170,K171)</f>
        <v>2454311</v>
      </c>
      <c r="L172" s="1699">
        <f>SUM(L168,L169,L170,L171)</f>
        <v>2564581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91411</v>
      </c>
      <c r="F174" s="617"/>
      <c r="G174" s="617"/>
      <c r="H174" s="1699">
        <f>SUM(H160,H172,H173)</f>
        <v>2362900</v>
      </c>
      <c r="I174" s="639"/>
      <c r="J174" s="617"/>
      <c r="K174" s="1699">
        <f>SUM(K160,K172,K173)</f>
        <v>2454311</v>
      </c>
      <c r="L174" s="1699">
        <f>SUM(L160,L172,L173)</f>
        <v>2564581</v>
      </c>
    </row>
    <row r="175" spans="1:14" ht="13.5" thickTop="1" x14ac:dyDescent="0.2">
      <c r="A175" s="2199" t="s">
        <v>1053</v>
      </c>
      <c r="B175" s="2200"/>
      <c r="C175" s="617"/>
      <c r="D175" s="617"/>
      <c r="E175" s="617"/>
      <c r="F175" s="617"/>
      <c r="G175" s="617"/>
      <c r="H175" s="619"/>
      <c r="I175" s="617"/>
      <c r="J175" s="617"/>
      <c r="K175" s="1706">
        <f>'Revenues 9-14'!E275-'Expenditures 15-22'!K174</f>
        <v>225045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1394258</v>
      </c>
      <c r="F182" s="466">
        <v>91090</v>
      </c>
      <c r="G182" s="466"/>
      <c r="H182" s="466"/>
      <c r="I182" s="467"/>
      <c r="J182" s="467"/>
      <c r="K182" s="1693">
        <f>SUM(C182:J182)</f>
        <v>1485348</v>
      </c>
      <c r="L182" s="466">
        <v>1448800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1394258</v>
      </c>
      <c r="F184" s="1699">
        <f t="shared" si="17"/>
        <v>91090</v>
      </c>
      <c r="G184" s="1699">
        <f t="shared" si="17"/>
        <v>0</v>
      </c>
      <c r="H184" s="1699">
        <f t="shared" si="17"/>
        <v>0</v>
      </c>
      <c r="I184" s="1699">
        <f t="shared" si="17"/>
        <v>0</v>
      </c>
      <c r="J184" s="1699">
        <f t="shared" si="17"/>
        <v>0</v>
      </c>
      <c r="K184" s="1699">
        <f>SUM(K180,K182,K183)</f>
        <v>1485348</v>
      </c>
      <c r="L184" s="1699">
        <f>SUM(L180, L182:L183)</f>
        <v>1448800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1394258</v>
      </c>
      <c r="F210" s="1692">
        <f>SUM(F184,F185)</f>
        <v>91090</v>
      </c>
      <c r="G210" s="1692">
        <f>SUM(G184,G185)</f>
        <v>0</v>
      </c>
      <c r="H210" s="1692">
        <f>SUM(H184,H185,H196,H208,H209)</f>
        <v>0</v>
      </c>
      <c r="I210" s="1692">
        <f>SUM(I184,I185)</f>
        <v>0</v>
      </c>
      <c r="J210" s="1692">
        <f>SUM(J184,J185)</f>
        <v>0</v>
      </c>
      <c r="K210" s="1693">
        <f>SUM(K184,K185,K196,K208,K209)</f>
        <v>1485348</v>
      </c>
      <c r="L210" s="1692">
        <f>SUM(L184,L185,L196,L208,L209)</f>
        <v>1448800</v>
      </c>
    </row>
    <row r="211" spans="1:14" ht="13.5" thickTop="1" x14ac:dyDescent="0.2">
      <c r="A211" s="2199" t="s">
        <v>1053</v>
      </c>
      <c r="B211" s="2200"/>
      <c r="C211" s="619"/>
      <c r="D211" s="619"/>
      <c r="E211" s="619"/>
      <c r="F211" s="619"/>
      <c r="G211" s="619"/>
      <c r="H211" s="619"/>
      <c r="I211" s="617"/>
      <c r="J211" s="617"/>
      <c r="K211" s="1706">
        <f>'Revenues 9-14'!F275-'Expenditures 15-22'!K210</f>
        <v>114825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52048</v>
      </c>
      <c r="E215" s="617"/>
      <c r="F215" s="617"/>
      <c r="G215" s="617"/>
      <c r="H215" s="617"/>
      <c r="I215" s="617"/>
      <c r="J215" s="617"/>
      <c r="K215" s="1693">
        <f>D215</f>
        <v>52048</v>
      </c>
      <c r="L215" s="466">
        <v>64055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238</v>
      </c>
      <c r="E217" s="617"/>
      <c r="F217" s="617"/>
      <c r="G217" s="617"/>
      <c r="H217" s="617"/>
      <c r="I217" s="617"/>
      <c r="J217" s="617"/>
      <c r="K217" s="1693">
        <f t="shared" si="19"/>
        <v>238</v>
      </c>
      <c r="L217" s="466">
        <v>850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703</v>
      </c>
      <c r="E222" s="617"/>
      <c r="F222" s="617"/>
      <c r="G222" s="617"/>
      <c r="H222" s="617"/>
      <c r="I222" s="617"/>
      <c r="J222" s="617"/>
      <c r="K222" s="1693">
        <f t="shared" si="19"/>
        <v>703</v>
      </c>
      <c r="L222" s="466">
        <v>700</v>
      </c>
    </row>
    <row r="223" spans="1:14" x14ac:dyDescent="0.2">
      <c r="A223" s="1526" t="s">
        <v>1020</v>
      </c>
      <c r="B223" s="615">
        <v>1500</v>
      </c>
      <c r="C223" s="617"/>
      <c r="D223" s="466">
        <v>6859</v>
      </c>
      <c r="E223" s="617"/>
      <c r="F223" s="617"/>
      <c r="G223" s="617"/>
      <c r="H223" s="617"/>
      <c r="I223" s="617"/>
      <c r="J223" s="617"/>
      <c r="K223" s="1693">
        <f t="shared" si="19"/>
        <v>6859</v>
      </c>
      <c r="L223" s="466">
        <v>8600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59848</v>
      </c>
      <c r="E229" s="617"/>
      <c r="F229" s="617"/>
      <c r="G229" s="617"/>
      <c r="H229" s="617"/>
      <c r="I229" s="617"/>
      <c r="J229" s="617"/>
      <c r="K229" s="1692">
        <f>SUM(K215:K228)</f>
        <v>59848</v>
      </c>
      <c r="L229" s="1692">
        <f>SUM(L215:L228)</f>
        <v>74205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7027</v>
      </c>
      <c r="E233" s="617"/>
      <c r="F233" s="617"/>
      <c r="G233" s="617"/>
      <c r="H233" s="617"/>
      <c r="I233" s="617"/>
      <c r="J233" s="617"/>
      <c r="K233" s="1693">
        <f t="shared" si="20"/>
        <v>7027</v>
      </c>
      <c r="L233" s="466">
        <v>6900</v>
      </c>
    </row>
    <row r="234" spans="1:12" x14ac:dyDescent="0.2">
      <c r="A234" s="1526" t="s">
        <v>207</v>
      </c>
      <c r="B234" s="615">
        <v>2130</v>
      </c>
      <c r="C234" s="617"/>
      <c r="D234" s="466">
        <v>14530</v>
      </c>
      <c r="E234" s="617"/>
      <c r="F234" s="617"/>
      <c r="G234" s="617"/>
      <c r="H234" s="617"/>
      <c r="I234" s="617"/>
      <c r="J234" s="617"/>
      <c r="K234" s="1693">
        <f t="shared" si="20"/>
        <v>14530</v>
      </c>
      <c r="L234" s="466">
        <v>14100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291</v>
      </c>
      <c r="E237" s="617"/>
      <c r="F237" s="617"/>
      <c r="G237" s="617"/>
      <c r="H237" s="617"/>
      <c r="I237" s="617"/>
      <c r="J237" s="617"/>
      <c r="K237" s="1693">
        <f t="shared" si="20"/>
        <v>291</v>
      </c>
      <c r="L237" s="466">
        <v>310</v>
      </c>
    </row>
    <row r="238" spans="1:12" ht="12.75" customHeight="1" thickBot="1" x14ac:dyDescent="0.25">
      <c r="A238" s="1690" t="s">
        <v>581</v>
      </c>
      <c r="B238" s="1697" t="s">
        <v>740</v>
      </c>
      <c r="C238" s="617"/>
      <c r="D238" s="1692">
        <f>SUM(D232:D237)</f>
        <v>21848</v>
      </c>
      <c r="E238" s="617"/>
      <c r="F238" s="617"/>
      <c r="G238" s="617"/>
      <c r="H238" s="617"/>
      <c r="I238" s="617"/>
      <c r="J238" s="617"/>
      <c r="K238" s="1692">
        <f>SUM(K232:K237)</f>
        <v>21848</v>
      </c>
      <c r="L238" s="1692">
        <f>SUM(L232:L237)</f>
        <v>21310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2049</v>
      </c>
      <c r="E240" s="617"/>
      <c r="F240" s="617"/>
      <c r="G240" s="617"/>
      <c r="H240" s="617"/>
      <c r="I240" s="617"/>
      <c r="J240" s="617"/>
      <c r="K240" s="1694">
        <f>D240</f>
        <v>2049</v>
      </c>
      <c r="L240" s="481">
        <v>2490</v>
      </c>
    </row>
    <row r="241" spans="1:12" x14ac:dyDescent="0.2">
      <c r="A241" s="1526" t="s">
        <v>869</v>
      </c>
      <c r="B241" s="615">
        <v>2220</v>
      </c>
      <c r="C241" s="617"/>
      <c r="D241" s="466">
        <v>44480</v>
      </c>
      <c r="E241" s="617"/>
      <c r="F241" s="617"/>
      <c r="G241" s="617"/>
      <c r="H241" s="617"/>
      <c r="I241" s="617"/>
      <c r="J241" s="617"/>
      <c r="K241" s="1694">
        <f>D241</f>
        <v>44480</v>
      </c>
      <c r="L241" s="466">
        <v>54400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46529</v>
      </c>
      <c r="E243" s="617"/>
      <c r="F243" s="617"/>
      <c r="G243" s="617"/>
      <c r="H243" s="617"/>
      <c r="I243" s="617"/>
      <c r="J243" s="617"/>
      <c r="K243" s="1692">
        <f>SUM(K240:K242)</f>
        <v>46529</v>
      </c>
      <c r="L243" s="1692">
        <f>SUM(L240:L242)</f>
        <v>56890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1322</v>
      </c>
      <c r="E246" s="617"/>
      <c r="F246" s="617"/>
      <c r="G246" s="617"/>
      <c r="H246" s="617"/>
      <c r="I246" s="617"/>
      <c r="J246" s="617"/>
      <c r="K246" s="1694">
        <f t="shared" ref="K246:K256" si="21">D246</f>
        <v>1322</v>
      </c>
      <c r="L246" s="466">
        <v>1500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1322</v>
      </c>
      <c r="E257" s="617"/>
      <c r="F257" s="617"/>
      <c r="G257" s="617"/>
      <c r="H257" s="617"/>
      <c r="I257" s="617"/>
      <c r="J257" s="617"/>
      <c r="K257" s="1692">
        <f>SUM(K245:K256)</f>
        <v>1322</v>
      </c>
      <c r="L257" s="1692">
        <f>SUM(L245:L256)</f>
        <v>1500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54581</v>
      </c>
      <c r="E259" s="617"/>
      <c r="F259" s="617"/>
      <c r="G259" s="617"/>
      <c r="H259" s="617"/>
      <c r="I259" s="617"/>
      <c r="J259" s="617"/>
      <c r="K259" s="1694">
        <f>D259</f>
        <v>54581</v>
      </c>
      <c r="L259" s="481">
        <v>55200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54581</v>
      </c>
      <c r="E261" s="617"/>
      <c r="F261" s="617"/>
      <c r="G261" s="617"/>
      <c r="H261" s="617"/>
      <c r="I261" s="617"/>
      <c r="J261" s="617"/>
      <c r="K261" s="1692">
        <f>SUM(K259:K260)</f>
        <v>54581</v>
      </c>
      <c r="L261" s="1692">
        <f>SUM(L259:L260)</f>
        <v>55200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1260</v>
      </c>
      <c r="E263" s="617"/>
      <c r="F263" s="617"/>
      <c r="G263" s="617"/>
      <c r="H263" s="617"/>
      <c r="I263" s="617"/>
      <c r="J263" s="617"/>
      <c r="K263" s="1694">
        <f>D263</f>
        <v>1260</v>
      </c>
      <c r="L263" s="481">
        <v>1600</v>
      </c>
    </row>
    <row r="264" spans="1:14" x14ac:dyDescent="0.2">
      <c r="A264" s="1526" t="s">
        <v>483</v>
      </c>
      <c r="B264" s="686">
        <v>2520</v>
      </c>
      <c r="C264" s="617"/>
      <c r="D264" s="466">
        <v>36577</v>
      </c>
      <c r="E264" s="617"/>
      <c r="F264" s="617"/>
      <c r="G264" s="617"/>
      <c r="H264" s="617"/>
      <c r="I264" s="617"/>
      <c r="J264" s="617"/>
      <c r="K264" s="1694">
        <f t="shared" ref="K264:K269" si="22">D264</f>
        <v>36577</v>
      </c>
      <c r="L264" s="466">
        <v>40350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157094</v>
      </c>
      <c r="E266" s="617"/>
      <c r="F266" s="617"/>
      <c r="G266" s="617"/>
      <c r="H266" s="617"/>
      <c r="I266" s="617"/>
      <c r="J266" s="617"/>
      <c r="K266" s="1694">
        <f t="shared" si="22"/>
        <v>157094</v>
      </c>
      <c r="L266" s="466">
        <v>159000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54646</v>
      </c>
      <c r="E268" s="617"/>
      <c r="F268" s="617"/>
      <c r="G268" s="617"/>
      <c r="H268" s="617"/>
      <c r="I268" s="617"/>
      <c r="J268" s="617"/>
      <c r="K268" s="1694">
        <f t="shared" si="22"/>
        <v>54646</v>
      </c>
      <c r="L268" s="466">
        <v>53500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249577</v>
      </c>
      <c r="E270" s="617"/>
      <c r="F270" s="617"/>
      <c r="G270" s="617"/>
      <c r="H270" s="617"/>
      <c r="I270" s="617"/>
      <c r="J270" s="617"/>
      <c r="K270" s="1692">
        <f>SUM(K263:K269)</f>
        <v>249577</v>
      </c>
      <c r="L270" s="1692">
        <f>SUM(L263:L269)</f>
        <v>254450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283</v>
      </c>
      <c r="E278" s="617"/>
      <c r="F278" s="617"/>
      <c r="G278" s="617"/>
      <c r="H278" s="617"/>
      <c r="I278" s="617"/>
      <c r="J278" s="617"/>
      <c r="K278" s="1707">
        <f>D278</f>
        <v>283</v>
      </c>
      <c r="L278" s="657">
        <v>675</v>
      </c>
    </row>
    <row r="279" spans="1:12" ht="12.75" customHeight="1" thickBot="1" x14ac:dyDescent="0.25">
      <c r="A279" s="1720" t="s">
        <v>865</v>
      </c>
      <c r="B279" s="1703">
        <v>2000</v>
      </c>
      <c r="C279" s="617"/>
      <c r="D279" s="1699">
        <f>SUM(D238,D243,D257,D261,D270,D277,D278)</f>
        <v>374140</v>
      </c>
      <c r="E279" s="617"/>
      <c r="F279" s="617"/>
      <c r="G279" s="617"/>
      <c r="H279" s="617"/>
      <c r="I279" s="617"/>
      <c r="J279" s="617"/>
      <c r="K279" s="1699">
        <f>SUM(K238,K243,K257,K261,K270,K277,K278)</f>
        <v>374140</v>
      </c>
      <c r="L279" s="1699">
        <f>SUM(L238,L243,L257,L261,L270,L277,L278)</f>
        <v>390025</v>
      </c>
    </row>
    <row r="280" spans="1:12" ht="15.75" customHeight="1" thickTop="1" thickBot="1" x14ac:dyDescent="0.25">
      <c r="A280" s="1646" t="s">
        <v>930</v>
      </c>
      <c r="B280" s="1635">
        <v>3000</v>
      </c>
      <c r="C280" s="617"/>
      <c r="D280" s="576">
        <v>19</v>
      </c>
      <c r="E280" s="617"/>
      <c r="F280" s="617"/>
      <c r="G280" s="617"/>
      <c r="H280" s="617"/>
      <c r="I280" s="617"/>
      <c r="J280" s="617"/>
      <c r="K280" s="1701">
        <f>D280</f>
        <v>19</v>
      </c>
      <c r="L280" s="576">
        <v>40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434007</v>
      </c>
      <c r="E295" s="617"/>
      <c r="F295" s="617"/>
      <c r="G295" s="617"/>
      <c r="H295" s="1692">
        <f>H293</f>
        <v>0</v>
      </c>
      <c r="I295" s="617"/>
      <c r="J295" s="617"/>
      <c r="K295" s="1692">
        <f>SUM(K229,K279,K280,K285,K293,K294)</f>
        <v>434007</v>
      </c>
      <c r="L295" s="1692">
        <f>SUM(L229,L279,L280,L285,L293,L294)</f>
        <v>464270</v>
      </c>
    </row>
    <row r="296" spans="1:14" ht="13.5" thickTop="1" x14ac:dyDescent="0.2">
      <c r="A296" s="2199" t="s">
        <v>1053</v>
      </c>
      <c r="B296" s="2200"/>
      <c r="C296" s="617"/>
      <c r="D296" s="619"/>
      <c r="E296" s="617"/>
      <c r="F296" s="617"/>
      <c r="G296" s="617"/>
      <c r="H296" s="688"/>
      <c r="I296" s="617"/>
      <c r="J296" s="617"/>
      <c r="K296" s="1706">
        <f>'Revenues 9-14'!G275-'Expenditures 15-22'!K295</f>
        <v>-165067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elements/1.1/"/>
    <ds:schemaRef ds:uri="http://schemas.microsoft.com/office/2006/documentManagement/types"/>
    <ds:schemaRef ds:uri="http://schemas.microsoft.com/sharepoint/v3"/>
    <ds:schemaRef ds:uri="d21dc803-237d-4c68-8692-8d731fd29118"/>
    <ds:schemaRef ds:uri="http://schemas.microsoft.com/office/infopath/2007/PartnerControls"/>
    <ds:schemaRef ds:uri="4d435f69-8686-490b-bd6d-b153bf22ab50"/>
    <ds:schemaRef ds:uri="http://schemas.openxmlformats.org/package/2006/metadata/core-properties"/>
    <ds:schemaRef ds:uri="6ce3111e-7420-4802-b50a-75d4e9a0b980"/>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2018-10-15T19:58:59Z</cp:lastPrinted>
  <dcterms:created xsi:type="dcterms:W3CDTF">2003-10-29T19:06:34Z</dcterms:created>
  <dcterms:modified xsi:type="dcterms:W3CDTF">2018-10-17T16:29:16Z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